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user\Javno podjetje VODOVOD SISTEMA B d.o.o\Benjamin Resnik - OBLAK skupna mapa\2.FAZA-PROJ.PREDRAČUNI-POPISI DEL IN PZI\"/>
    </mc:Choice>
  </mc:AlternateContent>
  <xr:revisionPtr revIDLastSave="0" documentId="13_ncr:1_{C0088159-7CEB-48FD-9831-22C68843AF8F}" xr6:coauthVersionLast="45" xr6:coauthVersionMax="45" xr10:uidLastSave="{00000000-0000-0000-0000-000000000000}"/>
  <bookViews>
    <workbookView xWindow="28680" yWindow="-120" windowWidth="29040" windowHeight="15840" tabRatio="952" xr2:uid="{196AD529-45A1-47B7-B32E-9B92938B8C87}"/>
  </bookViews>
  <sheets>
    <sheet name="REKAPITULACIJA SKLOP 1" sheetId="72" r:id="rId1"/>
    <sheet name="REKAPITULACIJA BELTINCI" sheetId="3" r:id="rId2"/>
    <sheet name="Beltinci_RT-1" sheetId="84" r:id="rId3"/>
    <sheet name="Beltinci_SB-1.21" sheetId="4" r:id="rId4"/>
    <sheet name="Beltinci_SB-2.1" sheetId="5" r:id="rId5"/>
    <sheet name="Beltinci_SB-2.20" sheetId="6" r:id="rId6"/>
    <sheet name="Beltinci_SB-4.2" sheetId="7" r:id="rId7"/>
    <sheet name="Beltinci_SB-6.1" sheetId="8" r:id="rId8"/>
    <sheet name="Beltinci_SB-6.2" sheetId="9" r:id="rId9"/>
    <sheet name="Beltinci_SB-6.4" sheetId="10" r:id="rId10"/>
    <sheet name="Beltinci_SB-6.13" sheetId="11" r:id="rId11"/>
    <sheet name="REKAPITULACIJA M.SOBOTA" sheetId="61" r:id="rId12"/>
    <sheet name="M.Sobota_VMS-V1-1" sheetId="53" r:id="rId13"/>
    <sheet name="M.Sobota_VMS-V1-3" sheetId="55" r:id="rId14"/>
    <sheet name="M.Sobota_VMS-V1-2" sheetId="56" r:id="rId15"/>
    <sheet name="M.Sobota_VMP-1" sheetId="57" r:id="rId16"/>
    <sheet name="M.Sobota_VPP" sheetId="58" r:id="rId17"/>
    <sheet name="M.Sobota_VMS-V7" sheetId="60" r:id="rId18"/>
    <sheet name="M.Sobota_VMS-V1-1.1" sheetId="54" r:id="rId19"/>
    <sheet name="M.Sobota_SMS-2" sheetId="59" r:id="rId20"/>
    <sheet name="REKAPITULACIJA PUCONCI" sheetId="12" r:id="rId21"/>
    <sheet name="Puconci_VPL" sheetId="16" r:id="rId22"/>
    <sheet name="Puconci_VPUS" sheetId="17" r:id="rId23"/>
    <sheet name="Puconci_VPV" sheetId="13" r:id="rId24"/>
    <sheet name="Puconci_RT-4" sheetId="83" r:id="rId25"/>
    <sheet name="Puconci_VH Vaneča" sheetId="82" r:id="rId26"/>
    <sheet name="Puconci_ČRP Mačkovci" sheetId="81" r:id="rId27"/>
    <sheet name="Puconci_Mačkovci_Marof_Prosečka" sheetId="15" r:id="rId28"/>
    <sheet name="Puconci_ČRP Bodonci" sheetId="73" r:id="rId29"/>
    <sheet name="Puconci_ČRP Bokrači" sheetId="74" r:id="rId30"/>
    <sheet name="Puconci_ČRP Kuštanovci (spodaj)" sheetId="75" r:id="rId31"/>
    <sheet name="Puconci_ČRP Pečarovci" sheetId="76" r:id="rId32"/>
    <sheet name="Puconci_ČRP Poznanovci" sheetId="77" r:id="rId33"/>
    <sheet name="Puconci_ČRP Šalamenci" sheetId="78" r:id="rId34"/>
    <sheet name="Puconci_ČRP Vaneča (dom borcev)" sheetId="79" r:id="rId35"/>
    <sheet name="Puconci_ČRP Zenkovci" sheetId="80" r:id="rId36"/>
    <sheet name="Puconci_SP-6" sheetId="14" r:id="rId37"/>
    <sheet name="REKAPITULACIJA TI" sheetId="18" r:id="rId38"/>
    <sheet name="Tišina_VTK" sheetId="19" r:id="rId39"/>
    <sheet name="Tišina_ČRP_KRAJNA" sheetId="20" r:id="rId40"/>
    <sheet name="Tišina_MČ_V1" sheetId="21" r:id="rId41"/>
    <sheet name="Tišina_MČ_V2" sheetId="22" r:id="rId42"/>
    <sheet name="Tišina_MČ_V3" sheetId="23" r:id="rId43"/>
    <sheet name="Tišina_MČ_V4" sheetId="24" r:id="rId44"/>
    <sheet name="Tišina_MČ_V5" sheetId="25" r:id="rId45"/>
    <sheet name="Tišina_GR-TR_V0" sheetId="26" r:id="rId46"/>
    <sheet name="Tišina_GR_V1" sheetId="27" r:id="rId47"/>
    <sheet name="Tišina_GR_V2" sheetId="28" r:id="rId48"/>
    <sheet name="Tišina_GR_V3" sheetId="29" r:id="rId49"/>
    <sheet name="Tišina_GR_TR-regionalka" sheetId="30" r:id="rId50"/>
    <sheet name="Tišina_TR_V4" sheetId="31" r:id="rId51"/>
    <sheet name="Tišina_TR_V5" sheetId="32" r:id="rId52"/>
    <sheet name="Tišina_TI_V1" sheetId="33" r:id="rId53"/>
    <sheet name="Tišina_TI_V2" sheetId="34" r:id="rId54"/>
    <sheet name="Tišina_TI_V3" sheetId="35" r:id="rId55"/>
    <sheet name="Tišina_TI_V4" sheetId="36" r:id="rId56"/>
    <sheet name="Tišina_PET_V1" sheetId="37" r:id="rId57"/>
    <sheet name="Tišina_PET_V2" sheetId="38" r:id="rId58"/>
    <sheet name="Tišina_PET_V3" sheetId="39" r:id="rId59"/>
    <sheet name="Tišina_PET_V4" sheetId="40" r:id="rId60"/>
    <sheet name="Tišina_PET_V5" sheetId="41" r:id="rId61"/>
    <sheet name="Tišina_MP_V1" sheetId="42" r:id="rId62"/>
    <sheet name="Tišina_SO_V1" sheetId="43" r:id="rId63"/>
    <sheet name="Tišina_SO_V2" sheetId="44" r:id="rId64"/>
    <sheet name="Tišina_SO_V3" sheetId="45" r:id="rId65"/>
    <sheet name="Tišina_GED_V1" sheetId="46" r:id="rId66"/>
    <sheet name="Tišina_GED_V3" sheetId="47" r:id="rId67"/>
    <sheet name="Tišina_RA_V1" sheetId="48" r:id="rId68"/>
    <sheet name="Tišina_RA_V2" sheetId="49" r:id="rId69"/>
    <sheet name="Tišina_BO-VAN_V1" sheetId="50" r:id="rId70"/>
    <sheet name="Tišina_BO-VAN_V2" sheetId="51" r:id="rId71"/>
    <sheet name="Tišina_BO-VAN_V3" sheetId="52" r:id="rId72"/>
  </sheets>
  <definedNames>
    <definedName name="_xlnm.Print_Area" localSheetId="3">'Beltinci_SB-1.21'!$B$1:$G$157</definedName>
    <definedName name="_xlnm.Print_Area" localSheetId="4">'Beltinci_SB-2.1'!$B$1:$G$189</definedName>
    <definedName name="_xlnm.Print_Area" localSheetId="5">'Beltinci_SB-2.20'!$B$1:$G$122</definedName>
    <definedName name="_xlnm.Print_Area" localSheetId="6">'Beltinci_SB-4.2'!$B$1:$G$160</definedName>
    <definedName name="_xlnm.Print_Area" localSheetId="7">'Beltinci_SB-6.1'!$B$1:$G$140</definedName>
    <definedName name="_xlnm.Print_Area" localSheetId="10">'Beltinci_SB-6.13'!$B$1:$G$177</definedName>
    <definedName name="_xlnm.Print_Area" localSheetId="8">'Beltinci_SB-6.2'!$B$1:$G$155</definedName>
    <definedName name="_xlnm.Print_Area" localSheetId="9">'Beltinci_SB-6.4'!$B$1:$G$157</definedName>
    <definedName name="_xlnm.Print_Area" localSheetId="19">'M.Sobota_SMS-2'!$A$1:$G$172</definedName>
    <definedName name="_xlnm.Print_Area" localSheetId="16">M.Sobota_VPP!$A$1:$G$206</definedName>
    <definedName name="_xlnm.Print_Area" localSheetId="22">Puconci_VPUS!$B$2:$G$200</definedName>
    <definedName name="_xlnm.Print_Area" localSheetId="11">'REKAPITULACIJA M.SOBOTA'!$B$1:$G$24</definedName>
    <definedName name="_xlnm.Print_Area" localSheetId="20">'REKAPITULACIJA PUCONCI'!#REF!</definedName>
    <definedName name="_xlnm.Print_Area" localSheetId="0">'REKAPITULACIJA SKLOP 1'!$B$1:$G$18</definedName>
    <definedName name="_xlnm.Print_Area" localSheetId="37">'REKAPITULACIJA TI'!$B$1:$G$26</definedName>
    <definedName name="_xlnm.Print_Area" localSheetId="69">'Tišina_BO-VAN_V1'!$A$1:$G$221</definedName>
    <definedName name="_xlnm.Print_Area" localSheetId="70">'Tišina_BO-VAN_V2'!$A$1:$G$198</definedName>
    <definedName name="_xlnm.Print_Area" localSheetId="71">'Tišina_BO-VAN_V3'!$A$1:$G$128</definedName>
    <definedName name="_xlnm.Print_Area" localSheetId="39">Tišina_ČRP_KRAJNA!$A$1:$G$620</definedName>
    <definedName name="_xlnm.Print_Area" localSheetId="65">Tišina_GED_V1!$A$1:$G$232</definedName>
    <definedName name="_xlnm.Print_Area" localSheetId="66">Tišina_GED_V3!$A$1:$G$202</definedName>
    <definedName name="_xlnm.Print_Area" localSheetId="49">'Tišina_GR_TR-regionalka'!$A$1:$G$66</definedName>
    <definedName name="_xlnm.Print_Area" localSheetId="46">Tišina_GR_V1!$A$1:$G$194</definedName>
    <definedName name="_xlnm.Print_Area" localSheetId="47">Tišina_GR_V2!$A$1:$G$122</definedName>
    <definedName name="_xlnm.Print_Area" localSheetId="48">Tišina_GR_V3!$A$1:$G$183</definedName>
    <definedName name="_xlnm.Print_Area" localSheetId="45">'Tišina_GR-TR_V0'!$A$1:$G$260</definedName>
    <definedName name="_xlnm.Print_Area" localSheetId="40">Tišina_MČ_V1!$A$1:$G$192</definedName>
    <definedName name="_xlnm.Print_Area" localSheetId="41">Tišina_MČ_V2!$A$1:$G$186</definedName>
    <definedName name="_xlnm.Print_Area" localSheetId="42">Tišina_MČ_V3!$A$1:$G$188</definedName>
    <definedName name="_xlnm.Print_Area" localSheetId="43">Tišina_MČ_V4!$A$1:$G$196</definedName>
    <definedName name="_xlnm.Print_Area" localSheetId="44">Tišina_MČ_V5!$A$1:$G$195</definedName>
    <definedName name="_xlnm.Print_Area" localSheetId="61">Tišina_MP_V1!$A$1:$G$203</definedName>
    <definedName name="_xlnm.Print_Area" localSheetId="56">Tišina_PET_V1!$A$1:$G$205</definedName>
    <definedName name="_xlnm.Print_Area" localSheetId="57">Tišina_PET_V2!$A$1:$G$134</definedName>
    <definedName name="_xlnm.Print_Area" localSheetId="58">Tišina_PET_V3!$A$1:$G$162</definedName>
    <definedName name="_xlnm.Print_Area" localSheetId="59">Tišina_PET_V4!$A$1:$G$201</definedName>
    <definedName name="_xlnm.Print_Area" localSheetId="60">Tišina_PET_V5!$A$1:$G$177</definedName>
    <definedName name="_xlnm.Print_Area" localSheetId="67">Tišina_RA_V1!$A$1:$G$230</definedName>
    <definedName name="_xlnm.Print_Area" localSheetId="68">Tišina_RA_V2!$A$1:$G$202</definedName>
    <definedName name="_xlnm.Print_Area" localSheetId="62">Tišina_SO_V1!$A$1:$G$201</definedName>
    <definedName name="_xlnm.Print_Area" localSheetId="63">Tišina_SO_V2!$A$1:$G$129</definedName>
    <definedName name="_xlnm.Print_Area" localSheetId="64">Tišina_SO_V3!$A$1:$G$186</definedName>
    <definedName name="_xlnm.Print_Area" localSheetId="52">Tišina_TI_V1!$A$1:$G$164</definedName>
    <definedName name="_xlnm.Print_Area" localSheetId="53">Tišina_TI_V2!$A$1:$G$168</definedName>
    <definedName name="_xlnm.Print_Area" localSheetId="54">Tišina_TI_V3!$A$1:$G$186</definedName>
    <definedName name="_xlnm.Print_Area" localSheetId="55">Tišina_TI_V4!$A$1:$G$207</definedName>
    <definedName name="_xlnm.Print_Area" localSheetId="50">Tišina_TR_V4!$A$1:$G$217</definedName>
    <definedName name="_xlnm.Print_Area" localSheetId="51">Tišina_TR_V5!$A$1:$G$161</definedName>
    <definedName name="_xlnm.Print_Area" localSheetId="38">Tišina_VTK!$A$1:$G$193</definedName>
    <definedName name="_xlnm.Print_Titles" localSheetId="22">Puconci_VPUS!$22:$23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3" i="31" l="1"/>
  <c r="G70" i="81" l="1"/>
  <c r="G257" i="26" l="1"/>
  <c r="G256" i="26"/>
  <c r="G255" i="26"/>
  <c r="G254" i="26"/>
  <c r="G252" i="26"/>
  <c r="G251" i="26"/>
  <c r="G250" i="26"/>
  <c r="G249" i="26"/>
  <c r="G247" i="26"/>
  <c r="G246" i="26"/>
  <c r="G245" i="26"/>
  <c r="G244" i="26"/>
  <c r="G192" i="25"/>
  <c r="G191" i="25"/>
  <c r="G190" i="25"/>
  <c r="G189" i="25"/>
  <c r="G184" i="25"/>
  <c r="G185" i="25"/>
  <c r="G186" i="25"/>
  <c r="G187" i="25"/>
  <c r="E87" i="7"/>
  <c r="E88" i="7" s="1"/>
  <c r="E109" i="14"/>
  <c r="E110" i="14" s="1"/>
  <c r="E111" i="14" s="1"/>
  <c r="E112" i="14" s="1"/>
  <c r="E90" i="7" l="1"/>
  <c r="E89" i="7"/>
  <c r="G135" i="83"/>
  <c r="G81" i="83" l="1"/>
  <c r="G79" i="83"/>
  <c r="G142" i="81" l="1"/>
  <c r="G163" i="84" l="1"/>
  <c r="G482" i="20"/>
  <c r="G53" i="80"/>
  <c r="G55" i="79"/>
  <c r="G55" i="78"/>
  <c r="G53" i="77"/>
  <c r="G53" i="76"/>
  <c r="G53" i="75"/>
  <c r="G53" i="74"/>
  <c r="G378" i="20"/>
  <c r="G133" i="81"/>
  <c r="G41" i="82"/>
  <c r="G100" i="52" l="1"/>
  <c r="G99" i="52"/>
  <c r="G98" i="52"/>
  <c r="G97" i="52"/>
  <c r="G96" i="52"/>
  <c r="G95" i="52"/>
  <c r="G94" i="52"/>
  <c r="G93" i="52"/>
  <c r="G92" i="52"/>
  <c r="G91" i="52"/>
  <c r="G105" i="52"/>
  <c r="G104" i="52"/>
  <c r="G103" i="52"/>
  <c r="G115" i="52"/>
  <c r="G114" i="52"/>
  <c r="G113" i="52"/>
  <c r="G112" i="52"/>
  <c r="G111" i="52"/>
  <c r="G110" i="52"/>
  <c r="G109" i="52"/>
  <c r="G108" i="52"/>
  <c r="G125" i="52"/>
  <c r="G124" i="52"/>
  <c r="G123" i="52"/>
  <c r="G122" i="52"/>
  <c r="G119" i="52"/>
  <c r="G118" i="52"/>
  <c r="G117" i="52"/>
  <c r="G118" i="51"/>
  <c r="G117" i="51"/>
  <c r="G116" i="51"/>
  <c r="G115" i="51"/>
  <c r="G114" i="51"/>
  <c r="G113" i="51"/>
  <c r="G112" i="51"/>
  <c r="G111" i="51"/>
  <c r="G110" i="51"/>
  <c r="G109" i="51"/>
  <c r="G107" i="51"/>
  <c r="G106" i="51"/>
  <c r="G105" i="51"/>
  <c r="G104" i="51"/>
  <c r="G103" i="51"/>
  <c r="G102" i="51"/>
  <c r="G101" i="51"/>
  <c r="G100" i="51"/>
  <c r="G123" i="51"/>
  <c r="G122" i="51"/>
  <c r="G121" i="51"/>
  <c r="G141" i="51"/>
  <c r="G140" i="51"/>
  <c r="G139" i="51"/>
  <c r="G138" i="51"/>
  <c r="G137" i="51"/>
  <c r="G136" i="51"/>
  <c r="G135" i="51"/>
  <c r="G134" i="51"/>
  <c r="G133" i="51"/>
  <c r="G132" i="51"/>
  <c r="G131" i="51"/>
  <c r="G130" i="51"/>
  <c r="G129" i="51"/>
  <c r="G128" i="51"/>
  <c r="G127" i="51"/>
  <c r="G126" i="51"/>
  <c r="G154" i="51"/>
  <c r="G153" i="51"/>
  <c r="G152" i="51"/>
  <c r="G151" i="51"/>
  <c r="G150" i="51"/>
  <c r="G149" i="51"/>
  <c r="G148" i="51"/>
  <c r="G147" i="51"/>
  <c r="G146" i="51"/>
  <c r="G145" i="51"/>
  <c r="G144" i="51"/>
  <c r="G171" i="51"/>
  <c r="G170" i="51"/>
  <c r="G169" i="51"/>
  <c r="G168" i="51"/>
  <c r="G167" i="51"/>
  <c r="G166" i="51"/>
  <c r="G165" i="51"/>
  <c r="G164" i="51"/>
  <c r="G162" i="51"/>
  <c r="G161" i="51"/>
  <c r="G160" i="51"/>
  <c r="G159" i="51"/>
  <c r="G158" i="51"/>
  <c r="G195" i="51"/>
  <c r="G194" i="51"/>
  <c r="G193" i="51"/>
  <c r="G192" i="51"/>
  <c r="G190" i="51"/>
  <c r="G189" i="51"/>
  <c r="G188" i="51"/>
  <c r="G187" i="51"/>
  <c r="G185" i="51"/>
  <c r="G184" i="51"/>
  <c r="G183" i="51"/>
  <c r="G182" i="51"/>
  <c r="G179" i="51"/>
  <c r="G178" i="51"/>
  <c r="G177" i="51"/>
  <c r="G175" i="51"/>
  <c r="G174" i="51"/>
  <c r="G173" i="51"/>
  <c r="G130" i="50"/>
  <c r="G129" i="50"/>
  <c r="G128" i="50"/>
  <c r="G127" i="50"/>
  <c r="G126" i="50"/>
  <c r="G125" i="50"/>
  <c r="G124" i="50"/>
  <c r="G123" i="50"/>
  <c r="G122" i="50"/>
  <c r="G121" i="50"/>
  <c r="G119" i="50"/>
  <c r="G118" i="50"/>
  <c r="G117" i="50"/>
  <c r="G116" i="50"/>
  <c r="G115" i="50"/>
  <c r="G114" i="50"/>
  <c r="G113" i="50"/>
  <c r="G112" i="50"/>
  <c r="G110" i="50"/>
  <c r="G109" i="50"/>
  <c r="G108" i="50"/>
  <c r="G107" i="50"/>
  <c r="G106" i="50"/>
  <c r="G105" i="50"/>
  <c r="G104" i="50"/>
  <c r="G135" i="50"/>
  <c r="G134" i="50"/>
  <c r="G133" i="50"/>
  <c r="G153" i="50"/>
  <c r="G152" i="50"/>
  <c r="G151" i="50"/>
  <c r="G150" i="50"/>
  <c r="G149" i="50"/>
  <c r="G148" i="50"/>
  <c r="G147" i="50"/>
  <c r="G146" i="50"/>
  <c r="G145" i="50"/>
  <c r="G144" i="50"/>
  <c r="G143" i="50"/>
  <c r="G142" i="50"/>
  <c r="G141" i="50"/>
  <c r="G140" i="50"/>
  <c r="G139" i="50"/>
  <c r="G138" i="50"/>
  <c r="G166" i="50"/>
  <c r="G165" i="50"/>
  <c r="G164" i="50"/>
  <c r="G163" i="50"/>
  <c r="G162" i="50"/>
  <c r="G161" i="50"/>
  <c r="G160" i="50"/>
  <c r="G159" i="50"/>
  <c r="G158" i="50"/>
  <c r="G157" i="50"/>
  <c r="G156" i="50"/>
  <c r="G194" i="50"/>
  <c r="G193" i="50"/>
  <c r="G192" i="50"/>
  <c r="G191" i="50"/>
  <c r="G190" i="50"/>
  <c r="G188" i="50"/>
  <c r="G187" i="50"/>
  <c r="G186" i="50"/>
  <c r="G185" i="50"/>
  <c r="G184" i="50"/>
  <c r="G183" i="50"/>
  <c r="G182" i="50"/>
  <c r="G181" i="50"/>
  <c r="G179" i="50"/>
  <c r="G178" i="50"/>
  <c r="G177" i="50"/>
  <c r="G176" i="50"/>
  <c r="G175" i="50"/>
  <c r="G173" i="50"/>
  <c r="G172" i="50"/>
  <c r="G171" i="50"/>
  <c r="G170" i="50"/>
  <c r="G198" i="50"/>
  <c r="G197" i="50"/>
  <c r="G196" i="50"/>
  <c r="G202" i="50"/>
  <c r="G201" i="50"/>
  <c r="G200" i="50"/>
  <c r="G218" i="50"/>
  <c r="G217" i="50"/>
  <c r="G216" i="50"/>
  <c r="G215" i="50"/>
  <c r="G213" i="50"/>
  <c r="G212" i="50"/>
  <c r="G211" i="50"/>
  <c r="G210" i="50"/>
  <c r="G208" i="50"/>
  <c r="G207" i="50"/>
  <c r="G206" i="50"/>
  <c r="G205" i="50"/>
  <c r="G119" i="49"/>
  <c r="G118" i="49"/>
  <c r="G117" i="49"/>
  <c r="G116" i="49"/>
  <c r="G115" i="49"/>
  <c r="G114" i="49"/>
  <c r="G113" i="49"/>
  <c r="G112" i="49"/>
  <c r="G111" i="49"/>
  <c r="G110" i="49"/>
  <c r="G108" i="49"/>
  <c r="G107" i="49"/>
  <c r="G106" i="49"/>
  <c r="G105" i="49"/>
  <c r="G104" i="49"/>
  <c r="G103" i="49"/>
  <c r="G102" i="49"/>
  <c r="G101" i="49"/>
  <c r="G124" i="49"/>
  <c r="G123" i="49"/>
  <c r="G122" i="49"/>
  <c r="G142" i="49"/>
  <c r="G141" i="49"/>
  <c r="G140" i="49"/>
  <c r="G139" i="49"/>
  <c r="G138" i="49"/>
  <c r="G137" i="49"/>
  <c r="G136" i="49"/>
  <c r="G135" i="49"/>
  <c r="G134" i="49"/>
  <c r="G133" i="49"/>
  <c r="G132" i="49"/>
  <c r="G131" i="49"/>
  <c r="G130" i="49"/>
  <c r="G129" i="49"/>
  <c r="G128" i="49"/>
  <c r="G127" i="49"/>
  <c r="G155" i="49"/>
  <c r="G154" i="49"/>
  <c r="G153" i="49"/>
  <c r="G152" i="49"/>
  <c r="G151" i="49"/>
  <c r="G150" i="49"/>
  <c r="G149" i="49"/>
  <c r="G148" i="49"/>
  <c r="G147" i="49"/>
  <c r="G146" i="49"/>
  <c r="G145" i="49"/>
  <c r="G179" i="49"/>
  <c r="G178" i="49"/>
  <c r="G177" i="49"/>
  <c r="G176" i="49"/>
  <c r="G175" i="49"/>
  <c r="G174" i="49"/>
  <c r="G173" i="49"/>
  <c r="G172" i="49"/>
  <c r="G171" i="49"/>
  <c r="G169" i="49"/>
  <c r="G168" i="49"/>
  <c r="G167" i="49"/>
  <c r="G166" i="49"/>
  <c r="G165" i="49"/>
  <c r="G163" i="49"/>
  <c r="G162" i="49"/>
  <c r="G161" i="49"/>
  <c r="G160" i="49"/>
  <c r="G159" i="49"/>
  <c r="G199" i="49"/>
  <c r="G198" i="49"/>
  <c r="G197" i="49"/>
  <c r="G196" i="49"/>
  <c r="G194" i="49"/>
  <c r="G193" i="49"/>
  <c r="G192" i="49"/>
  <c r="G191" i="49"/>
  <c r="G189" i="49"/>
  <c r="G188" i="49"/>
  <c r="G187" i="49"/>
  <c r="G186" i="49"/>
  <c r="G183" i="49"/>
  <c r="G182" i="49"/>
  <c r="G181" i="49"/>
  <c r="G132" i="48"/>
  <c r="G131" i="48"/>
  <c r="G130" i="48"/>
  <c r="G129" i="48"/>
  <c r="G128" i="48"/>
  <c r="G127" i="48"/>
  <c r="G126" i="48"/>
  <c r="G125" i="48"/>
  <c r="G124" i="48"/>
  <c r="G123" i="48"/>
  <c r="G121" i="48"/>
  <c r="G120" i="48"/>
  <c r="G119" i="48"/>
  <c r="G118" i="48"/>
  <c r="G117" i="48"/>
  <c r="G116" i="48"/>
  <c r="G115" i="48"/>
  <c r="G114" i="48"/>
  <c r="G112" i="48"/>
  <c r="G111" i="48"/>
  <c r="G110" i="48"/>
  <c r="G109" i="48"/>
  <c r="G108" i="48"/>
  <c r="G107" i="48"/>
  <c r="G106" i="48"/>
  <c r="G137" i="48"/>
  <c r="G136" i="48"/>
  <c r="G135" i="48"/>
  <c r="G155" i="48"/>
  <c r="G154" i="48"/>
  <c r="G153" i="48"/>
  <c r="G152" i="48"/>
  <c r="G151" i="48"/>
  <c r="G150" i="48"/>
  <c r="G149" i="48"/>
  <c r="G148" i="48"/>
  <c r="G147" i="48"/>
  <c r="G146" i="48"/>
  <c r="G145" i="48"/>
  <c r="G144" i="48"/>
  <c r="G143" i="48"/>
  <c r="G142" i="48"/>
  <c r="G141" i="48"/>
  <c r="G140" i="48"/>
  <c r="G179" i="48"/>
  <c r="G178" i="48"/>
  <c r="G177" i="48"/>
  <c r="G176" i="48"/>
  <c r="G175" i="48"/>
  <c r="G174" i="48"/>
  <c r="G173" i="48"/>
  <c r="G172" i="48"/>
  <c r="G171" i="48"/>
  <c r="G170" i="48"/>
  <c r="G169" i="48"/>
  <c r="G167" i="48"/>
  <c r="G166" i="48"/>
  <c r="G165" i="48"/>
  <c r="G164" i="48"/>
  <c r="G163" i="48"/>
  <c r="G162" i="48"/>
  <c r="G161" i="48"/>
  <c r="G160" i="48"/>
  <c r="G159" i="48"/>
  <c r="G158" i="48"/>
  <c r="G208" i="48"/>
  <c r="G207" i="48"/>
  <c r="G206" i="48"/>
  <c r="G205" i="48"/>
  <c r="G204" i="48"/>
  <c r="G203" i="48"/>
  <c r="G202" i="48"/>
  <c r="G201" i="48"/>
  <c r="G200" i="48"/>
  <c r="G198" i="48"/>
  <c r="G197" i="48"/>
  <c r="G196" i="48"/>
  <c r="G195" i="48"/>
  <c r="G194" i="48"/>
  <c r="G192" i="48"/>
  <c r="G191" i="48"/>
  <c r="G190" i="48"/>
  <c r="G189" i="48"/>
  <c r="G188" i="48"/>
  <c r="G186" i="48"/>
  <c r="G185" i="48"/>
  <c r="G184" i="48"/>
  <c r="G183" i="48"/>
  <c r="G227" i="48"/>
  <c r="G226" i="48"/>
  <c r="G225" i="48"/>
  <c r="G224" i="48"/>
  <c r="G222" i="48"/>
  <c r="G221" i="48"/>
  <c r="G220" i="48"/>
  <c r="G218" i="48"/>
  <c r="G217" i="48"/>
  <c r="G216" i="48"/>
  <c r="G215" i="48"/>
  <c r="G212" i="48"/>
  <c r="G211" i="48"/>
  <c r="G210" i="48"/>
  <c r="G115" i="47"/>
  <c r="G114" i="47"/>
  <c r="G113" i="47"/>
  <c r="G112" i="47"/>
  <c r="G111" i="47"/>
  <c r="G110" i="47"/>
  <c r="G109" i="47"/>
  <c r="G108" i="47"/>
  <c r="G107" i="47"/>
  <c r="G106" i="47"/>
  <c r="G104" i="47"/>
  <c r="G103" i="47"/>
  <c r="G102" i="47"/>
  <c r="G101" i="47"/>
  <c r="G100" i="47"/>
  <c r="G99" i="47"/>
  <c r="G98" i="47"/>
  <c r="G97" i="47"/>
  <c r="G120" i="47"/>
  <c r="G119" i="47"/>
  <c r="G118" i="47"/>
  <c r="G138" i="47"/>
  <c r="G137" i="47"/>
  <c r="G136" i="47"/>
  <c r="G135" i="47"/>
  <c r="G134" i="47"/>
  <c r="G133" i="47"/>
  <c r="G132" i="47"/>
  <c r="G131" i="47"/>
  <c r="G130" i="47"/>
  <c r="G129" i="47"/>
  <c r="G128" i="47"/>
  <c r="G127" i="47"/>
  <c r="G126" i="47"/>
  <c r="G125" i="47"/>
  <c r="G124" i="47"/>
  <c r="G123" i="47"/>
  <c r="G151" i="47"/>
  <c r="G150" i="47"/>
  <c r="G149" i="47"/>
  <c r="G148" i="47"/>
  <c r="G147" i="47"/>
  <c r="G146" i="47"/>
  <c r="G145" i="47"/>
  <c r="G144" i="47"/>
  <c r="G143" i="47"/>
  <c r="G142" i="47"/>
  <c r="G141" i="47"/>
  <c r="G184" i="47"/>
  <c r="G183" i="47"/>
  <c r="G182" i="47"/>
  <c r="G181" i="47"/>
  <c r="G180" i="47"/>
  <c r="G179" i="47"/>
  <c r="G178" i="47"/>
  <c r="G177" i="47"/>
  <c r="G176" i="47"/>
  <c r="G174" i="47"/>
  <c r="G173" i="47"/>
  <c r="G172" i="47"/>
  <c r="G171" i="47"/>
  <c r="G170" i="47"/>
  <c r="G168" i="47"/>
  <c r="G167" i="47"/>
  <c r="G166" i="47"/>
  <c r="G165" i="47"/>
  <c r="G164" i="47"/>
  <c r="G163" i="47"/>
  <c r="G162" i="47"/>
  <c r="G161" i="47"/>
  <c r="G159" i="47"/>
  <c r="G158" i="47"/>
  <c r="G157" i="47"/>
  <c r="G156" i="47"/>
  <c r="G155" i="47"/>
  <c r="G188" i="47"/>
  <c r="G187" i="47"/>
  <c r="G186" i="47"/>
  <c r="G199" i="47"/>
  <c r="G198" i="47"/>
  <c r="G197" i="47"/>
  <c r="G196" i="47"/>
  <c r="G194" i="47"/>
  <c r="G193" i="47"/>
  <c r="G192" i="47"/>
  <c r="G191" i="47"/>
  <c r="G136" i="46"/>
  <c r="G135" i="46"/>
  <c r="G134" i="46"/>
  <c r="G133" i="46"/>
  <c r="G132" i="46"/>
  <c r="G131" i="46"/>
  <c r="G130" i="46"/>
  <c r="G129" i="46"/>
  <c r="G128" i="46"/>
  <c r="G127" i="46"/>
  <c r="G125" i="46"/>
  <c r="G124" i="46"/>
  <c r="G123" i="46"/>
  <c r="G122" i="46"/>
  <c r="G121" i="46"/>
  <c r="G120" i="46"/>
  <c r="G119" i="46"/>
  <c r="G118" i="46"/>
  <c r="G116" i="46"/>
  <c r="G115" i="46"/>
  <c r="G114" i="46"/>
  <c r="G113" i="46"/>
  <c r="G112" i="46"/>
  <c r="G111" i="46"/>
  <c r="G110" i="46"/>
  <c r="G141" i="46"/>
  <c r="G140" i="46"/>
  <c r="G139" i="46"/>
  <c r="G159" i="46"/>
  <c r="G158" i="46"/>
  <c r="G157" i="46"/>
  <c r="G156" i="46"/>
  <c r="G155" i="46"/>
  <c r="G154" i="46"/>
  <c r="G153" i="46"/>
  <c r="G152" i="46"/>
  <c r="G151" i="46"/>
  <c r="G150" i="46"/>
  <c r="G149" i="46"/>
  <c r="G148" i="46"/>
  <c r="G147" i="46"/>
  <c r="G146" i="46"/>
  <c r="G145" i="46"/>
  <c r="G144" i="46"/>
  <c r="G171" i="46"/>
  <c r="G170" i="46"/>
  <c r="G169" i="46"/>
  <c r="G168" i="46"/>
  <c r="G167" i="46"/>
  <c r="G166" i="46"/>
  <c r="G165" i="46"/>
  <c r="G164" i="46"/>
  <c r="G163" i="46"/>
  <c r="G162" i="46"/>
  <c r="G209" i="46"/>
  <c r="G208" i="46"/>
  <c r="G207" i="46"/>
  <c r="G206" i="46"/>
  <c r="G205" i="46"/>
  <c r="G204" i="46"/>
  <c r="G203" i="46"/>
  <c r="G202" i="46"/>
  <c r="G201" i="46"/>
  <c r="G199" i="46"/>
  <c r="G198" i="46"/>
  <c r="G197" i="46"/>
  <c r="G196" i="46"/>
  <c r="G195" i="46"/>
  <c r="G193" i="46"/>
  <c r="G192" i="46"/>
  <c r="G191" i="46"/>
  <c r="G190" i="46"/>
  <c r="G189" i="46"/>
  <c r="G188" i="46"/>
  <c r="G187" i="46"/>
  <c r="G186" i="46"/>
  <c r="G184" i="46"/>
  <c r="G183" i="46"/>
  <c r="G182" i="46"/>
  <c r="G181" i="46"/>
  <c r="G180" i="46"/>
  <c r="G178" i="46"/>
  <c r="G177" i="46"/>
  <c r="G176" i="46"/>
  <c r="G175" i="46"/>
  <c r="G229" i="46"/>
  <c r="G228" i="46"/>
  <c r="G227" i="46"/>
  <c r="G226" i="46"/>
  <c r="G224" i="46"/>
  <c r="G223" i="46"/>
  <c r="G222" i="46"/>
  <c r="G221" i="46"/>
  <c r="G219" i="46"/>
  <c r="G218" i="46"/>
  <c r="G217" i="46"/>
  <c r="G216" i="46"/>
  <c r="G213" i="46"/>
  <c r="G212" i="46"/>
  <c r="G211" i="46"/>
  <c r="G119" i="45"/>
  <c r="G118" i="45"/>
  <c r="G117" i="45"/>
  <c r="G116" i="45"/>
  <c r="G115" i="45"/>
  <c r="G114" i="45"/>
  <c r="G113" i="45"/>
  <c r="G112" i="45"/>
  <c r="G111" i="45"/>
  <c r="G110" i="45"/>
  <c r="G108" i="45"/>
  <c r="G107" i="45"/>
  <c r="G106" i="45"/>
  <c r="G105" i="45"/>
  <c r="G104" i="45"/>
  <c r="G103" i="45"/>
  <c r="G102" i="45"/>
  <c r="G101" i="45"/>
  <c r="G124" i="45"/>
  <c r="G123" i="45"/>
  <c r="G122" i="45"/>
  <c r="G142" i="45"/>
  <c r="G141" i="45"/>
  <c r="G140" i="45"/>
  <c r="G139" i="45"/>
  <c r="G138" i="45"/>
  <c r="G137" i="45"/>
  <c r="G136" i="45"/>
  <c r="G135" i="45"/>
  <c r="G134" i="45"/>
  <c r="G133" i="45"/>
  <c r="G132" i="45"/>
  <c r="G131" i="45"/>
  <c r="G130" i="45"/>
  <c r="G129" i="45"/>
  <c r="G128" i="45"/>
  <c r="G127" i="45"/>
  <c r="G155" i="45"/>
  <c r="G154" i="45"/>
  <c r="G153" i="45"/>
  <c r="G152" i="45"/>
  <c r="G151" i="45"/>
  <c r="G150" i="45"/>
  <c r="G149" i="45"/>
  <c r="G148" i="45"/>
  <c r="G147" i="45"/>
  <c r="G146" i="45"/>
  <c r="G145" i="45"/>
  <c r="G163" i="45"/>
  <c r="G162" i="45"/>
  <c r="G161" i="45"/>
  <c r="G160" i="45"/>
  <c r="G159" i="45"/>
  <c r="G183" i="45"/>
  <c r="G182" i="45"/>
  <c r="G181" i="45"/>
  <c r="G180" i="45"/>
  <c r="G178" i="45"/>
  <c r="G177" i="45"/>
  <c r="G176" i="45"/>
  <c r="G173" i="45"/>
  <c r="G172" i="45"/>
  <c r="G171" i="45"/>
  <c r="G169" i="45"/>
  <c r="G168" i="45"/>
  <c r="G167" i="45"/>
  <c r="G166" i="45"/>
  <c r="G165" i="45"/>
  <c r="G101" i="44"/>
  <c r="G100" i="44"/>
  <c r="G99" i="44"/>
  <c r="G98" i="44"/>
  <c r="G97" i="44"/>
  <c r="G96" i="44"/>
  <c r="G95" i="44"/>
  <c r="G94" i="44"/>
  <c r="G93" i="44"/>
  <c r="G92" i="44"/>
  <c r="G106" i="44"/>
  <c r="G105" i="44"/>
  <c r="G104" i="44"/>
  <c r="G116" i="44"/>
  <c r="G115" i="44"/>
  <c r="G114" i="44"/>
  <c r="G113" i="44"/>
  <c r="G112" i="44"/>
  <c r="G111" i="44"/>
  <c r="G110" i="44"/>
  <c r="G109" i="44"/>
  <c r="G126" i="44"/>
  <c r="G125" i="44"/>
  <c r="G124" i="44"/>
  <c r="G123" i="44"/>
  <c r="G120" i="44"/>
  <c r="G119" i="44"/>
  <c r="G118" i="44"/>
  <c r="G117" i="43"/>
  <c r="G116" i="43"/>
  <c r="G115" i="43"/>
  <c r="G114" i="43"/>
  <c r="G113" i="43"/>
  <c r="G112" i="43"/>
  <c r="G111" i="43"/>
  <c r="G110" i="43"/>
  <c r="G109" i="43"/>
  <c r="G108" i="43"/>
  <c r="G106" i="43"/>
  <c r="G105" i="43"/>
  <c r="G104" i="43"/>
  <c r="G103" i="43"/>
  <c r="G102" i="43"/>
  <c r="G101" i="43"/>
  <c r="G100" i="43"/>
  <c r="G99" i="43"/>
  <c r="G122" i="43"/>
  <c r="G121" i="43"/>
  <c r="G120" i="43"/>
  <c r="G140" i="43"/>
  <c r="G139" i="43"/>
  <c r="G138" i="43"/>
  <c r="G137" i="43"/>
  <c r="G136" i="43"/>
  <c r="G135" i="43"/>
  <c r="G134" i="43"/>
  <c r="G133" i="43"/>
  <c r="G132" i="43"/>
  <c r="G131" i="43"/>
  <c r="G130" i="43"/>
  <c r="G129" i="43"/>
  <c r="G128" i="43"/>
  <c r="G127" i="43"/>
  <c r="G126" i="43"/>
  <c r="G125" i="43"/>
  <c r="G153" i="43"/>
  <c r="G152" i="43"/>
  <c r="G151" i="43"/>
  <c r="G150" i="43"/>
  <c r="G149" i="43"/>
  <c r="G148" i="43"/>
  <c r="G147" i="43"/>
  <c r="G146" i="43"/>
  <c r="G145" i="43"/>
  <c r="G144" i="43"/>
  <c r="G143" i="43"/>
  <c r="G177" i="43"/>
  <c r="G176" i="43"/>
  <c r="G175" i="43"/>
  <c r="G174" i="43"/>
  <c r="G173" i="43"/>
  <c r="G172" i="43"/>
  <c r="G171" i="43"/>
  <c r="G170" i="43"/>
  <c r="G169" i="43"/>
  <c r="G167" i="43"/>
  <c r="G166" i="43"/>
  <c r="G165" i="43"/>
  <c r="G164" i="43"/>
  <c r="G163" i="43"/>
  <c r="G161" i="43"/>
  <c r="G160" i="43"/>
  <c r="G159" i="43"/>
  <c r="G158" i="43"/>
  <c r="G157" i="43"/>
  <c r="G198" i="43"/>
  <c r="G197" i="43"/>
  <c r="G196" i="43"/>
  <c r="G195" i="43"/>
  <c r="G193" i="43"/>
  <c r="G192" i="43"/>
  <c r="G191" i="43"/>
  <c r="G190" i="43"/>
  <c r="G183" i="43"/>
  <c r="G182" i="43"/>
  <c r="G181" i="43"/>
  <c r="G180" i="43"/>
  <c r="G179" i="43"/>
  <c r="G187" i="43"/>
  <c r="G186" i="43"/>
  <c r="G185" i="43"/>
  <c r="G117" i="42"/>
  <c r="G116" i="42"/>
  <c r="G115" i="42"/>
  <c r="G114" i="42"/>
  <c r="G113" i="42"/>
  <c r="G112" i="42"/>
  <c r="G111" i="42"/>
  <c r="G110" i="42"/>
  <c r="G109" i="42"/>
  <c r="G108" i="42"/>
  <c r="G106" i="42"/>
  <c r="G105" i="42"/>
  <c r="G104" i="42"/>
  <c r="G103" i="42"/>
  <c r="G102" i="42"/>
  <c r="G101" i="42"/>
  <c r="G100" i="42"/>
  <c r="G99" i="42"/>
  <c r="G122" i="42"/>
  <c r="G121" i="42"/>
  <c r="G120" i="42"/>
  <c r="G140" i="42"/>
  <c r="G139" i="42"/>
  <c r="G138" i="42"/>
  <c r="G137" i="42"/>
  <c r="G136" i="42"/>
  <c r="G135" i="42"/>
  <c r="G134" i="42"/>
  <c r="G133" i="42"/>
  <c r="G132" i="42"/>
  <c r="G131" i="42"/>
  <c r="G130" i="42"/>
  <c r="G129" i="42"/>
  <c r="G128" i="42"/>
  <c r="G127" i="42"/>
  <c r="G126" i="42"/>
  <c r="G125" i="42"/>
  <c r="G153" i="42"/>
  <c r="G152" i="42"/>
  <c r="G151" i="42"/>
  <c r="G150" i="42"/>
  <c r="G149" i="42"/>
  <c r="G148" i="42"/>
  <c r="G147" i="42"/>
  <c r="G146" i="42"/>
  <c r="G145" i="42"/>
  <c r="G144" i="42"/>
  <c r="G143" i="42"/>
  <c r="G186" i="42"/>
  <c r="G185" i="42"/>
  <c r="G184" i="42"/>
  <c r="G183" i="42"/>
  <c r="G182" i="42"/>
  <c r="G181" i="42"/>
  <c r="G180" i="42"/>
  <c r="G179" i="42"/>
  <c r="G178" i="42"/>
  <c r="G176" i="42"/>
  <c r="G175" i="42"/>
  <c r="G174" i="42"/>
  <c r="G173" i="42"/>
  <c r="G172" i="42"/>
  <c r="G170" i="42"/>
  <c r="G169" i="42"/>
  <c r="G168" i="42"/>
  <c r="G167" i="42"/>
  <c r="G166" i="42"/>
  <c r="G165" i="42"/>
  <c r="G164" i="42"/>
  <c r="G163" i="42"/>
  <c r="G161" i="42"/>
  <c r="G160" i="42"/>
  <c r="G159" i="42"/>
  <c r="G158" i="42"/>
  <c r="G157" i="42"/>
  <c r="G190" i="42"/>
  <c r="G189" i="42"/>
  <c r="G188" i="42"/>
  <c r="G200" i="42"/>
  <c r="G199" i="42"/>
  <c r="G198" i="42"/>
  <c r="G197" i="42"/>
  <c r="G195" i="42"/>
  <c r="G194" i="42"/>
  <c r="G193" i="42"/>
  <c r="G115" i="41"/>
  <c r="G114" i="41"/>
  <c r="G113" i="41"/>
  <c r="G112" i="41"/>
  <c r="G111" i="41"/>
  <c r="G110" i="41"/>
  <c r="G109" i="41"/>
  <c r="G108" i="41"/>
  <c r="G107" i="41"/>
  <c r="G106" i="41"/>
  <c r="G104" i="41"/>
  <c r="G103" i="41"/>
  <c r="G102" i="41"/>
  <c r="G101" i="41"/>
  <c r="G100" i="41"/>
  <c r="G99" i="41"/>
  <c r="G98" i="41"/>
  <c r="G97" i="41"/>
  <c r="G120" i="41"/>
  <c r="G119" i="41"/>
  <c r="G118" i="41"/>
  <c r="G138" i="41"/>
  <c r="G137" i="41"/>
  <c r="G136" i="41"/>
  <c r="G135" i="41"/>
  <c r="G134" i="41"/>
  <c r="G133" i="41"/>
  <c r="G132" i="41"/>
  <c r="G131" i="41"/>
  <c r="G130" i="41"/>
  <c r="G129" i="41"/>
  <c r="G128" i="41"/>
  <c r="G127" i="41"/>
  <c r="G126" i="41"/>
  <c r="G125" i="41"/>
  <c r="G124" i="41"/>
  <c r="G123" i="41"/>
  <c r="G151" i="41"/>
  <c r="G150" i="41"/>
  <c r="G149" i="41"/>
  <c r="G148" i="41"/>
  <c r="G147" i="41"/>
  <c r="G146" i="41"/>
  <c r="G145" i="41"/>
  <c r="G144" i="41"/>
  <c r="G143" i="41"/>
  <c r="G142" i="41"/>
  <c r="G141" i="41"/>
  <c r="G174" i="41"/>
  <c r="G173" i="41"/>
  <c r="G172" i="41"/>
  <c r="G171" i="41"/>
  <c r="G169" i="41"/>
  <c r="G168" i="41"/>
  <c r="G167" i="41"/>
  <c r="G166" i="41"/>
  <c r="G159" i="41"/>
  <c r="G158" i="41"/>
  <c r="G157" i="41"/>
  <c r="G156" i="41"/>
  <c r="G155" i="41"/>
  <c r="G163" i="41"/>
  <c r="G162" i="41"/>
  <c r="G161" i="41"/>
  <c r="G123" i="40"/>
  <c r="G122" i="40"/>
  <c r="G121" i="40"/>
  <c r="G120" i="40"/>
  <c r="G119" i="40"/>
  <c r="G118" i="40"/>
  <c r="G117" i="40"/>
  <c r="G116" i="40"/>
  <c r="G115" i="40"/>
  <c r="G114" i="40"/>
  <c r="G112" i="40"/>
  <c r="G111" i="40"/>
  <c r="G110" i="40"/>
  <c r="G109" i="40"/>
  <c r="G108" i="40"/>
  <c r="G107" i="40"/>
  <c r="G106" i="40"/>
  <c r="G105" i="40"/>
  <c r="G128" i="40"/>
  <c r="G127" i="40"/>
  <c r="G126" i="40"/>
  <c r="G146" i="40"/>
  <c r="G145" i="40"/>
  <c r="G144" i="40"/>
  <c r="G143" i="40"/>
  <c r="G142" i="40"/>
  <c r="G141" i="40"/>
  <c r="G140" i="40"/>
  <c r="G139" i="40"/>
  <c r="G138" i="40"/>
  <c r="G137" i="40"/>
  <c r="G136" i="40"/>
  <c r="G135" i="40"/>
  <c r="G134" i="40"/>
  <c r="G133" i="40"/>
  <c r="G132" i="40"/>
  <c r="G131" i="40"/>
  <c r="G159" i="40"/>
  <c r="G158" i="40"/>
  <c r="G157" i="40"/>
  <c r="G156" i="40"/>
  <c r="G155" i="40"/>
  <c r="G154" i="40"/>
  <c r="G153" i="40"/>
  <c r="G152" i="40"/>
  <c r="G151" i="40"/>
  <c r="G150" i="40"/>
  <c r="G149" i="40"/>
  <c r="G183" i="40"/>
  <c r="G182" i="40"/>
  <c r="G181" i="40"/>
  <c r="G180" i="40"/>
  <c r="G179" i="40"/>
  <c r="G178" i="40"/>
  <c r="G177" i="40"/>
  <c r="G176" i="40"/>
  <c r="G175" i="40"/>
  <c r="G173" i="40"/>
  <c r="G172" i="40"/>
  <c r="G171" i="40"/>
  <c r="G170" i="40"/>
  <c r="G169" i="40"/>
  <c r="G167" i="40"/>
  <c r="G166" i="40"/>
  <c r="G165" i="40"/>
  <c r="G164" i="40"/>
  <c r="G163" i="40"/>
  <c r="G198" i="40"/>
  <c r="G197" i="40"/>
  <c r="G196" i="40"/>
  <c r="G195" i="40"/>
  <c r="G193" i="40"/>
  <c r="G192" i="40"/>
  <c r="G191" i="40"/>
  <c r="G190" i="40"/>
  <c r="G187" i="40"/>
  <c r="G186" i="40"/>
  <c r="G185" i="40"/>
  <c r="G100" i="39"/>
  <c r="G99" i="39"/>
  <c r="G98" i="39"/>
  <c r="G97" i="39"/>
  <c r="G96" i="39"/>
  <c r="G95" i="39"/>
  <c r="G94" i="39"/>
  <c r="G93" i="39"/>
  <c r="G105" i="39"/>
  <c r="G104" i="39"/>
  <c r="G103" i="39"/>
  <c r="G123" i="39"/>
  <c r="G122" i="39"/>
  <c r="G121" i="39"/>
  <c r="G120" i="39"/>
  <c r="G119" i="39"/>
  <c r="G118" i="39"/>
  <c r="G117" i="39"/>
  <c r="G116" i="39"/>
  <c r="G115" i="39"/>
  <c r="G114" i="39"/>
  <c r="G113" i="39"/>
  <c r="G112" i="39"/>
  <c r="G111" i="39"/>
  <c r="G110" i="39"/>
  <c r="G109" i="39"/>
  <c r="G108" i="39"/>
  <c r="G136" i="39"/>
  <c r="G135" i="39"/>
  <c r="G134" i="39"/>
  <c r="G133" i="39"/>
  <c r="G132" i="39"/>
  <c r="G131" i="39"/>
  <c r="G130" i="39"/>
  <c r="G129" i="39"/>
  <c r="G128" i="39"/>
  <c r="G127" i="39"/>
  <c r="G126" i="39"/>
  <c r="G144" i="39"/>
  <c r="G143" i="39"/>
  <c r="G142" i="39"/>
  <c r="G141" i="39"/>
  <c r="G140" i="39"/>
  <c r="G159" i="39"/>
  <c r="G158" i="39"/>
  <c r="G157" i="39"/>
  <c r="G156" i="39"/>
  <c r="G154" i="39"/>
  <c r="G153" i="39"/>
  <c r="G152" i="39"/>
  <c r="G151" i="39"/>
  <c r="G148" i="39"/>
  <c r="G147" i="39"/>
  <c r="G146" i="39"/>
  <c r="G100" i="38"/>
  <c r="G99" i="38"/>
  <c r="G98" i="38"/>
  <c r="G97" i="38"/>
  <c r="G96" i="38"/>
  <c r="G95" i="38"/>
  <c r="G94" i="38"/>
  <c r="G93" i="38"/>
  <c r="G92" i="38"/>
  <c r="G91" i="38"/>
  <c r="G125" i="38"/>
  <c r="G124" i="38"/>
  <c r="G123" i="38"/>
  <c r="G122" i="38"/>
  <c r="G121" i="38"/>
  <c r="G120" i="38"/>
  <c r="G119" i="38"/>
  <c r="G118" i="38"/>
  <c r="G117" i="38"/>
  <c r="G115" i="38"/>
  <c r="G114" i="38"/>
  <c r="G113" i="38"/>
  <c r="G112" i="38"/>
  <c r="G111" i="38"/>
  <c r="G110" i="38"/>
  <c r="G109" i="38"/>
  <c r="G108" i="38"/>
  <c r="G105" i="38"/>
  <c r="G104" i="38"/>
  <c r="G103" i="38"/>
  <c r="G131" i="38"/>
  <c r="G130" i="38"/>
  <c r="G129" i="38"/>
  <c r="G128" i="38"/>
  <c r="G118" i="37"/>
  <c r="G117" i="37"/>
  <c r="G116" i="37"/>
  <c r="G115" i="37"/>
  <c r="G114" i="37"/>
  <c r="G113" i="37"/>
  <c r="G112" i="37"/>
  <c r="G111" i="37"/>
  <c r="G110" i="37"/>
  <c r="G109" i="37"/>
  <c r="G107" i="37"/>
  <c r="G106" i="37"/>
  <c r="G105" i="37"/>
  <c r="G104" i="37"/>
  <c r="G103" i="37"/>
  <c r="G102" i="37"/>
  <c r="G101" i="37"/>
  <c r="G100" i="37"/>
  <c r="G123" i="37"/>
  <c r="G122" i="37"/>
  <c r="G121" i="37"/>
  <c r="G141" i="37"/>
  <c r="G140" i="37"/>
  <c r="G139" i="37"/>
  <c r="G138" i="37"/>
  <c r="G137" i="37"/>
  <c r="G136" i="37"/>
  <c r="G135" i="37"/>
  <c r="G134" i="37"/>
  <c r="G133" i="37"/>
  <c r="G132" i="37"/>
  <c r="G131" i="37"/>
  <c r="G130" i="37"/>
  <c r="G129" i="37"/>
  <c r="G128" i="37"/>
  <c r="G127" i="37"/>
  <c r="G126" i="37"/>
  <c r="G154" i="37"/>
  <c r="G153" i="37"/>
  <c r="G152" i="37"/>
  <c r="G151" i="37"/>
  <c r="G150" i="37"/>
  <c r="G149" i="37"/>
  <c r="G148" i="37"/>
  <c r="G147" i="37"/>
  <c r="G146" i="37"/>
  <c r="G145" i="37"/>
  <c r="G144" i="37"/>
  <c r="G187" i="37"/>
  <c r="G186" i="37"/>
  <c r="G185" i="37"/>
  <c r="G184" i="37"/>
  <c r="G183" i="37"/>
  <c r="G182" i="37"/>
  <c r="G181" i="37"/>
  <c r="G180" i="37"/>
  <c r="G179" i="37"/>
  <c r="G177" i="37"/>
  <c r="G176" i="37"/>
  <c r="G175" i="37"/>
  <c r="G174" i="37"/>
  <c r="G173" i="37"/>
  <c r="G171" i="37"/>
  <c r="G170" i="37"/>
  <c r="G169" i="37"/>
  <c r="G168" i="37"/>
  <c r="G167" i="37"/>
  <c r="G166" i="37"/>
  <c r="G165" i="37"/>
  <c r="G164" i="37"/>
  <c r="G162" i="37"/>
  <c r="G161" i="37"/>
  <c r="G160" i="37"/>
  <c r="G159" i="37"/>
  <c r="G158" i="37"/>
  <c r="G191" i="37"/>
  <c r="G190" i="37"/>
  <c r="G189" i="37"/>
  <c r="G202" i="37"/>
  <c r="G201" i="37"/>
  <c r="G200" i="37"/>
  <c r="G199" i="37"/>
  <c r="G197" i="37"/>
  <c r="G196" i="37"/>
  <c r="G195" i="37"/>
  <c r="G194" i="37"/>
  <c r="G120" i="36"/>
  <c r="G119" i="36"/>
  <c r="G118" i="36"/>
  <c r="G117" i="36"/>
  <c r="G116" i="36"/>
  <c r="G115" i="36"/>
  <c r="G114" i="36"/>
  <c r="G113" i="36"/>
  <c r="G112" i="36"/>
  <c r="G111" i="36"/>
  <c r="G109" i="36"/>
  <c r="G108" i="36"/>
  <c r="G107" i="36"/>
  <c r="G106" i="36"/>
  <c r="G105" i="36"/>
  <c r="G104" i="36"/>
  <c r="G103" i="36"/>
  <c r="G102" i="36"/>
  <c r="G125" i="36"/>
  <c r="G124" i="36"/>
  <c r="G123" i="36"/>
  <c r="G143" i="36"/>
  <c r="G142" i="36"/>
  <c r="G141" i="36"/>
  <c r="G140" i="36"/>
  <c r="G139" i="36"/>
  <c r="G138" i="36"/>
  <c r="G137" i="36"/>
  <c r="G136" i="36"/>
  <c r="G135" i="36"/>
  <c r="G134" i="36"/>
  <c r="G133" i="36"/>
  <c r="G132" i="36"/>
  <c r="G131" i="36"/>
  <c r="G130" i="36"/>
  <c r="G129" i="36"/>
  <c r="G128" i="36"/>
  <c r="G156" i="36"/>
  <c r="G155" i="36"/>
  <c r="G154" i="36"/>
  <c r="G153" i="36"/>
  <c r="G152" i="36"/>
  <c r="G151" i="36"/>
  <c r="G150" i="36"/>
  <c r="G149" i="36"/>
  <c r="G148" i="36"/>
  <c r="G147" i="36"/>
  <c r="G146" i="36"/>
  <c r="G190" i="36"/>
  <c r="G189" i="36"/>
  <c r="G188" i="36"/>
  <c r="G187" i="36"/>
  <c r="G186" i="36"/>
  <c r="G185" i="36"/>
  <c r="G184" i="36"/>
  <c r="G183" i="36"/>
  <c r="G182" i="36"/>
  <c r="G180" i="36"/>
  <c r="G179" i="36"/>
  <c r="G178" i="36"/>
  <c r="G177" i="36"/>
  <c r="G176" i="36"/>
  <c r="G175" i="36"/>
  <c r="G174" i="36"/>
  <c r="G173" i="36"/>
  <c r="G172" i="36"/>
  <c r="G170" i="36"/>
  <c r="G169" i="36"/>
  <c r="G168" i="36"/>
  <c r="G167" i="36"/>
  <c r="G166" i="36"/>
  <c r="G164" i="36"/>
  <c r="G163" i="36"/>
  <c r="G162" i="36"/>
  <c r="G161" i="36"/>
  <c r="G160" i="36"/>
  <c r="G204" i="36"/>
  <c r="G203" i="36"/>
  <c r="G202" i="36"/>
  <c r="G201" i="36"/>
  <c r="G199" i="36"/>
  <c r="G198" i="36"/>
  <c r="G197" i="36"/>
  <c r="G194" i="36"/>
  <c r="G193" i="36"/>
  <c r="G192" i="36"/>
  <c r="G119" i="35"/>
  <c r="G118" i="35"/>
  <c r="G117" i="35"/>
  <c r="G116" i="35"/>
  <c r="G115" i="35"/>
  <c r="G114" i="35"/>
  <c r="G113" i="35"/>
  <c r="G112" i="35"/>
  <c r="G111" i="35"/>
  <c r="G110" i="35"/>
  <c r="G108" i="35"/>
  <c r="G107" i="35"/>
  <c r="G106" i="35"/>
  <c r="G105" i="35"/>
  <c r="G104" i="35"/>
  <c r="G103" i="35"/>
  <c r="G102" i="35"/>
  <c r="G101" i="35"/>
  <c r="G124" i="35"/>
  <c r="G123" i="35"/>
  <c r="G122" i="35"/>
  <c r="G142" i="35"/>
  <c r="G141" i="35"/>
  <c r="G140" i="35"/>
  <c r="G139" i="35"/>
  <c r="G138" i="35"/>
  <c r="G137" i="35"/>
  <c r="G136" i="35"/>
  <c r="G135" i="35"/>
  <c r="G134" i="35"/>
  <c r="G133" i="35"/>
  <c r="G132" i="35"/>
  <c r="G131" i="35"/>
  <c r="G130" i="35"/>
  <c r="G129" i="35"/>
  <c r="G128" i="35"/>
  <c r="G127" i="35"/>
  <c r="G155" i="35"/>
  <c r="G154" i="35"/>
  <c r="G153" i="35"/>
  <c r="G152" i="35"/>
  <c r="G151" i="35"/>
  <c r="G150" i="35"/>
  <c r="G149" i="35"/>
  <c r="G148" i="35"/>
  <c r="G147" i="35"/>
  <c r="G146" i="35"/>
  <c r="G145" i="35"/>
  <c r="G173" i="35"/>
  <c r="G172" i="35"/>
  <c r="G171" i="35"/>
  <c r="G170" i="35"/>
  <c r="G169" i="35"/>
  <c r="G168" i="35"/>
  <c r="G167" i="35"/>
  <c r="G166" i="35"/>
  <c r="G165" i="35"/>
  <c r="G163" i="35"/>
  <c r="G162" i="35"/>
  <c r="G161" i="35"/>
  <c r="G160" i="35"/>
  <c r="G159" i="35"/>
  <c r="G183" i="35"/>
  <c r="G182" i="35"/>
  <c r="G181" i="35"/>
  <c r="G180" i="35"/>
  <c r="G178" i="35"/>
  <c r="G177" i="35"/>
  <c r="G176" i="35"/>
  <c r="G107" i="34"/>
  <c r="G106" i="34"/>
  <c r="G105" i="34"/>
  <c r="G104" i="34"/>
  <c r="G103" i="34"/>
  <c r="G102" i="34"/>
  <c r="G101" i="34"/>
  <c r="G100" i="34"/>
  <c r="G99" i="34"/>
  <c r="G98" i="34"/>
  <c r="G112" i="34"/>
  <c r="G111" i="34"/>
  <c r="G110" i="34"/>
  <c r="G130" i="34"/>
  <c r="G129" i="34"/>
  <c r="G128" i="34"/>
  <c r="G127" i="34"/>
  <c r="G126" i="34"/>
  <c r="G125" i="34"/>
  <c r="G124" i="34"/>
  <c r="G123" i="34"/>
  <c r="G122" i="34"/>
  <c r="G121" i="34"/>
  <c r="G120" i="34"/>
  <c r="G119" i="34"/>
  <c r="G118" i="34"/>
  <c r="G117" i="34"/>
  <c r="G116" i="34"/>
  <c r="G115" i="34"/>
  <c r="G143" i="34"/>
  <c r="G142" i="34"/>
  <c r="G141" i="34"/>
  <c r="G140" i="34"/>
  <c r="G139" i="34"/>
  <c r="G138" i="34"/>
  <c r="G137" i="34"/>
  <c r="G136" i="34"/>
  <c r="G135" i="34"/>
  <c r="G134" i="34"/>
  <c r="G133" i="34"/>
  <c r="G155" i="34"/>
  <c r="G154" i="34"/>
  <c r="G153" i="34"/>
  <c r="G151" i="34"/>
  <c r="G150" i="34"/>
  <c r="G149" i="34"/>
  <c r="G148" i="34"/>
  <c r="G147" i="34"/>
  <c r="G165" i="34"/>
  <c r="G164" i="34"/>
  <c r="G163" i="34"/>
  <c r="G162" i="34"/>
  <c r="G160" i="34"/>
  <c r="G159" i="34"/>
  <c r="G158" i="34"/>
  <c r="G101" i="33"/>
  <c r="G100" i="33"/>
  <c r="G99" i="33"/>
  <c r="G98" i="33"/>
  <c r="G97" i="33"/>
  <c r="G96" i="33"/>
  <c r="G95" i="33"/>
  <c r="G94" i="33"/>
  <c r="G106" i="33"/>
  <c r="G105" i="33"/>
  <c r="G104" i="33"/>
  <c r="G124" i="33"/>
  <c r="G123" i="33"/>
  <c r="G122" i="33"/>
  <c r="G121" i="33"/>
  <c r="G120" i="33"/>
  <c r="G119" i="33"/>
  <c r="G118" i="33"/>
  <c r="G117" i="33"/>
  <c r="G116" i="33"/>
  <c r="G115" i="33"/>
  <c r="G114" i="33"/>
  <c r="G113" i="33"/>
  <c r="G112" i="33"/>
  <c r="G111" i="33"/>
  <c r="G110" i="33"/>
  <c r="G109" i="33"/>
  <c r="G137" i="33"/>
  <c r="G136" i="33"/>
  <c r="G135" i="33"/>
  <c r="G134" i="33"/>
  <c r="G133" i="33"/>
  <c r="G132" i="33"/>
  <c r="G131" i="33"/>
  <c r="G130" i="33"/>
  <c r="G129" i="33"/>
  <c r="G128" i="33"/>
  <c r="G127" i="33"/>
  <c r="G155" i="33"/>
  <c r="G154" i="33"/>
  <c r="G153" i="33"/>
  <c r="G152" i="33"/>
  <c r="G151" i="33"/>
  <c r="G150" i="33"/>
  <c r="G149" i="33"/>
  <c r="G148" i="33"/>
  <c r="G147" i="33"/>
  <c r="G145" i="33"/>
  <c r="G144" i="33"/>
  <c r="G143" i="33"/>
  <c r="G142" i="33"/>
  <c r="G141" i="33"/>
  <c r="G161" i="33"/>
  <c r="G160" i="33"/>
  <c r="G159" i="33"/>
  <c r="G158" i="33"/>
  <c r="G108" i="32"/>
  <c r="G107" i="32"/>
  <c r="G106" i="32"/>
  <c r="G105" i="32"/>
  <c r="G104" i="32"/>
  <c r="G103" i="32"/>
  <c r="G102" i="32"/>
  <c r="G101" i="32"/>
  <c r="G100" i="32"/>
  <c r="G99" i="32"/>
  <c r="G97" i="32"/>
  <c r="G96" i="32"/>
  <c r="G95" i="32"/>
  <c r="G94" i="32"/>
  <c r="G93" i="32"/>
  <c r="G92" i="32"/>
  <c r="G91" i="32"/>
  <c r="G90" i="32"/>
  <c r="G113" i="32"/>
  <c r="G112" i="32"/>
  <c r="G111" i="32"/>
  <c r="G131" i="32"/>
  <c r="G130" i="32"/>
  <c r="G129" i="32"/>
  <c r="G128" i="32"/>
  <c r="G127" i="32"/>
  <c r="G126" i="32"/>
  <c r="G125" i="32"/>
  <c r="G124" i="32"/>
  <c r="G123" i="32"/>
  <c r="G122" i="32"/>
  <c r="G121" i="32"/>
  <c r="G120" i="32"/>
  <c r="G119" i="32"/>
  <c r="G118" i="32"/>
  <c r="G117" i="32"/>
  <c r="G116" i="32"/>
  <c r="G152" i="32"/>
  <c r="G151" i="32"/>
  <c r="G150" i="32"/>
  <c r="G149" i="32"/>
  <c r="G148" i="32"/>
  <c r="G144" i="32"/>
  <c r="G143" i="32"/>
  <c r="G142" i="32"/>
  <c r="G141" i="32"/>
  <c r="G140" i="32"/>
  <c r="G139" i="32"/>
  <c r="G138" i="32"/>
  <c r="G137" i="32"/>
  <c r="G136" i="32"/>
  <c r="G135" i="32"/>
  <c r="G134" i="32"/>
  <c r="G158" i="32"/>
  <c r="G157" i="32"/>
  <c r="G156" i="32"/>
  <c r="G155" i="32"/>
  <c r="G131" i="31"/>
  <c r="G130" i="31"/>
  <c r="G129" i="31"/>
  <c r="G128" i="31"/>
  <c r="G127" i="31"/>
  <c r="G126" i="31"/>
  <c r="G125" i="31"/>
  <c r="G124" i="31"/>
  <c r="G123" i="31"/>
  <c r="G122" i="31"/>
  <c r="G120" i="31"/>
  <c r="G119" i="31"/>
  <c r="G118" i="31"/>
  <c r="G117" i="31"/>
  <c r="G116" i="31"/>
  <c r="G115" i="31"/>
  <c r="G114" i="31"/>
  <c r="G113" i="31"/>
  <c r="G111" i="31"/>
  <c r="G110" i="31"/>
  <c r="G109" i="31"/>
  <c r="G108" i="31"/>
  <c r="G107" i="31"/>
  <c r="G106" i="31"/>
  <c r="G105" i="31"/>
  <c r="G136" i="31"/>
  <c r="G135" i="31"/>
  <c r="G134" i="31"/>
  <c r="G153" i="31"/>
  <c r="G152" i="31"/>
  <c r="G151" i="31"/>
  <c r="G150" i="31"/>
  <c r="G149" i="31"/>
  <c r="G148" i="31"/>
  <c r="G147" i="31"/>
  <c r="G146" i="31"/>
  <c r="G145" i="31"/>
  <c r="G144" i="31"/>
  <c r="G143" i="31"/>
  <c r="G142" i="31"/>
  <c r="G141" i="31"/>
  <c r="G140" i="31"/>
  <c r="G139" i="31"/>
  <c r="G166" i="31"/>
  <c r="G165" i="31"/>
  <c r="G164" i="31"/>
  <c r="G163" i="31"/>
  <c r="G162" i="31"/>
  <c r="G161" i="31"/>
  <c r="G160" i="31"/>
  <c r="G159" i="31"/>
  <c r="G158" i="31"/>
  <c r="G157" i="31"/>
  <c r="G156" i="31"/>
  <c r="G198" i="31"/>
  <c r="G197" i="31"/>
  <c r="G196" i="31"/>
  <c r="G195" i="31"/>
  <c r="G194" i="31"/>
  <c r="G193" i="31"/>
  <c r="G192" i="31"/>
  <c r="G191" i="31"/>
  <c r="G190" i="31"/>
  <c r="G188" i="31"/>
  <c r="G187" i="31"/>
  <c r="G186" i="31"/>
  <c r="G185" i="31"/>
  <c r="G184" i="31"/>
  <c r="G183" i="31"/>
  <c r="G182" i="31"/>
  <c r="G181" i="31"/>
  <c r="G179" i="31"/>
  <c r="G178" i="31"/>
  <c r="G177" i="31"/>
  <c r="G176" i="31"/>
  <c r="G175" i="31"/>
  <c r="G173" i="31"/>
  <c r="G172" i="31"/>
  <c r="G171" i="31"/>
  <c r="G170" i="31"/>
  <c r="G214" i="31"/>
  <c r="G213" i="31"/>
  <c r="G212" i="31"/>
  <c r="G211" i="31"/>
  <c r="G209" i="31"/>
  <c r="G208" i="31"/>
  <c r="G207" i="31"/>
  <c r="G206" i="31"/>
  <c r="G204" i="31"/>
  <c r="G203" i="31"/>
  <c r="G202" i="31"/>
  <c r="G201" i="31"/>
  <c r="G115" i="29"/>
  <c r="G114" i="29"/>
  <c r="G113" i="29"/>
  <c r="G112" i="29"/>
  <c r="G111" i="29"/>
  <c r="G110" i="29"/>
  <c r="G109" i="29"/>
  <c r="G108" i="29"/>
  <c r="G107" i="29"/>
  <c r="G106" i="29"/>
  <c r="G104" i="29"/>
  <c r="G103" i="29"/>
  <c r="G102" i="29"/>
  <c r="G101" i="29"/>
  <c r="G100" i="29"/>
  <c r="G99" i="29"/>
  <c r="G98" i="29"/>
  <c r="G97" i="29"/>
  <c r="G120" i="29"/>
  <c r="G119" i="29"/>
  <c r="G118" i="29"/>
  <c r="G138" i="29"/>
  <c r="G137" i="29"/>
  <c r="G136" i="29"/>
  <c r="G135" i="29"/>
  <c r="G134" i="29"/>
  <c r="G133" i="29"/>
  <c r="G132" i="29"/>
  <c r="G131" i="29"/>
  <c r="G130" i="29"/>
  <c r="G129" i="29"/>
  <c r="G128" i="29"/>
  <c r="G127" i="29"/>
  <c r="G126" i="29"/>
  <c r="G125" i="29"/>
  <c r="G124" i="29"/>
  <c r="G123" i="29"/>
  <c r="G151" i="29"/>
  <c r="G150" i="29"/>
  <c r="G149" i="29"/>
  <c r="G148" i="29"/>
  <c r="G147" i="29"/>
  <c r="G146" i="29"/>
  <c r="G145" i="29"/>
  <c r="G144" i="29"/>
  <c r="G143" i="29"/>
  <c r="G142" i="29"/>
  <c r="G141" i="29"/>
  <c r="G169" i="29"/>
  <c r="G168" i="29"/>
  <c r="G167" i="29"/>
  <c r="G166" i="29"/>
  <c r="G165" i="29"/>
  <c r="G164" i="29"/>
  <c r="G163" i="29"/>
  <c r="G162" i="29"/>
  <c r="G161" i="29"/>
  <c r="G159" i="29"/>
  <c r="G158" i="29"/>
  <c r="G157" i="29"/>
  <c r="G156" i="29"/>
  <c r="G155" i="29"/>
  <c r="G180" i="29"/>
  <c r="G179" i="29"/>
  <c r="G178" i="29"/>
  <c r="G177" i="29"/>
  <c r="G175" i="29"/>
  <c r="G174" i="29"/>
  <c r="G173" i="29"/>
  <c r="G172" i="29"/>
  <c r="G98" i="28"/>
  <c r="G97" i="28"/>
  <c r="G96" i="28"/>
  <c r="G95" i="28"/>
  <c r="G94" i="28"/>
  <c r="G93" i="28"/>
  <c r="G92" i="28"/>
  <c r="G91" i="28"/>
  <c r="G90" i="28"/>
  <c r="G89" i="28"/>
  <c r="G103" i="28"/>
  <c r="G102" i="28"/>
  <c r="G101" i="28"/>
  <c r="G113" i="28"/>
  <c r="G112" i="28"/>
  <c r="G111" i="28"/>
  <c r="G110" i="28"/>
  <c r="G109" i="28"/>
  <c r="G108" i="28"/>
  <c r="G107" i="28"/>
  <c r="G106" i="28"/>
  <c r="G119" i="28"/>
  <c r="G118" i="28"/>
  <c r="G117" i="28"/>
  <c r="G116" i="28"/>
  <c r="G122" i="27"/>
  <c r="G121" i="27"/>
  <c r="G120" i="27"/>
  <c r="G119" i="27"/>
  <c r="G118" i="27"/>
  <c r="G117" i="27"/>
  <c r="G116" i="27"/>
  <c r="G115" i="27"/>
  <c r="G114" i="27"/>
  <c r="G113" i="27"/>
  <c r="G111" i="27"/>
  <c r="G110" i="27"/>
  <c r="G109" i="27"/>
  <c r="G108" i="27"/>
  <c r="G107" i="27"/>
  <c r="G106" i="27"/>
  <c r="G105" i="27"/>
  <c r="G104" i="27"/>
  <c r="G127" i="27"/>
  <c r="G126" i="27"/>
  <c r="G125" i="27"/>
  <c r="G145" i="27"/>
  <c r="G144" i="27"/>
  <c r="G143" i="27"/>
  <c r="G142" i="27"/>
  <c r="G141" i="27"/>
  <c r="G140" i="27"/>
  <c r="G139" i="27"/>
  <c r="G138" i="27"/>
  <c r="G137" i="27"/>
  <c r="G136" i="27"/>
  <c r="G135" i="27"/>
  <c r="G134" i="27"/>
  <c r="G133" i="27"/>
  <c r="G132" i="27"/>
  <c r="G131" i="27"/>
  <c r="G130" i="27"/>
  <c r="G158" i="27"/>
  <c r="G157" i="27"/>
  <c r="G156" i="27"/>
  <c r="G155" i="27"/>
  <c r="G154" i="27"/>
  <c r="G153" i="27"/>
  <c r="G152" i="27"/>
  <c r="G151" i="27"/>
  <c r="G150" i="27"/>
  <c r="G149" i="27"/>
  <c r="G148" i="27"/>
  <c r="G176" i="27"/>
  <c r="G175" i="27"/>
  <c r="G174" i="27"/>
  <c r="G173" i="27"/>
  <c r="G172" i="27"/>
  <c r="G171" i="27"/>
  <c r="G170" i="27"/>
  <c r="G169" i="27"/>
  <c r="G168" i="27"/>
  <c r="G166" i="27"/>
  <c r="G165" i="27"/>
  <c r="G164" i="27"/>
  <c r="G163" i="27"/>
  <c r="G162" i="27"/>
  <c r="G191" i="27"/>
  <c r="G190" i="27"/>
  <c r="G189" i="27"/>
  <c r="G188" i="27"/>
  <c r="G186" i="27"/>
  <c r="G185" i="27"/>
  <c r="G184" i="27"/>
  <c r="G183" i="27"/>
  <c r="G180" i="27"/>
  <c r="G179" i="27"/>
  <c r="G178" i="27"/>
  <c r="G140" i="26"/>
  <c r="G139" i="26"/>
  <c r="G138" i="26"/>
  <c r="G137" i="26"/>
  <c r="G136" i="26"/>
  <c r="G135" i="26"/>
  <c r="G134" i="26"/>
  <c r="G133" i="26"/>
  <c r="G132" i="26"/>
  <c r="G131" i="26"/>
  <c r="G129" i="26"/>
  <c r="G128" i="26"/>
  <c r="G127" i="26"/>
  <c r="G126" i="26"/>
  <c r="G125" i="26"/>
  <c r="G124" i="26"/>
  <c r="G123" i="26"/>
  <c r="G122" i="26"/>
  <c r="G120" i="26"/>
  <c r="G119" i="26"/>
  <c r="G118" i="26"/>
  <c r="G117" i="26"/>
  <c r="G116" i="26"/>
  <c r="G115" i="26"/>
  <c r="G114" i="26"/>
  <c r="G145" i="26"/>
  <c r="G144" i="26"/>
  <c r="G143" i="26"/>
  <c r="G179" i="26"/>
  <c r="G178" i="26"/>
  <c r="G177" i="26"/>
  <c r="G176" i="26"/>
  <c r="G175" i="26"/>
  <c r="G174" i="26"/>
  <c r="G173" i="26"/>
  <c r="G172" i="26"/>
  <c r="G171" i="26"/>
  <c r="G170" i="26"/>
  <c r="G169" i="26"/>
  <c r="G168" i="26"/>
  <c r="G167" i="26"/>
  <c r="G166" i="26"/>
  <c r="G165" i="26"/>
  <c r="G164" i="26"/>
  <c r="G162" i="26"/>
  <c r="G161" i="26"/>
  <c r="G160" i="26"/>
  <c r="G159" i="26"/>
  <c r="G158" i="26"/>
  <c r="G157" i="26"/>
  <c r="G156" i="26"/>
  <c r="G155" i="26"/>
  <c r="G154" i="26"/>
  <c r="G153" i="26"/>
  <c r="G152" i="26"/>
  <c r="G151" i="26"/>
  <c r="G150" i="26"/>
  <c r="G149" i="26"/>
  <c r="G148" i="26"/>
  <c r="G203" i="26"/>
  <c r="G202" i="26"/>
  <c r="G201" i="26"/>
  <c r="G200" i="26"/>
  <c r="G199" i="26"/>
  <c r="G198" i="26"/>
  <c r="G197" i="26"/>
  <c r="G196" i="26"/>
  <c r="G195" i="26"/>
  <c r="G194" i="26"/>
  <c r="G193" i="26"/>
  <c r="G191" i="26"/>
  <c r="G190" i="26"/>
  <c r="G189" i="26"/>
  <c r="G188" i="26"/>
  <c r="G187" i="26"/>
  <c r="G186" i="26"/>
  <c r="G185" i="26"/>
  <c r="G184" i="26"/>
  <c r="G183" i="26"/>
  <c r="G182" i="26"/>
  <c r="G237" i="26"/>
  <c r="G236" i="26"/>
  <c r="G235" i="26"/>
  <c r="G234" i="26"/>
  <c r="G233" i="26"/>
  <c r="G232" i="26"/>
  <c r="G231" i="26"/>
  <c r="G230" i="26"/>
  <c r="G228" i="26"/>
  <c r="G227" i="26"/>
  <c r="G226" i="26"/>
  <c r="G225" i="26"/>
  <c r="G224" i="26"/>
  <c r="G222" i="26"/>
  <c r="G221" i="26"/>
  <c r="G220" i="26"/>
  <c r="G219" i="26"/>
  <c r="G218" i="26"/>
  <c r="G216" i="26"/>
  <c r="G215" i="26"/>
  <c r="G214" i="26"/>
  <c r="G213" i="26"/>
  <c r="G211" i="26"/>
  <c r="G210" i="26"/>
  <c r="G209" i="26"/>
  <c r="G208" i="26"/>
  <c r="G207" i="26"/>
  <c r="G241" i="26"/>
  <c r="G240" i="26"/>
  <c r="G239" i="26"/>
  <c r="G123" i="25"/>
  <c r="G122" i="25"/>
  <c r="G121" i="25"/>
  <c r="G120" i="25"/>
  <c r="G119" i="25"/>
  <c r="G118" i="25"/>
  <c r="G117" i="25"/>
  <c r="G116" i="25"/>
  <c r="G115" i="25"/>
  <c r="G114" i="25"/>
  <c r="G112" i="25"/>
  <c r="G111" i="25"/>
  <c r="G110" i="25"/>
  <c r="G109" i="25"/>
  <c r="G108" i="25"/>
  <c r="G107" i="25"/>
  <c r="G106" i="25"/>
  <c r="G105" i="25"/>
  <c r="G128" i="25"/>
  <c r="G127" i="25"/>
  <c r="G126" i="25"/>
  <c r="G146" i="25"/>
  <c r="G145" i="25"/>
  <c r="G144" i="25"/>
  <c r="G143" i="25"/>
  <c r="G142" i="25"/>
  <c r="G141" i="25"/>
  <c r="G140" i="25"/>
  <c r="G139" i="25"/>
  <c r="G138" i="25"/>
  <c r="G137" i="25"/>
  <c r="G136" i="25"/>
  <c r="G135" i="25"/>
  <c r="G134" i="25"/>
  <c r="G133" i="25"/>
  <c r="G132" i="25"/>
  <c r="G131" i="25"/>
  <c r="G159" i="25"/>
  <c r="G158" i="25"/>
  <c r="G157" i="25"/>
  <c r="G156" i="25"/>
  <c r="G155" i="25"/>
  <c r="G154" i="25"/>
  <c r="G153" i="25"/>
  <c r="G152" i="25"/>
  <c r="G151" i="25"/>
  <c r="G150" i="25"/>
  <c r="G149" i="25"/>
  <c r="G177" i="25"/>
  <c r="G176" i="25"/>
  <c r="G175" i="25"/>
  <c r="G174" i="25"/>
  <c r="G173" i="25"/>
  <c r="G172" i="25"/>
  <c r="G171" i="25"/>
  <c r="G170" i="25"/>
  <c r="G169" i="25"/>
  <c r="G167" i="25"/>
  <c r="G166" i="25"/>
  <c r="G165" i="25"/>
  <c r="G164" i="25"/>
  <c r="G163" i="25"/>
  <c r="G181" i="25"/>
  <c r="G180" i="25"/>
  <c r="G179" i="25"/>
  <c r="G120" i="24"/>
  <c r="G119" i="24"/>
  <c r="G118" i="24"/>
  <c r="G117" i="24"/>
  <c r="G116" i="24"/>
  <c r="G115" i="24"/>
  <c r="G114" i="24"/>
  <c r="G113" i="24"/>
  <c r="G112" i="24"/>
  <c r="G111" i="24"/>
  <c r="G109" i="24"/>
  <c r="G108" i="24"/>
  <c r="G107" i="24"/>
  <c r="G106" i="24"/>
  <c r="G105" i="24"/>
  <c r="G104" i="24"/>
  <c r="G103" i="24"/>
  <c r="G102" i="24"/>
  <c r="G125" i="24"/>
  <c r="G124" i="24"/>
  <c r="G123" i="24"/>
  <c r="G143" i="24"/>
  <c r="G142" i="24"/>
  <c r="G141" i="24"/>
  <c r="G140" i="24"/>
  <c r="G139" i="24"/>
  <c r="G138" i="24"/>
  <c r="G137" i="24"/>
  <c r="G136" i="24"/>
  <c r="G135" i="24"/>
  <c r="G134" i="24"/>
  <c r="G133" i="24"/>
  <c r="G132" i="24"/>
  <c r="G131" i="24"/>
  <c r="G130" i="24"/>
  <c r="G129" i="24"/>
  <c r="G128" i="24"/>
  <c r="G156" i="24"/>
  <c r="G155" i="24"/>
  <c r="G154" i="24"/>
  <c r="G153" i="24"/>
  <c r="G152" i="24"/>
  <c r="G151" i="24"/>
  <c r="G150" i="24"/>
  <c r="G149" i="24"/>
  <c r="G148" i="24"/>
  <c r="G147" i="24"/>
  <c r="G146" i="24"/>
  <c r="G174" i="24"/>
  <c r="G173" i="24"/>
  <c r="G172" i="24"/>
  <c r="G171" i="24"/>
  <c r="G170" i="24"/>
  <c r="G169" i="24"/>
  <c r="G168" i="24"/>
  <c r="G167" i="24"/>
  <c r="G166" i="24"/>
  <c r="G164" i="24"/>
  <c r="G163" i="24"/>
  <c r="G162" i="24"/>
  <c r="G161" i="24"/>
  <c r="G160" i="24"/>
  <c r="G185" i="23"/>
  <c r="G184" i="23"/>
  <c r="G183" i="23"/>
  <c r="G182" i="23"/>
  <c r="G180" i="23"/>
  <c r="G179" i="23"/>
  <c r="G178" i="23"/>
  <c r="G177" i="23"/>
  <c r="G193" i="24"/>
  <c r="G192" i="24"/>
  <c r="G191" i="24"/>
  <c r="G190" i="24"/>
  <c r="G188" i="24"/>
  <c r="G187" i="24"/>
  <c r="G186" i="24"/>
  <c r="G185" i="24"/>
  <c r="G182" i="24"/>
  <c r="G181" i="24"/>
  <c r="G180" i="24"/>
  <c r="G178" i="24"/>
  <c r="G177" i="24"/>
  <c r="G176" i="24"/>
  <c r="G178" i="21"/>
  <c r="G177" i="21"/>
  <c r="G176" i="21"/>
  <c r="G174" i="21"/>
  <c r="G173" i="21"/>
  <c r="G172" i="21"/>
  <c r="G172" i="22"/>
  <c r="G171" i="22"/>
  <c r="G170" i="22"/>
  <c r="G168" i="22"/>
  <c r="G167" i="22"/>
  <c r="G166" i="22"/>
  <c r="G170" i="23"/>
  <c r="G169" i="23"/>
  <c r="G168" i="23"/>
  <c r="G174" i="23"/>
  <c r="G173" i="23"/>
  <c r="G172" i="23"/>
  <c r="G166" i="23"/>
  <c r="G165" i="23"/>
  <c r="G164" i="23"/>
  <c r="G163" i="23"/>
  <c r="G162" i="23"/>
  <c r="G161" i="23"/>
  <c r="G160" i="23"/>
  <c r="G159" i="23"/>
  <c r="G158" i="23"/>
  <c r="G156" i="23"/>
  <c r="G155" i="23"/>
  <c r="G154" i="23"/>
  <c r="G153" i="23"/>
  <c r="G152" i="23"/>
  <c r="G148" i="23"/>
  <c r="G147" i="23"/>
  <c r="G146" i="23"/>
  <c r="G145" i="23"/>
  <c r="G144" i="23"/>
  <c r="G143" i="23"/>
  <c r="G142" i="23"/>
  <c r="G141" i="23"/>
  <c r="G140" i="23"/>
  <c r="G139" i="23"/>
  <c r="G138" i="23"/>
  <c r="G135" i="23"/>
  <c r="G134" i="23"/>
  <c r="G133" i="23"/>
  <c r="G132" i="23"/>
  <c r="G131" i="23"/>
  <c r="G130" i="23"/>
  <c r="G129" i="23"/>
  <c r="G128" i="23"/>
  <c r="G127" i="23"/>
  <c r="G126" i="23"/>
  <c r="G125" i="23"/>
  <c r="G124" i="23"/>
  <c r="G123" i="23"/>
  <c r="G122" i="23"/>
  <c r="G121" i="23"/>
  <c r="G120" i="23"/>
  <c r="G117" i="23"/>
  <c r="G116" i="23"/>
  <c r="G115" i="23"/>
  <c r="G112" i="23"/>
  <c r="G111" i="23"/>
  <c r="G110" i="23"/>
  <c r="G109" i="23"/>
  <c r="G108" i="23"/>
  <c r="G107" i="23"/>
  <c r="G106" i="23"/>
  <c r="G105" i="23"/>
  <c r="G104" i="23"/>
  <c r="G103" i="23"/>
  <c r="G183" i="22"/>
  <c r="G182" i="22"/>
  <c r="G181" i="22"/>
  <c r="G180" i="22"/>
  <c r="G178" i="22"/>
  <c r="G177" i="22"/>
  <c r="G176" i="22"/>
  <c r="G175" i="22"/>
  <c r="G164" i="22"/>
  <c r="G163" i="22"/>
  <c r="G162" i="22"/>
  <c r="G161" i="22"/>
  <c r="G160" i="22"/>
  <c r="G159" i="22"/>
  <c r="G158" i="22"/>
  <c r="G157" i="22"/>
  <c r="G156" i="22"/>
  <c r="G154" i="22"/>
  <c r="G153" i="22"/>
  <c r="G152" i="22"/>
  <c r="G151" i="22"/>
  <c r="G150" i="22"/>
  <c r="G146" i="22"/>
  <c r="G145" i="22"/>
  <c r="G144" i="22"/>
  <c r="G143" i="22"/>
  <c r="G142" i="22"/>
  <c r="G141" i="22"/>
  <c r="G140" i="22"/>
  <c r="G139" i="22"/>
  <c r="G138" i="22"/>
  <c r="G137" i="22"/>
  <c r="G136" i="22"/>
  <c r="G133" i="22"/>
  <c r="G132" i="22"/>
  <c r="G131" i="22"/>
  <c r="G130" i="22"/>
  <c r="G129" i="22"/>
  <c r="G128" i="22"/>
  <c r="G127" i="22"/>
  <c r="G126" i="22"/>
  <c r="G125" i="22"/>
  <c r="G124" i="22"/>
  <c r="G123" i="22"/>
  <c r="G122" i="22"/>
  <c r="G121" i="22"/>
  <c r="G120" i="22"/>
  <c r="G119" i="22"/>
  <c r="G118" i="22"/>
  <c r="G115" i="22"/>
  <c r="G114" i="22"/>
  <c r="G113" i="22"/>
  <c r="G110" i="22"/>
  <c r="G109" i="22"/>
  <c r="G108" i="22"/>
  <c r="G107" i="22"/>
  <c r="G106" i="22"/>
  <c r="G105" i="22"/>
  <c r="G104" i="22"/>
  <c r="G103" i="22"/>
  <c r="G110" i="21"/>
  <c r="G109" i="21"/>
  <c r="G108" i="21"/>
  <c r="G107" i="21"/>
  <c r="G106" i="21"/>
  <c r="G105" i="21"/>
  <c r="G104" i="21"/>
  <c r="G103" i="21"/>
  <c r="G189" i="21"/>
  <c r="G188" i="21"/>
  <c r="G187" i="21"/>
  <c r="G186" i="21"/>
  <c r="G184" i="21"/>
  <c r="G183" i="21"/>
  <c r="G182" i="21"/>
  <c r="G181" i="21"/>
  <c r="G170" i="21"/>
  <c r="G169" i="21"/>
  <c r="G168" i="21"/>
  <c r="G167" i="21"/>
  <c r="G166" i="21"/>
  <c r="G165" i="21"/>
  <c r="G164" i="21"/>
  <c r="G163" i="21"/>
  <c r="G162" i="21"/>
  <c r="G160" i="21"/>
  <c r="G159" i="21"/>
  <c r="G158" i="21"/>
  <c r="G157" i="21"/>
  <c r="G156" i="21"/>
  <c r="G154" i="21"/>
  <c r="G153" i="21"/>
  <c r="G152" i="21"/>
  <c r="G151" i="21"/>
  <c r="G150" i="21"/>
  <c r="G115" i="21"/>
  <c r="G114" i="21"/>
  <c r="G113" i="21"/>
  <c r="G133" i="21"/>
  <c r="G132" i="21"/>
  <c r="G131" i="21"/>
  <c r="G130" i="21"/>
  <c r="G129" i="21"/>
  <c r="G128" i="21"/>
  <c r="G127" i="21"/>
  <c r="G126" i="21"/>
  <c r="G125" i="21"/>
  <c r="G124" i="21"/>
  <c r="G123" i="21"/>
  <c r="G122" i="21"/>
  <c r="G121" i="21"/>
  <c r="G120" i="21"/>
  <c r="G119" i="21"/>
  <c r="G118" i="21"/>
  <c r="G146" i="21"/>
  <c r="G145" i="21"/>
  <c r="G144" i="21"/>
  <c r="G143" i="21"/>
  <c r="G142" i="21"/>
  <c r="G141" i="21"/>
  <c r="G140" i="21"/>
  <c r="G139" i="21"/>
  <c r="G138" i="21"/>
  <c r="G137" i="21"/>
  <c r="G136" i="21"/>
  <c r="G303" i="20" l="1"/>
  <c r="G129" i="19"/>
  <c r="G128" i="19"/>
  <c r="G127" i="19"/>
  <c r="G126" i="19"/>
  <c r="G125" i="19"/>
  <c r="G124" i="19"/>
  <c r="G123" i="19"/>
  <c r="G146" i="19"/>
  <c r="G145" i="19"/>
  <c r="G144" i="19"/>
  <c r="G143" i="19"/>
  <c r="G142" i="19"/>
  <c r="G141" i="19"/>
  <c r="G140" i="19"/>
  <c r="G139" i="19"/>
  <c r="G138" i="19"/>
  <c r="G137" i="19"/>
  <c r="G136" i="19"/>
  <c r="G135" i="19"/>
  <c r="G134" i="19"/>
  <c r="G133" i="19"/>
  <c r="G132" i="19"/>
  <c r="G158" i="19"/>
  <c r="G157" i="19"/>
  <c r="G156" i="19"/>
  <c r="G155" i="19"/>
  <c r="G154" i="19"/>
  <c r="G153" i="19"/>
  <c r="G152" i="19"/>
  <c r="G151" i="19"/>
  <c r="G150" i="19"/>
  <c r="G149" i="19"/>
  <c r="G171" i="19"/>
  <c r="G170" i="19"/>
  <c r="G169" i="19"/>
  <c r="G168" i="19"/>
  <c r="G167" i="19"/>
  <c r="G165" i="19"/>
  <c r="G164" i="19"/>
  <c r="G163" i="19"/>
  <c r="G162" i="19"/>
  <c r="G180" i="19"/>
  <c r="G179" i="19"/>
  <c r="G178" i="19"/>
  <c r="G177" i="19"/>
  <c r="G176" i="19"/>
  <c r="G175" i="19"/>
  <c r="G174" i="19"/>
  <c r="G173" i="19"/>
  <c r="G184" i="19"/>
  <c r="G183" i="19"/>
  <c r="G189" i="19"/>
  <c r="G188" i="19"/>
  <c r="G187" i="19"/>
  <c r="G186" i="19"/>
  <c r="G125" i="81"/>
  <c r="G124" i="81"/>
  <c r="G123" i="81"/>
  <c r="G122" i="81"/>
  <c r="G121" i="81"/>
  <c r="G120" i="81"/>
  <c r="G119" i="81"/>
  <c r="G118" i="81"/>
  <c r="G112" i="16" l="1"/>
  <c r="G274" i="14"/>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58" i="15"/>
  <c r="G157" i="15"/>
  <c r="G156" i="15"/>
  <c r="G155" i="15"/>
  <c r="G153" i="15"/>
  <c r="G152" i="15"/>
  <c r="G151" i="15"/>
  <c r="G150" i="15"/>
  <c r="G149" i="15"/>
  <c r="G147" i="15"/>
  <c r="G146" i="15"/>
  <c r="G145" i="15"/>
  <c r="G144" i="15"/>
  <c r="G143" i="15"/>
  <c r="G142" i="15"/>
  <c r="G140" i="15"/>
  <c r="G139" i="15"/>
  <c r="G138" i="15"/>
  <c r="G137" i="15"/>
  <c r="G136" i="15"/>
  <c r="G134" i="15"/>
  <c r="G133" i="15"/>
  <c r="G132" i="15"/>
  <c r="G131" i="15"/>
  <c r="G129" i="15"/>
  <c r="G128" i="15"/>
  <c r="G127" i="15"/>
  <c r="G124" i="15"/>
  <c r="G123" i="15"/>
  <c r="G122" i="15"/>
  <c r="G121" i="15"/>
  <c r="G120" i="15"/>
  <c r="G119" i="15"/>
  <c r="G118" i="15"/>
  <c r="G117" i="15"/>
  <c r="G116" i="15"/>
  <c r="G115" i="15"/>
  <c r="G114" i="15"/>
  <c r="G113" i="15"/>
  <c r="G112" i="15"/>
  <c r="G111" i="15"/>
  <c r="G110" i="15"/>
  <c r="G107" i="15"/>
  <c r="G106" i="15"/>
  <c r="G105" i="15"/>
  <c r="G104" i="15"/>
  <c r="G103" i="15"/>
  <c r="G102" i="15"/>
  <c r="G101" i="15"/>
  <c r="G188" i="15"/>
  <c r="G189"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487" i="16"/>
  <c r="G1485" i="16"/>
  <c r="G1483" i="16"/>
  <c r="G1481" i="16"/>
  <c r="G1477" i="16"/>
  <c r="G1475" i="16"/>
  <c r="G1473" i="16"/>
  <c r="G1471" i="16"/>
  <c r="G1469" i="16"/>
  <c r="G1467" i="16"/>
  <c r="G1466" i="16"/>
  <c r="G1465" i="16"/>
  <c r="G1464" i="16"/>
  <c r="G1463" i="16"/>
  <c r="G1462" i="16"/>
  <c r="G1459" i="16"/>
  <c r="G1458" i="16"/>
  <c r="G1455" i="16"/>
  <c r="G1453" i="16"/>
  <c r="G1451" i="16"/>
  <c r="G1449" i="16"/>
  <c r="G1445" i="16"/>
  <c r="G1443" i="16"/>
  <c r="G1441" i="16"/>
  <c r="G1439" i="16"/>
  <c r="G1437" i="16"/>
  <c r="G1435" i="16"/>
  <c r="G1433" i="16"/>
  <c r="G1429" i="16"/>
  <c r="G1427" i="16"/>
  <c r="G1425" i="16"/>
  <c r="G1423" i="16"/>
  <c r="G1415" i="16"/>
  <c r="G1413" i="16"/>
  <c r="G1411" i="16"/>
  <c r="G1409" i="16"/>
  <c r="G1405" i="16"/>
  <c r="G1404" i="16"/>
  <c r="G1403" i="16"/>
  <c r="G1402" i="16"/>
  <c r="G1401" i="16"/>
  <c r="G1400" i="16"/>
  <c r="G1399" i="16"/>
  <c r="G1398" i="16"/>
  <c r="G1397" i="16"/>
  <c r="G1396" i="16"/>
  <c r="G1395" i="16"/>
  <c r="G1394" i="16"/>
  <c r="G1393" i="16"/>
  <c r="G1391" i="16"/>
  <c r="G1390" i="16"/>
  <c r="G1387" i="16"/>
  <c r="G1386" i="16"/>
  <c r="G1383" i="16"/>
  <c r="G1381" i="16"/>
  <c r="G1379" i="16"/>
  <c r="G1377" i="16"/>
  <c r="G1373" i="16"/>
  <c r="G1371" i="16"/>
  <c r="G1369" i="16"/>
  <c r="G1367" i="16"/>
  <c r="G1365" i="16"/>
  <c r="G1363" i="16"/>
  <c r="G1361" i="16"/>
  <c r="G1357" i="16"/>
  <c r="G1355" i="16"/>
  <c r="G1353" i="16"/>
  <c r="G1351" i="16"/>
  <c r="G1344" i="16"/>
  <c r="G1342" i="16"/>
  <c r="G1338" i="16"/>
  <c r="G1336" i="16"/>
  <c r="G1334" i="16"/>
  <c r="G1332" i="16"/>
  <c r="G1330" i="16"/>
  <c r="G1328" i="16"/>
  <c r="G1326" i="16"/>
  <c r="G1317" i="16"/>
  <c r="G1309" i="16"/>
  <c r="G1307" i="16"/>
  <c r="G1305" i="16"/>
  <c r="G1303" i="16"/>
  <c r="G1301" i="16"/>
  <c r="G1299" i="16"/>
  <c r="G1297" i="16"/>
  <c r="G1293" i="16"/>
  <c r="G1291" i="16"/>
  <c r="G1289" i="16"/>
  <c r="G1287" i="16"/>
  <c r="G1285" i="16"/>
  <c r="G1283" i="16"/>
  <c r="G1281" i="16"/>
  <c r="G1279" i="16"/>
  <c r="G1277" i="16"/>
  <c r="G1275" i="16"/>
  <c r="G1271" i="16"/>
  <c r="G1269" i="16"/>
  <c r="G1267" i="16"/>
  <c r="G1265" i="16"/>
  <c r="G1263" i="16"/>
  <c r="G1259" i="16"/>
  <c r="G1257" i="16"/>
  <c r="G1255" i="16"/>
  <c r="G1253" i="16"/>
  <c r="G1133" i="16"/>
  <c r="G1246" i="16"/>
  <c r="G1244" i="16"/>
  <c r="G1242" i="16"/>
  <c r="G1241" i="16"/>
  <c r="G1240" i="16"/>
  <c r="G1239" i="16"/>
  <c r="G1238" i="16"/>
  <c r="G1237" i="16"/>
  <c r="G1235" i="16"/>
  <c r="G1234" i="16"/>
  <c r="G1233" i="16"/>
  <c r="G1230" i="16"/>
  <c r="G1228" i="16"/>
  <c r="G1226" i="16"/>
  <c r="G1224" i="16"/>
  <c r="G1222" i="16"/>
  <c r="G1220" i="16"/>
  <c r="G1218" i="16"/>
  <c r="G1216" i="16"/>
  <c r="G1214" i="16"/>
  <c r="G1212" i="16"/>
  <c r="G1210" i="16"/>
  <c r="G1208" i="16"/>
  <c r="G1206" i="16"/>
  <c r="G1204" i="16"/>
  <c r="G1202" i="16"/>
  <c r="G1200" i="16"/>
  <c r="G1198" i="16"/>
  <c r="G1196" i="16"/>
  <c r="G1195" i="16"/>
  <c r="G1192" i="16"/>
  <c r="G1191" i="16"/>
  <c r="G1190" i="16"/>
  <c r="G1189" i="16"/>
  <c r="G1188" i="16"/>
  <c r="G1187" i="16"/>
  <c r="G1186" i="16"/>
  <c r="G1185" i="16"/>
  <c r="G1184" i="16"/>
  <c r="G1183" i="16"/>
  <c r="G1182" i="16"/>
  <c r="G1179" i="16"/>
  <c r="G1177" i="16"/>
  <c r="G1175" i="16"/>
  <c r="G1173" i="16"/>
  <c r="G1172" i="16"/>
  <c r="G1171" i="16"/>
  <c r="G1168" i="16"/>
  <c r="G1165" i="16"/>
  <c r="G1163" i="16"/>
  <c r="G1161" i="16"/>
  <c r="G1159" i="16"/>
  <c r="G1157" i="16"/>
  <c r="G1155" i="16"/>
  <c r="G1153" i="16"/>
  <c r="G1151" i="16"/>
  <c r="G1149" i="16"/>
  <c r="G1147" i="16"/>
  <c r="G1145" i="16"/>
  <c r="G1144" i="16"/>
  <c r="G1142" i="16"/>
  <c r="G1141" i="16"/>
  <c r="G1140" i="16"/>
  <c r="G1137" i="16"/>
  <c r="G1136" i="16"/>
  <c r="G1134"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7" i="16"/>
  <c r="G1076" i="16"/>
  <c r="G1075" i="16"/>
  <c r="G1074" i="16"/>
  <c r="G1073" i="16"/>
  <c r="G1072" i="16"/>
  <c r="G1071" i="16"/>
  <c r="G1070" i="16"/>
  <c r="G1069" i="16"/>
  <c r="G1068" i="16"/>
  <c r="G1067" i="16"/>
  <c r="G1066" i="16"/>
  <c r="G1065" i="16"/>
  <c r="G1064" i="16"/>
  <c r="G1063" i="16"/>
  <c r="G1062" i="16"/>
  <c r="G1060" i="16"/>
  <c r="G1059" i="16"/>
  <c r="G1058" i="16"/>
  <c r="G1057" i="16"/>
  <c r="G1056" i="16"/>
  <c r="G1055" i="16"/>
  <c r="G1054" i="16"/>
  <c r="G1053" i="16"/>
  <c r="G1050" i="16"/>
  <c r="G1044" i="16"/>
  <c r="G1041" i="16"/>
  <c r="G1039" i="16"/>
  <c r="G1038" i="16"/>
  <c r="G1037" i="16"/>
  <c r="G1036" i="16"/>
  <c r="G1035" i="16"/>
  <c r="G1034" i="16"/>
  <c r="G1032" i="16"/>
  <c r="G1031" i="16"/>
  <c r="G1030" i="16"/>
  <c r="G1027" i="16"/>
  <c r="G1025" i="16"/>
  <c r="G1023" i="16"/>
  <c r="G1021" i="16"/>
  <c r="G1019" i="16"/>
  <c r="G1017" i="16"/>
  <c r="G1015" i="16"/>
  <c r="G1013" i="16"/>
  <c r="G1011" i="16"/>
  <c r="G1009" i="16"/>
  <c r="G1007" i="16"/>
  <c r="G1005" i="16"/>
  <c r="G1003" i="16"/>
  <c r="G1001" i="16"/>
  <c r="G999" i="16"/>
  <c r="G997" i="16"/>
  <c r="G995" i="16"/>
  <c r="G993" i="16"/>
  <c r="G992" i="16"/>
  <c r="G989" i="16"/>
  <c r="G988" i="16"/>
  <c r="G987" i="16"/>
  <c r="G986" i="16"/>
  <c r="G985" i="16"/>
  <c r="G984" i="16"/>
  <c r="G983" i="16"/>
  <c r="G982" i="16"/>
  <c r="G981" i="16"/>
  <c r="G980" i="16"/>
  <c r="G979" i="16"/>
  <c r="G976" i="16"/>
  <c r="G974" i="16"/>
  <c r="G972" i="16"/>
  <c r="G970" i="16"/>
  <c r="G969" i="16"/>
  <c r="G968" i="16"/>
  <c r="G965" i="16"/>
  <c r="G962" i="16"/>
  <c r="G960" i="16"/>
  <c r="G958" i="16"/>
  <c r="G956" i="16"/>
  <c r="G954" i="16"/>
  <c r="G952" i="16"/>
  <c r="G950" i="16"/>
  <c r="G948" i="16"/>
  <c r="G946" i="16"/>
  <c r="G944" i="16"/>
  <c r="G943" i="16"/>
  <c r="G941" i="16"/>
  <c r="G940" i="16"/>
  <c r="G939" i="16"/>
  <c r="G936" i="16"/>
  <c r="G935" i="16"/>
  <c r="G934"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59" i="16"/>
  <c r="G858" i="16"/>
  <c r="G857" i="16"/>
  <c r="G856" i="16"/>
  <c r="G855" i="16"/>
  <c r="G854" i="16"/>
  <c r="G853" i="16"/>
  <c r="G852" i="16"/>
  <c r="G849" i="16"/>
  <c r="G842" i="16"/>
  <c r="G840" i="16"/>
  <c r="G838" i="16"/>
  <c r="G837" i="16"/>
  <c r="G836" i="16"/>
  <c r="G835" i="16"/>
  <c r="G834" i="16"/>
  <c r="G833" i="16"/>
  <c r="G831" i="16"/>
  <c r="G830" i="16"/>
  <c r="G829" i="16"/>
  <c r="G826" i="16"/>
  <c r="G823" i="16"/>
  <c r="G821" i="16"/>
  <c r="G819" i="16"/>
  <c r="G817" i="16"/>
  <c r="G815" i="16"/>
  <c r="G813" i="16"/>
  <c r="G811" i="16"/>
  <c r="G809" i="16"/>
  <c r="G807" i="16"/>
  <c r="G805" i="16"/>
  <c r="G803" i="16"/>
  <c r="G801" i="16"/>
  <c r="G799" i="16"/>
  <c r="G797" i="16"/>
  <c r="G795" i="16"/>
  <c r="G793" i="16"/>
  <c r="G790" i="16"/>
  <c r="G789" i="16"/>
  <c r="G786" i="16"/>
  <c r="G785" i="16"/>
  <c r="G784" i="16"/>
  <c r="G783" i="16"/>
  <c r="G782" i="16"/>
  <c r="G781" i="16"/>
  <c r="G780" i="16"/>
  <c r="G779" i="16"/>
  <c r="G778" i="16"/>
  <c r="G777" i="16"/>
  <c r="G776" i="16"/>
  <c r="G773" i="16"/>
  <c r="G771" i="16"/>
  <c r="G769" i="16"/>
  <c r="G767" i="16"/>
  <c r="G766" i="16"/>
  <c r="G765" i="16"/>
  <c r="G761" i="16"/>
  <c r="G758" i="16"/>
  <c r="G756" i="16"/>
  <c r="G754" i="16"/>
  <c r="G752" i="16"/>
  <c r="G750" i="16"/>
  <c r="G748" i="16"/>
  <c r="G746" i="16"/>
  <c r="G744" i="16"/>
  <c r="G743" i="16"/>
  <c r="G742" i="16"/>
  <c r="G741" i="16"/>
  <c r="G740" i="16"/>
  <c r="G739" i="16"/>
  <c r="G738" i="16"/>
  <c r="G737" i="16"/>
  <c r="G736" i="16"/>
  <c r="G735" i="16"/>
  <c r="G734" i="16"/>
  <c r="G733" i="16"/>
  <c r="G730" i="16"/>
  <c r="G729" i="16"/>
  <c r="G728" i="16"/>
  <c r="G727" i="16"/>
  <c r="G726" i="16"/>
  <c r="G725"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1" i="16"/>
  <c r="G650" i="16"/>
  <c r="G648" i="16"/>
  <c r="G647" i="16"/>
  <c r="G646" i="16"/>
  <c r="G645" i="16"/>
  <c r="G644" i="16"/>
  <c r="G643" i="16"/>
  <c r="G642" i="16"/>
  <c r="G641" i="16"/>
  <c r="G638" i="16"/>
  <c r="G387" i="16"/>
  <c r="G388" i="16"/>
  <c r="G389" i="16"/>
  <c r="G312" i="16"/>
  <c r="G311" i="16"/>
  <c r="G310" i="16"/>
  <c r="G309" i="16"/>
  <c r="G308" i="16"/>
  <c r="G307" i="16"/>
  <c r="G306" i="16"/>
  <c r="G305" i="16"/>
  <c r="G304" i="16"/>
  <c r="G303" i="16"/>
  <c r="G302" i="16"/>
  <c r="G301" i="16"/>
  <c r="G300" i="16"/>
  <c r="G299" i="16"/>
  <c r="G298" i="16"/>
  <c r="G206" i="16"/>
  <c r="G181" i="16"/>
  <c r="G180" i="16"/>
  <c r="G602" i="16"/>
  <c r="G601" i="16"/>
  <c r="G548" i="16"/>
  <c r="G600" i="16"/>
  <c r="G588" i="16"/>
  <c r="G599" i="16"/>
  <c r="G598" i="16"/>
  <c r="G597" i="16"/>
  <c r="G596" i="16"/>
  <c r="G595" i="16"/>
  <c r="G594" i="16"/>
  <c r="G593" i="16"/>
  <c r="G592" i="16"/>
  <c r="G591" i="16"/>
  <c r="G590" i="16"/>
  <c r="G589" i="16"/>
  <c r="G583" i="16"/>
  <c r="G568" i="16"/>
  <c r="G567" i="16"/>
  <c r="G582" i="16"/>
  <c r="G581" i="16"/>
  <c r="G574" i="16"/>
  <c r="G575" i="16"/>
  <c r="G573" i="16"/>
  <c r="G579" i="16"/>
  <c r="G569" i="16"/>
  <c r="G585" i="16"/>
  <c r="G577" i="16"/>
  <c r="G580" i="16"/>
  <c r="G578" i="16"/>
  <c r="G584" i="16"/>
  <c r="G576" i="16"/>
  <c r="G572" i="16"/>
  <c r="G571" i="16"/>
  <c r="G570" i="16"/>
  <c r="G566" i="16"/>
  <c r="G565" i="16"/>
  <c r="G562" i="16"/>
  <c r="G561" i="16"/>
  <c r="G560" i="16"/>
  <c r="G559" i="16"/>
  <c r="G558" i="16"/>
  <c r="G557" i="16"/>
  <c r="G556" i="16"/>
  <c r="G543" i="16"/>
  <c r="G547" i="16"/>
  <c r="G533" i="16"/>
  <c r="G534" i="16"/>
  <c r="G544" i="16"/>
  <c r="G541" i="16"/>
  <c r="G546" i="16"/>
  <c r="G553" i="16"/>
  <c r="G552" i="16"/>
  <c r="G551" i="16"/>
  <c r="G550" i="16"/>
  <c r="G549" i="16"/>
  <c r="G545" i="16"/>
  <c r="G542" i="16"/>
  <c r="G540" i="16"/>
  <c r="G519" i="16"/>
  <c r="G532" i="16"/>
  <c r="G537" i="16"/>
  <c r="G536" i="16"/>
  <c r="G535" i="16"/>
  <c r="G531" i="16"/>
  <c r="G530" i="16"/>
  <c r="G524" i="16"/>
  <c r="G523" i="16"/>
  <c r="G525" i="16"/>
  <c r="G526" i="16"/>
  <c r="G527" i="16"/>
  <c r="G522" i="16"/>
  <c r="G521" i="16"/>
  <c r="G520" i="16"/>
  <c r="G516" i="16"/>
  <c r="G515" i="16"/>
  <c r="G514" i="16"/>
  <c r="G509" i="16"/>
  <c r="G508" i="16"/>
  <c r="G507" i="16"/>
  <c r="G506" i="16"/>
  <c r="G513" i="16"/>
  <c r="G505" i="16"/>
  <c r="G504" i="16"/>
  <c r="G503" i="16"/>
  <c r="G502" i="16"/>
  <c r="G501" i="16"/>
  <c r="G500" i="16"/>
  <c r="G499" i="16"/>
  <c r="G498" i="16"/>
  <c r="G497" i="16"/>
  <c r="G512" i="16"/>
  <c r="G494" i="16"/>
  <c r="G493" i="16"/>
  <c r="G492" i="16"/>
  <c r="G491" i="16"/>
  <c r="G490" i="16"/>
  <c r="G489" i="16"/>
  <c r="G488" i="16"/>
  <c r="G487" i="16"/>
  <c r="G486" i="16"/>
  <c r="G485" i="16"/>
  <c r="G482" i="16"/>
  <c r="G481" i="16"/>
  <c r="G480" i="16"/>
  <c r="G479" i="16"/>
  <c r="G478" i="16"/>
  <c r="G477" i="16"/>
  <c r="G476" i="16"/>
  <c r="G475" i="16"/>
  <c r="G474" i="16"/>
  <c r="G473" i="16"/>
  <c r="G472" i="16"/>
  <c r="G469" i="16"/>
  <c r="G468" i="16"/>
  <c r="G467" i="16"/>
  <c r="G466" i="16"/>
  <c r="G465" i="16"/>
  <c r="G464" i="16"/>
  <c r="G463" i="16"/>
  <c r="G462" i="16"/>
  <c r="G461" i="16"/>
  <c r="G460" i="16"/>
  <c r="G459" i="16"/>
  <c r="G458" i="16"/>
  <c r="G457" i="16"/>
  <c r="G456" i="16"/>
  <c r="G455" i="16"/>
  <c r="G445" i="16"/>
  <c r="G444" i="16"/>
  <c r="G443" i="16"/>
  <c r="G449" i="16"/>
  <c r="G448" i="16"/>
  <c r="G447" i="16"/>
  <c r="G446" i="16"/>
  <c r="G439" i="16"/>
  <c r="G441" i="16"/>
  <c r="G451" i="16"/>
  <c r="G450" i="16"/>
  <c r="G442" i="16"/>
  <c r="G440" i="16"/>
  <c r="G438" i="16"/>
  <c r="G437" i="16"/>
  <c r="G436" i="16"/>
  <c r="G452" i="16"/>
  <c r="G431" i="16"/>
  <c r="G427" i="16"/>
  <c r="G426" i="16"/>
  <c r="G425" i="16"/>
  <c r="G433" i="16"/>
  <c r="G432" i="16"/>
  <c r="G430" i="16"/>
  <c r="G429" i="16"/>
  <c r="G428" i="16"/>
  <c r="G422" i="16"/>
  <c r="G421" i="16"/>
  <c r="G418" i="16"/>
  <c r="G417" i="16"/>
  <c r="G414" i="16"/>
  <c r="G413" i="16"/>
  <c r="G410" i="16"/>
  <c r="G409" i="16"/>
  <c r="G401" i="16"/>
  <c r="G400" i="16"/>
  <c r="G406" i="16"/>
  <c r="G405" i="16"/>
  <c r="G404" i="16"/>
  <c r="G280" i="16"/>
  <c r="G279" i="16"/>
  <c r="G278" i="16"/>
  <c r="G277" i="16"/>
  <c r="G274" i="16"/>
  <c r="G282" i="16"/>
  <c r="G281" i="16"/>
  <c r="G276" i="16"/>
  <c r="G275" i="16"/>
  <c r="G273" i="16"/>
  <c r="G270" i="16"/>
  <c r="G269" i="16"/>
  <c r="G268" i="16"/>
  <c r="G267" i="16"/>
  <c r="G266" i="16"/>
  <c r="G265" i="16"/>
  <c r="G264" i="16"/>
  <c r="G263" i="16"/>
  <c r="G262" i="16"/>
  <c r="G261" i="16"/>
  <c r="G243" i="16"/>
  <c r="G242" i="16"/>
  <c r="G241" i="16"/>
  <c r="G256" i="16"/>
  <c r="G258" i="16"/>
  <c r="G257" i="16"/>
  <c r="G255" i="16"/>
  <c r="G254" i="16"/>
  <c r="G253" i="16"/>
  <c r="G252" i="16"/>
  <c r="G251" i="16"/>
  <c r="G250" i="16"/>
  <c r="G249" i="16"/>
  <c r="G248" i="16"/>
  <c r="G247" i="16"/>
  <c r="G246" i="16"/>
  <c r="G245" i="16"/>
  <c r="G244" i="16"/>
  <c r="G229" i="16"/>
  <c r="G226" i="16"/>
  <c r="G224" i="16"/>
  <c r="G220" i="16"/>
  <c r="G218" i="16"/>
  <c r="G238" i="16"/>
  <c r="G237" i="16"/>
  <c r="G212" i="16"/>
  <c r="G211" i="16"/>
  <c r="G208" i="16"/>
  <c r="G236" i="16"/>
  <c r="G235" i="16"/>
  <c r="G234" i="16"/>
  <c r="G233" i="16"/>
  <c r="G232" i="16"/>
  <c r="G230" i="16"/>
  <c r="G221" i="16"/>
  <c r="G231" i="16"/>
  <c r="G228" i="16"/>
  <c r="G219" i="16"/>
  <c r="G227" i="16"/>
  <c r="G217" i="16"/>
  <c r="G216" i="16"/>
  <c r="G225" i="16"/>
  <c r="G214" i="16"/>
  <c r="G215" i="16"/>
  <c r="G223" i="16"/>
  <c r="G222" i="16"/>
  <c r="G213" i="16"/>
  <c r="G210" i="16"/>
  <c r="G209" i="16"/>
  <c r="G207"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42" i="16"/>
  <c r="G341" i="16"/>
  <c r="G358" i="16" l="1"/>
  <c r="G354" i="16"/>
  <c r="G353" i="16"/>
  <c r="G352" i="16"/>
  <c r="G351" i="16"/>
  <c r="G350" i="16"/>
  <c r="G349" i="16"/>
  <c r="G348" i="16"/>
  <c r="G347" i="16"/>
  <c r="G346" i="16"/>
  <c r="G345" i="16"/>
  <c r="G368" i="16"/>
  <c r="G367" i="16"/>
  <c r="G366" i="16"/>
  <c r="G365" i="16"/>
  <c r="G364" i="16"/>
  <c r="G363" i="16"/>
  <c r="G362" i="16"/>
  <c r="G361" i="16"/>
  <c r="G360" i="16"/>
  <c r="G359" i="16"/>
  <c r="G357" i="16"/>
  <c r="G397" i="16"/>
  <c r="G396" i="16"/>
  <c r="G395" i="16"/>
  <c r="G394" i="16"/>
  <c r="G393" i="16"/>
  <c r="G392" i="16"/>
  <c r="G386" i="16"/>
  <c r="G385" i="16"/>
  <c r="G384" i="16"/>
  <c r="G383" i="16"/>
  <c r="G382" i="16"/>
  <c r="G381" i="16"/>
  <c r="G380" i="16"/>
  <c r="G379" i="16"/>
  <c r="G378" i="16"/>
  <c r="G377" i="16"/>
  <c r="G374" i="16"/>
  <c r="G373" i="16"/>
  <c r="G371" i="16"/>
  <c r="G372" i="16"/>
  <c r="G203" i="16"/>
  <c r="G202" i="16"/>
  <c r="G201" i="16"/>
  <c r="G192" i="16"/>
  <c r="G198" i="16"/>
  <c r="G196" i="16"/>
  <c r="G194" i="16"/>
  <c r="G193" i="16"/>
  <c r="G191" i="16"/>
  <c r="G197" i="16"/>
  <c r="G195" i="16"/>
  <c r="G190" i="16"/>
  <c r="G189" i="16"/>
  <c r="G188" i="16"/>
  <c r="G187" i="16"/>
  <c r="G186" i="16"/>
  <c r="G183" i="16"/>
  <c r="G118" i="13"/>
  <c r="G138" i="13"/>
  <c r="G137" i="13"/>
  <c r="G136" i="13"/>
  <c r="G143" i="13"/>
  <c r="G142" i="13"/>
  <c r="G141" i="13"/>
  <c r="G140" i="13"/>
  <c r="G119" i="13"/>
  <c r="G114" i="17"/>
  <c r="G113" i="17"/>
  <c r="G118" i="17"/>
  <c r="G117" i="17"/>
  <c r="G115" i="17"/>
  <c r="G198" i="17"/>
  <c r="G197" i="17"/>
  <c r="G193" i="17"/>
  <c r="G195" i="17"/>
  <c r="G194" i="17"/>
  <c r="G192" i="17"/>
  <c r="G191" i="17"/>
  <c r="G189" i="17"/>
  <c r="G188" i="17"/>
  <c r="G187" i="17"/>
  <c r="G186" i="17"/>
  <c r="G185" i="17"/>
  <c r="G184" i="17"/>
  <c r="G183" i="17"/>
  <c r="G182" i="17"/>
  <c r="G181" i="17"/>
  <c r="G180" i="17"/>
  <c r="G179" i="17"/>
  <c r="G178" i="17"/>
  <c r="G177" i="17"/>
  <c r="G176" i="17"/>
  <c r="G175" i="17"/>
  <c r="G173" i="17"/>
  <c r="G172" i="17"/>
  <c r="G171" i="17"/>
  <c r="G170" i="17"/>
  <c r="G169" i="17"/>
  <c r="G168" i="17"/>
  <c r="G167" i="17"/>
  <c r="G165" i="17"/>
  <c r="G164" i="17"/>
  <c r="G163" i="17"/>
  <c r="G162" i="17"/>
  <c r="G161" i="17"/>
  <c r="G160" i="17"/>
  <c r="G176" i="16"/>
  <c r="G173" i="16"/>
  <c r="G185" i="16"/>
  <c r="G184" i="16"/>
  <c r="G182" i="16"/>
  <c r="G177" i="16"/>
  <c r="G175" i="16"/>
  <c r="G174" i="16"/>
  <c r="G172" i="16"/>
  <c r="G295" i="16"/>
  <c r="G294" i="16"/>
  <c r="G293" i="16"/>
  <c r="G292" i="16"/>
  <c r="G291" i="16"/>
  <c r="G290" i="16"/>
  <c r="G289" i="16"/>
  <c r="G288" i="16"/>
  <c r="G287" i="16"/>
  <c r="G286" i="16"/>
  <c r="G285" i="16"/>
  <c r="G169" i="16"/>
  <c r="G168" i="16"/>
  <c r="G167" i="16"/>
  <c r="G166" i="16"/>
  <c r="G41" i="16"/>
  <c r="G40" i="16"/>
  <c r="G39" i="16"/>
  <c r="G38" i="16"/>
  <c r="G37" i="16"/>
  <c r="G36" i="16"/>
  <c r="G35" i="16"/>
  <c r="G34" i="16"/>
  <c r="G33" i="16"/>
  <c r="G32" i="16"/>
  <c r="G31" i="16"/>
  <c r="E30" i="16"/>
  <c r="G30" i="16" s="1"/>
  <c r="G29" i="16"/>
  <c r="G123" i="60"/>
  <c r="G78" i="60"/>
  <c r="G81" i="60"/>
  <c r="G80" i="60"/>
  <c r="G79" i="60"/>
  <c r="G38" i="60"/>
  <c r="G37" i="60"/>
  <c r="G36" i="60"/>
  <c r="G35" i="60"/>
  <c r="E34" i="60"/>
  <c r="G34" i="60" s="1"/>
  <c r="G33" i="60"/>
  <c r="G32" i="60"/>
  <c r="G31" i="60"/>
  <c r="G30" i="60"/>
  <c r="G29" i="60"/>
  <c r="G28" i="60"/>
  <c r="E27" i="60"/>
  <c r="G27" i="60" s="1"/>
  <c r="G26" i="60"/>
  <c r="G117" i="60"/>
  <c r="G43" i="16" l="1"/>
  <c r="G39" i="60"/>
  <c r="G17" i="60" s="1"/>
  <c r="G76" i="60" l="1"/>
  <c r="G191" i="56" l="1"/>
  <c r="G191" i="21" l="1"/>
  <c r="G238" i="14" l="1"/>
  <c r="G239" i="14"/>
  <c r="G240" i="14"/>
  <c r="G242" i="14"/>
  <c r="G243" i="14"/>
  <c r="G206" i="14"/>
  <c r="G207" i="14"/>
  <c r="G208" i="14"/>
  <c r="G209" i="14"/>
  <c r="G210" i="14"/>
  <c r="G211" i="14"/>
  <c r="G212" i="14"/>
  <c r="G213" i="14"/>
  <c r="G214" i="14"/>
  <c r="G215" i="14"/>
  <c r="G217" i="14"/>
  <c r="G218" i="14"/>
  <c r="G219" i="14"/>
  <c r="G220" i="14"/>
  <c r="G221" i="14"/>
  <c r="G223" i="14"/>
  <c r="G224" i="14"/>
  <c r="G225" i="14"/>
  <c r="G226" i="14"/>
  <c r="G227" i="14"/>
  <c r="G228" i="14"/>
  <c r="G229" i="14"/>
  <c r="G230" i="14"/>
  <c r="G231" i="14"/>
  <c r="G199" i="14"/>
  <c r="G172" i="14"/>
  <c r="G154" i="14"/>
  <c r="G143" i="14"/>
  <c r="G144" i="14"/>
  <c r="G131" i="14"/>
  <c r="G134" i="13"/>
  <c r="G35" i="13"/>
  <c r="G34" i="13"/>
  <c r="G23" i="13"/>
  <c r="G119" i="53" l="1"/>
  <c r="G126" i="7" l="1"/>
  <c r="G111" i="7"/>
  <c r="G25" i="84" l="1"/>
  <c r="G26" i="84"/>
  <c r="G27" i="84"/>
  <c r="G28" i="84"/>
  <c r="G29" i="84"/>
  <c r="G30" i="84"/>
  <c r="G31" i="84"/>
  <c r="G32" i="84"/>
  <c r="G33" i="84"/>
  <c r="G34" i="84"/>
  <c r="G35" i="84"/>
  <c r="G36" i="84"/>
  <c r="G37" i="84"/>
  <c r="G44" i="84"/>
  <c r="G45" i="84"/>
  <c r="G46" i="84"/>
  <c r="G47" i="84"/>
  <c r="G48" i="84"/>
  <c r="G49" i="84"/>
  <c r="G50" i="84"/>
  <c r="G51" i="84"/>
  <c r="G52" i="84"/>
  <c r="G53" i="84"/>
  <c r="G54" i="84"/>
  <c r="G55" i="84"/>
  <c r="G56" i="84"/>
  <c r="G57" i="84"/>
  <c r="G71" i="84"/>
  <c r="E72" i="84"/>
  <c r="G72" i="84" s="1"/>
  <c r="G73" i="84"/>
  <c r="G74" i="84"/>
  <c r="G75" i="84"/>
  <c r="G79" i="84"/>
  <c r="G80" i="84"/>
  <c r="G81" i="84"/>
  <c r="G82" i="84"/>
  <c r="G83" i="84"/>
  <c r="G84" i="84"/>
  <c r="G85" i="84"/>
  <c r="G86" i="84"/>
  <c r="G87" i="84"/>
  <c r="G88" i="84"/>
  <c r="G89" i="84"/>
  <c r="G90" i="84"/>
  <c r="G91" i="84"/>
  <c r="G94" i="84"/>
  <c r="G95" i="84"/>
  <c r="G96" i="84"/>
  <c r="G97" i="84"/>
  <c r="G98" i="84"/>
  <c r="G99" i="84"/>
  <c r="G101" i="84"/>
  <c r="G102" i="84"/>
  <c r="G103" i="84"/>
  <c r="G104" i="84"/>
  <c r="G105" i="84"/>
  <c r="G106" i="84"/>
  <c r="G107" i="84"/>
  <c r="G108" i="84"/>
  <c r="G109" i="84"/>
  <c r="G110" i="84"/>
  <c r="G111" i="84"/>
  <c r="G112" i="84"/>
  <c r="G113" i="84"/>
  <c r="G114" i="84"/>
  <c r="G115" i="84"/>
  <c r="G116" i="84"/>
  <c r="G117" i="84"/>
  <c r="G118" i="84"/>
  <c r="G119" i="84"/>
  <c r="G120" i="84"/>
  <c r="G135" i="84"/>
  <c r="G136" i="84"/>
  <c r="G137" i="84"/>
  <c r="G138" i="84"/>
  <c r="G139" i="84"/>
  <c r="G140" i="84"/>
  <c r="G141" i="84"/>
  <c r="G142" i="84"/>
  <c r="G143" i="84"/>
  <c r="G144" i="84"/>
  <c r="G145" i="84"/>
  <c r="G146" i="84"/>
  <c r="G147" i="84"/>
  <c r="G148" i="84"/>
  <c r="G149" i="84"/>
  <c r="G150" i="84"/>
  <c r="G151" i="84"/>
  <c r="G152" i="84"/>
  <c r="G153" i="84"/>
  <c r="G154" i="84"/>
  <c r="G155" i="84"/>
  <c r="G156" i="84"/>
  <c r="G157" i="84"/>
  <c r="G158" i="84"/>
  <c r="G159" i="84"/>
  <c r="G160" i="84"/>
  <c r="G164" i="84"/>
  <c r="G165" i="84"/>
  <c r="G166" i="84"/>
  <c r="G167" i="84"/>
  <c r="G168" i="84"/>
  <c r="G169" i="84"/>
  <c r="G171" i="84"/>
  <c r="G172" i="84"/>
  <c r="G173" i="84"/>
  <c r="G175" i="84"/>
  <c r="G176" i="84"/>
  <c r="G177" i="84"/>
  <c r="G178" i="84"/>
  <c r="G179" i="84"/>
  <c r="G181" i="84"/>
  <c r="G182" i="84"/>
  <c r="G183" i="84"/>
  <c r="G184" i="84"/>
  <c r="G185" i="84"/>
  <c r="G186" i="84"/>
  <c r="G187" i="84"/>
  <c r="G188" i="84"/>
  <c r="G189" i="84"/>
  <c r="G191" i="84"/>
  <c r="G192" i="84"/>
  <c r="G193" i="84"/>
  <c r="G194" i="84"/>
  <c r="G195" i="84"/>
  <c r="G196" i="84"/>
  <c r="G197" i="84"/>
  <c r="G198" i="84"/>
  <c r="G199" i="84"/>
  <c r="G200" i="84"/>
  <c r="G201" i="84"/>
  <c r="G203" i="84"/>
  <c r="G204" i="84"/>
  <c r="G205" i="84"/>
  <c r="G206" i="84"/>
  <c r="G207" i="84"/>
  <c r="G208" i="84"/>
  <c r="G209" i="84"/>
  <c r="G211" i="84"/>
  <c r="G212" i="84"/>
  <c r="G213" i="84"/>
  <c r="G214" i="84"/>
  <c r="G215" i="84"/>
  <c r="G217" i="84"/>
  <c r="G218" i="84"/>
  <c r="G219" i="84"/>
  <c r="G220" i="84"/>
  <c r="G221" i="84"/>
  <c r="G222" i="84"/>
  <c r="G223" i="84"/>
  <c r="G224" i="84"/>
  <c r="G225" i="84"/>
  <c r="G226" i="84"/>
  <c r="G25" i="83"/>
  <c r="G26" i="83"/>
  <c r="G27" i="83"/>
  <c r="G28" i="83"/>
  <c r="G29" i="83"/>
  <c r="G30" i="83"/>
  <c r="G31" i="83"/>
  <c r="G32" i="83"/>
  <c r="G33" i="83"/>
  <c r="G34" i="83"/>
  <c r="G35" i="83"/>
  <c r="G36" i="83"/>
  <c r="G43" i="83"/>
  <c r="G44" i="83"/>
  <c r="G45" i="83"/>
  <c r="G46" i="83"/>
  <c r="G47" i="83"/>
  <c r="G48" i="83"/>
  <c r="G49" i="83"/>
  <c r="G50" i="83"/>
  <c r="G51" i="83"/>
  <c r="G52" i="83"/>
  <c r="G53" i="83"/>
  <c r="G54" i="83"/>
  <c r="G55" i="83"/>
  <c r="G56" i="83"/>
  <c r="G69" i="83"/>
  <c r="G70" i="83"/>
  <c r="G71" i="83"/>
  <c r="G75" i="83"/>
  <c r="G76" i="83"/>
  <c r="G77" i="83"/>
  <c r="G78" i="83"/>
  <c r="G80" i="83"/>
  <c r="G82" i="83"/>
  <c r="G83" i="83"/>
  <c r="G84" i="83"/>
  <c r="G85" i="83"/>
  <c r="G86" i="83"/>
  <c r="G87" i="83"/>
  <c r="G88" i="83"/>
  <c r="G89" i="83"/>
  <c r="G90" i="83"/>
  <c r="G91" i="83"/>
  <c r="G92" i="83"/>
  <c r="G93" i="83"/>
  <c r="G94" i="83"/>
  <c r="G95" i="83"/>
  <c r="G107" i="83"/>
  <c r="G108" i="83"/>
  <c r="G109" i="83"/>
  <c r="G110" i="83"/>
  <c r="G111" i="83"/>
  <c r="G112" i="83"/>
  <c r="G113" i="83"/>
  <c r="G114" i="83"/>
  <c r="G115" i="83"/>
  <c r="G116" i="83"/>
  <c r="G117" i="83"/>
  <c r="G118" i="83"/>
  <c r="G119" i="83"/>
  <c r="G120" i="83"/>
  <c r="G121" i="83"/>
  <c r="G122" i="83"/>
  <c r="G123" i="83"/>
  <c r="G124" i="83"/>
  <c r="G125" i="83"/>
  <c r="G126" i="83"/>
  <c r="G127" i="83"/>
  <c r="G128" i="83"/>
  <c r="G129" i="83"/>
  <c r="G130" i="83"/>
  <c r="G131" i="83"/>
  <c r="G132" i="83"/>
  <c r="G136" i="83"/>
  <c r="G137" i="83"/>
  <c r="G138" i="83"/>
  <c r="G139" i="83"/>
  <c r="G140" i="83"/>
  <c r="G141" i="83"/>
  <c r="G143" i="83"/>
  <c r="G144" i="83"/>
  <c r="G145" i="83"/>
  <c r="G147" i="83"/>
  <c r="G148" i="83"/>
  <c r="G149" i="83"/>
  <c r="G150" i="83"/>
  <c r="G151" i="83"/>
  <c r="G153" i="83"/>
  <c r="G154" i="83"/>
  <c r="G155" i="83"/>
  <c r="G156" i="83"/>
  <c r="G157" i="83"/>
  <c r="G158" i="83"/>
  <c r="G159" i="83"/>
  <c r="G160" i="83"/>
  <c r="G161" i="83"/>
  <c r="G163" i="83"/>
  <c r="G164" i="83"/>
  <c r="G165" i="83"/>
  <c r="G166" i="83"/>
  <c r="G167" i="83"/>
  <c r="G168" i="83"/>
  <c r="G169" i="83"/>
  <c r="G170" i="83"/>
  <c r="G171" i="83"/>
  <c r="G172" i="83"/>
  <c r="G173" i="83"/>
  <c r="G175" i="83"/>
  <c r="G176" i="83"/>
  <c r="G177" i="83"/>
  <c r="G178" i="83"/>
  <c r="G179" i="83"/>
  <c r="G180" i="83"/>
  <c r="G181" i="83"/>
  <c r="G183" i="83"/>
  <c r="G184" i="83"/>
  <c r="G185" i="83"/>
  <c r="G186" i="83"/>
  <c r="G187" i="83"/>
  <c r="G189" i="83"/>
  <c r="G190" i="83"/>
  <c r="G191" i="83"/>
  <c r="G192" i="83"/>
  <c r="G193" i="83"/>
  <c r="G194" i="83"/>
  <c r="G195" i="83"/>
  <c r="G196" i="83"/>
  <c r="G197" i="83"/>
  <c r="G198" i="83"/>
  <c r="G127" i="82"/>
  <c r="G126" i="82"/>
  <c r="G125" i="82"/>
  <c r="G124" i="82"/>
  <c r="G122" i="82"/>
  <c r="G121" i="82"/>
  <c r="G120" i="82"/>
  <c r="G119" i="82"/>
  <c r="G117" i="82"/>
  <c r="G116" i="82"/>
  <c r="G115" i="82"/>
  <c r="G114" i="82"/>
  <c r="G113" i="82"/>
  <c r="G112" i="82"/>
  <c r="G111" i="82"/>
  <c r="G110" i="82"/>
  <c r="G108" i="82"/>
  <c r="G107" i="82"/>
  <c r="G106" i="82"/>
  <c r="G105" i="82"/>
  <c r="G104" i="82"/>
  <c r="G103" i="82"/>
  <c r="G102" i="82"/>
  <c r="G101" i="82"/>
  <c r="G100" i="82"/>
  <c r="G98" i="82"/>
  <c r="G97" i="82"/>
  <c r="G96" i="82"/>
  <c r="G95" i="82"/>
  <c r="G94" i="82"/>
  <c r="G93" i="82"/>
  <c r="G92" i="82"/>
  <c r="G90" i="82"/>
  <c r="G89" i="82"/>
  <c r="G88" i="82"/>
  <c r="G86" i="82"/>
  <c r="G85" i="82"/>
  <c r="G84" i="82"/>
  <c r="G83" i="82"/>
  <c r="G82" i="82"/>
  <c r="G81" i="82"/>
  <c r="G80" i="82"/>
  <c r="G79" i="82"/>
  <c r="G78" i="82"/>
  <c r="G75" i="82"/>
  <c r="G74" i="82"/>
  <c r="G73" i="82"/>
  <c r="G72" i="82"/>
  <c r="G71" i="82"/>
  <c r="G70" i="82"/>
  <c r="G69" i="82"/>
  <c r="G68" i="82"/>
  <c r="G67" i="82"/>
  <c r="G66" i="82"/>
  <c r="G65" i="82"/>
  <c r="G64" i="82"/>
  <c r="G63" i="82"/>
  <c r="G62" i="82"/>
  <c r="G61" i="82"/>
  <c r="G60" i="82"/>
  <c r="G59" i="82"/>
  <c r="G58" i="82"/>
  <c r="G57" i="82"/>
  <c r="G56" i="82"/>
  <c r="G55" i="82"/>
  <c r="G29" i="82"/>
  <c r="G28" i="82"/>
  <c r="G27" i="82"/>
  <c r="G168" i="81"/>
  <c r="G167" i="81"/>
  <c r="G166" i="81"/>
  <c r="G165" i="81"/>
  <c r="G163" i="81"/>
  <c r="G162" i="81"/>
  <c r="G160" i="81"/>
  <c r="G158" i="81"/>
  <c r="G157" i="81"/>
  <c r="G156" i="81"/>
  <c r="G117" i="81"/>
  <c r="G116" i="81"/>
  <c r="G115" i="81"/>
  <c r="G114" i="81"/>
  <c r="G113" i="81"/>
  <c r="G112" i="81"/>
  <c r="G111" i="81"/>
  <c r="G110" i="81"/>
  <c r="G109" i="81"/>
  <c r="G108" i="81"/>
  <c r="G107" i="81"/>
  <c r="G106" i="81"/>
  <c r="G105" i="81"/>
  <c r="G104" i="81"/>
  <c r="G103" i="81"/>
  <c r="G102" i="81"/>
  <c r="G101" i="81"/>
  <c r="G100" i="81"/>
  <c r="G99" i="81"/>
  <c r="G98" i="81"/>
  <c r="G97" i="81"/>
  <c r="G96" i="81"/>
  <c r="G93" i="81"/>
  <c r="G92" i="81"/>
  <c r="G91" i="81"/>
  <c r="G90" i="81"/>
  <c r="G89" i="81"/>
  <c r="G77" i="81"/>
  <c r="G76" i="81"/>
  <c r="G75" i="81"/>
  <c r="G74" i="81"/>
  <c r="G73" i="81"/>
  <c r="G72" i="81"/>
  <c r="G71" i="81"/>
  <c r="G69" i="81"/>
  <c r="G68" i="81"/>
  <c r="G67" i="81"/>
  <c r="G66" i="81"/>
  <c r="G64" i="81"/>
  <c r="G63" i="81"/>
  <c r="G62" i="81"/>
  <c r="G61" i="81"/>
  <c r="G60" i="81"/>
  <c r="G59" i="81"/>
  <c r="G58" i="81"/>
  <c r="G57" i="81"/>
  <c r="G56" i="81"/>
  <c r="G55" i="81"/>
  <c r="G54" i="81"/>
  <c r="G53" i="81"/>
  <c r="G52" i="81"/>
  <c r="G51" i="81"/>
  <c r="G48" i="81"/>
  <c r="G47" i="81"/>
  <c r="G46" i="81"/>
  <c r="G45" i="81"/>
  <c r="G44" i="81"/>
  <c r="G42" i="81"/>
  <c r="G41" i="81"/>
  <c r="G33" i="81"/>
  <c r="G32" i="81"/>
  <c r="G31" i="81"/>
  <c r="G30" i="81"/>
  <c r="G29" i="81"/>
  <c r="G28" i="81"/>
  <c r="G27" i="81"/>
  <c r="G26" i="81"/>
  <c r="G25" i="81"/>
  <c r="G143" i="81" l="1"/>
  <c r="G17" i="81" s="1"/>
  <c r="G227" i="84"/>
  <c r="G18" i="84" s="1"/>
  <c r="G34" i="81"/>
  <c r="G15" i="81" s="1"/>
  <c r="G78" i="81"/>
  <c r="G16" i="81" s="1"/>
  <c r="G38" i="84"/>
  <c r="G15" i="84" s="1"/>
  <c r="G37" i="83"/>
  <c r="G15" i="83" s="1"/>
  <c r="G58" i="84"/>
  <c r="G16" i="84" s="1"/>
  <c r="G128" i="82"/>
  <c r="G16" i="82" s="1"/>
  <c r="G199" i="83"/>
  <c r="G18" i="83" s="1"/>
  <c r="G57" i="83"/>
  <c r="G16" i="83" s="1"/>
  <c r="G169" i="81"/>
  <c r="G18" i="81" s="1"/>
  <c r="G96" i="83"/>
  <c r="G17" i="83" s="1"/>
  <c r="G122" i="84"/>
  <c r="G17" i="84" s="1"/>
  <c r="G19" i="81" l="1"/>
  <c r="F17" i="12" s="1"/>
  <c r="G19" i="83"/>
  <c r="F15" i="12" s="1"/>
  <c r="G19" i="84"/>
  <c r="G12" i="3" s="1"/>
  <c r="G13" i="3" s="1"/>
  <c r="G12" i="72" s="1"/>
  <c r="G99" i="80"/>
  <c r="G98" i="80"/>
  <c r="G97" i="80"/>
  <c r="G96" i="80"/>
  <c r="G94" i="80"/>
  <c r="G93" i="80"/>
  <c r="G92" i="80"/>
  <c r="G91" i="80"/>
  <c r="G89" i="80"/>
  <c r="G88" i="80"/>
  <c r="G87" i="80"/>
  <c r="G86" i="80"/>
  <c r="G85" i="80"/>
  <c r="G84" i="80"/>
  <c r="G83" i="80"/>
  <c r="G82" i="80"/>
  <c r="G80" i="80"/>
  <c r="G79" i="80"/>
  <c r="G78" i="80"/>
  <c r="G77" i="80"/>
  <c r="G76" i="80"/>
  <c r="G75" i="80"/>
  <c r="G74" i="80"/>
  <c r="G73" i="80"/>
  <c r="G72" i="80"/>
  <c r="G70" i="80"/>
  <c r="G69" i="80"/>
  <c r="G68" i="80"/>
  <c r="G67" i="80"/>
  <c r="G66" i="80"/>
  <c r="G64" i="80"/>
  <c r="G63" i="80"/>
  <c r="G62" i="80"/>
  <c r="G60" i="80"/>
  <c r="G59" i="80"/>
  <c r="G58" i="80"/>
  <c r="G57" i="80"/>
  <c r="G56" i="80"/>
  <c r="G55" i="80"/>
  <c r="G54" i="80"/>
  <c r="G50" i="80"/>
  <c r="G49" i="80"/>
  <c r="G48" i="80"/>
  <c r="G47" i="80"/>
  <c r="G46" i="80"/>
  <c r="G45" i="80"/>
  <c r="G44" i="80"/>
  <c r="G43" i="80"/>
  <c r="G42" i="80"/>
  <c r="G41" i="80"/>
  <c r="G40" i="80"/>
  <c r="G39" i="80"/>
  <c r="G38" i="80"/>
  <c r="G37" i="80"/>
  <c r="G36" i="80"/>
  <c r="G35" i="80"/>
  <c r="G34" i="80"/>
  <c r="G33" i="80"/>
  <c r="G32" i="80"/>
  <c r="G31" i="80"/>
  <c r="G30" i="80"/>
  <c r="G98" i="79"/>
  <c r="G97" i="79"/>
  <c r="G96" i="79"/>
  <c r="G95" i="79"/>
  <c r="G93" i="79"/>
  <c r="G92" i="79"/>
  <c r="G91" i="79"/>
  <c r="G90" i="79"/>
  <c r="G88" i="79"/>
  <c r="G87" i="79"/>
  <c r="G86" i="79"/>
  <c r="G85" i="79"/>
  <c r="G84" i="79"/>
  <c r="G83" i="79"/>
  <c r="G82" i="79"/>
  <c r="G80" i="79"/>
  <c r="G79" i="79"/>
  <c r="G78" i="79"/>
  <c r="G77" i="79"/>
  <c r="G76" i="79"/>
  <c r="G75" i="79"/>
  <c r="G74" i="79"/>
  <c r="G73" i="79"/>
  <c r="G71" i="79"/>
  <c r="G70" i="79"/>
  <c r="G69" i="79"/>
  <c r="G68" i="79"/>
  <c r="G67" i="79"/>
  <c r="G65" i="79"/>
  <c r="G64" i="79"/>
  <c r="G63" i="79"/>
  <c r="G61" i="79"/>
  <c r="G60" i="79"/>
  <c r="G59" i="79"/>
  <c r="G58" i="79"/>
  <c r="G57" i="79"/>
  <c r="G56" i="79"/>
  <c r="G52" i="79"/>
  <c r="G51" i="79"/>
  <c r="G50" i="79"/>
  <c r="G49" i="79"/>
  <c r="G48" i="79"/>
  <c r="G47" i="79"/>
  <c r="G46" i="79"/>
  <c r="G45" i="79"/>
  <c r="G44" i="79"/>
  <c r="G43" i="79"/>
  <c r="G42" i="79"/>
  <c r="G41" i="79"/>
  <c r="G40" i="79"/>
  <c r="G39" i="79"/>
  <c r="G38" i="79"/>
  <c r="G37" i="79"/>
  <c r="G36" i="79"/>
  <c r="G35" i="79"/>
  <c r="G34" i="79"/>
  <c r="G33" i="79"/>
  <c r="G32" i="79"/>
  <c r="G31" i="79"/>
  <c r="G30" i="79"/>
  <c r="G99" i="78"/>
  <c r="G98" i="78"/>
  <c r="G97" i="78"/>
  <c r="G96" i="78"/>
  <c r="G94" i="78"/>
  <c r="G93" i="78"/>
  <c r="G92" i="78"/>
  <c r="G91" i="78"/>
  <c r="G89" i="78"/>
  <c r="G88" i="78"/>
  <c r="G87" i="78"/>
  <c r="G86" i="78"/>
  <c r="G85" i="78"/>
  <c r="G84" i="78"/>
  <c r="G83" i="78"/>
  <c r="G81" i="78"/>
  <c r="G80" i="78"/>
  <c r="G79" i="78"/>
  <c r="G78" i="78"/>
  <c r="G77" i="78"/>
  <c r="G76" i="78"/>
  <c r="G75" i="78"/>
  <c r="G74" i="78"/>
  <c r="G72" i="78"/>
  <c r="G71" i="78"/>
  <c r="G70" i="78"/>
  <c r="G69" i="78"/>
  <c r="G68" i="78"/>
  <c r="G66" i="78"/>
  <c r="G65" i="78"/>
  <c r="G64" i="78"/>
  <c r="G62" i="78"/>
  <c r="G61" i="78"/>
  <c r="G60" i="78"/>
  <c r="G59" i="78"/>
  <c r="G58" i="78"/>
  <c r="G57" i="78"/>
  <c r="G56" i="78"/>
  <c r="G52" i="78"/>
  <c r="G51" i="78"/>
  <c r="G50" i="78"/>
  <c r="G49" i="78"/>
  <c r="G48" i="78"/>
  <c r="G47" i="78"/>
  <c r="G46" i="78"/>
  <c r="G45" i="78"/>
  <c r="G44" i="78"/>
  <c r="G43" i="78"/>
  <c r="G42" i="78"/>
  <c r="G41" i="78"/>
  <c r="G40" i="78"/>
  <c r="G39" i="78"/>
  <c r="G38" i="78"/>
  <c r="G37" i="78"/>
  <c r="G36" i="78"/>
  <c r="G35" i="78"/>
  <c r="G34" i="78"/>
  <c r="G33" i="78"/>
  <c r="G32" i="78"/>
  <c r="G31" i="78"/>
  <c r="G30" i="78"/>
  <c r="G95" i="77"/>
  <c r="G94" i="77"/>
  <c r="G93" i="77"/>
  <c r="G92" i="77"/>
  <c r="G90" i="77"/>
  <c r="G89" i="77"/>
  <c r="G88" i="77"/>
  <c r="G87" i="77"/>
  <c r="G85" i="77"/>
  <c r="G84" i="77"/>
  <c r="G83" i="77"/>
  <c r="G82" i="77"/>
  <c r="G81" i="77"/>
  <c r="G80" i="77"/>
  <c r="G79" i="77"/>
  <c r="G77" i="77"/>
  <c r="G76" i="77"/>
  <c r="G75" i="77"/>
  <c r="G74" i="77"/>
  <c r="G73" i="77"/>
  <c r="G72" i="77"/>
  <c r="G71" i="77"/>
  <c r="G70" i="77"/>
  <c r="G68" i="77"/>
  <c r="G67" i="77"/>
  <c r="G66" i="77"/>
  <c r="G65" i="77"/>
  <c r="G63" i="77"/>
  <c r="G62" i="77"/>
  <c r="G61" i="77"/>
  <c r="G59" i="77"/>
  <c r="G58" i="77"/>
  <c r="G57" i="77"/>
  <c r="G56" i="77"/>
  <c r="G55" i="77"/>
  <c r="G54" i="77"/>
  <c r="G50" i="77"/>
  <c r="G49" i="77"/>
  <c r="G48" i="77"/>
  <c r="G47" i="77"/>
  <c r="G46" i="77"/>
  <c r="G45" i="77"/>
  <c r="G44" i="77"/>
  <c r="G43" i="77"/>
  <c r="G42" i="77"/>
  <c r="G41" i="77"/>
  <c r="G40" i="77"/>
  <c r="G39" i="77"/>
  <c r="G38" i="77"/>
  <c r="G37" i="77"/>
  <c r="G36" i="77"/>
  <c r="G35" i="77"/>
  <c r="G34" i="77"/>
  <c r="G33" i="77"/>
  <c r="G32" i="77"/>
  <c r="G31" i="77"/>
  <c r="G30" i="77"/>
  <c r="G98" i="76"/>
  <c r="G97" i="76"/>
  <c r="G96" i="76"/>
  <c r="G95" i="76"/>
  <c r="G93" i="76"/>
  <c r="G92" i="76"/>
  <c r="G91" i="76"/>
  <c r="G90" i="76"/>
  <c r="G88" i="76"/>
  <c r="G87" i="76"/>
  <c r="G86" i="76"/>
  <c r="G85" i="76"/>
  <c r="G84" i="76"/>
  <c r="G83" i="76"/>
  <c r="G82" i="76"/>
  <c r="G81" i="76"/>
  <c r="G79" i="76"/>
  <c r="G78" i="76"/>
  <c r="G77" i="76"/>
  <c r="G76" i="76"/>
  <c r="G75" i="76"/>
  <c r="G74" i="76"/>
  <c r="G73" i="76"/>
  <c r="G72" i="76"/>
  <c r="G71" i="76"/>
  <c r="G69" i="76"/>
  <c r="G68" i="76"/>
  <c r="G67" i="76"/>
  <c r="G66" i="76"/>
  <c r="G65" i="76"/>
  <c r="G63" i="76"/>
  <c r="G62" i="76"/>
  <c r="G61" i="76"/>
  <c r="G59" i="76"/>
  <c r="G58" i="76"/>
  <c r="G57" i="76"/>
  <c r="G56" i="76"/>
  <c r="G55" i="76"/>
  <c r="G54" i="76"/>
  <c r="G50" i="76"/>
  <c r="G49" i="76"/>
  <c r="G48" i="76"/>
  <c r="G47" i="76"/>
  <c r="G46" i="76"/>
  <c r="G45" i="76"/>
  <c r="G44" i="76"/>
  <c r="G43" i="76"/>
  <c r="G42" i="76"/>
  <c r="G41" i="76"/>
  <c r="G40" i="76"/>
  <c r="G39" i="76"/>
  <c r="G38" i="76"/>
  <c r="G37" i="76"/>
  <c r="G36" i="76"/>
  <c r="G35" i="76"/>
  <c r="G34" i="76"/>
  <c r="G33" i="76"/>
  <c r="G32" i="76"/>
  <c r="G31" i="76"/>
  <c r="G30" i="76"/>
  <c r="G98" i="75"/>
  <c r="G97" i="75"/>
  <c r="G96" i="75"/>
  <c r="G95" i="75"/>
  <c r="G93" i="75"/>
  <c r="G92" i="75"/>
  <c r="G91" i="75"/>
  <c r="G90" i="75"/>
  <c r="G88" i="75"/>
  <c r="G87" i="75"/>
  <c r="G86" i="75"/>
  <c r="G85" i="75"/>
  <c r="G84" i="75"/>
  <c r="G83" i="75"/>
  <c r="G82" i="75"/>
  <c r="G81" i="75"/>
  <c r="G79" i="75"/>
  <c r="G78" i="75"/>
  <c r="G77" i="75"/>
  <c r="G76" i="75"/>
  <c r="G75" i="75"/>
  <c r="G74" i="75"/>
  <c r="G73" i="75"/>
  <c r="G72" i="75"/>
  <c r="G71" i="75"/>
  <c r="G69" i="75"/>
  <c r="G68" i="75"/>
  <c r="G67" i="75"/>
  <c r="G66" i="75"/>
  <c r="G65" i="75"/>
  <c r="G63" i="75"/>
  <c r="G62" i="75"/>
  <c r="G61" i="75"/>
  <c r="G59" i="75"/>
  <c r="G58" i="75"/>
  <c r="G57" i="75"/>
  <c r="G56" i="75"/>
  <c r="G55" i="75"/>
  <c r="G54" i="75"/>
  <c r="G50" i="75"/>
  <c r="G49" i="75"/>
  <c r="G48" i="75"/>
  <c r="G47" i="75"/>
  <c r="G46" i="75"/>
  <c r="G45" i="75"/>
  <c r="G44" i="75"/>
  <c r="G43" i="75"/>
  <c r="G42" i="75"/>
  <c r="G41" i="75"/>
  <c r="G40" i="75"/>
  <c r="G39" i="75"/>
  <c r="G38" i="75"/>
  <c r="G37" i="75"/>
  <c r="G36" i="75"/>
  <c r="G35" i="75"/>
  <c r="G34" i="75"/>
  <c r="G33" i="75"/>
  <c r="G32" i="75"/>
  <c r="G31" i="75"/>
  <c r="G30" i="75"/>
  <c r="G95" i="74"/>
  <c r="G94" i="74"/>
  <c r="G93" i="74"/>
  <c r="G92" i="74"/>
  <c r="G90" i="74"/>
  <c r="G89" i="74"/>
  <c r="G88" i="74"/>
  <c r="G87" i="74"/>
  <c r="G85" i="74"/>
  <c r="G84" i="74"/>
  <c r="G83" i="74"/>
  <c r="G82" i="74"/>
  <c r="G81" i="74"/>
  <c r="G80" i="74"/>
  <c r="G79" i="74"/>
  <c r="G77" i="74"/>
  <c r="G76" i="74"/>
  <c r="G75" i="74"/>
  <c r="G74" i="74"/>
  <c r="G73" i="74"/>
  <c r="G72" i="74"/>
  <c r="G71" i="74"/>
  <c r="G70" i="74"/>
  <c r="G68" i="74"/>
  <c r="G67" i="74"/>
  <c r="G66" i="74"/>
  <c r="G65" i="74"/>
  <c r="G63" i="74"/>
  <c r="G62" i="74"/>
  <c r="G61" i="74"/>
  <c r="G59" i="74"/>
  <c r="G58" i="74"/>
  <c r="G57" i="74"/>
  <c r="G56" i="74"/>
  <c r="G55" i="74"/>
  <c r="G54" i="74"/>
  <c r="G50" i="74"/>
  <c r="G49" i="74"/>
  <c r="G48" i="74"/>
  <c r="G47" i="74"/>
  <c r="G46" i="74"/>
  <c r="G45" i="74"/>
  <c r="G44" i="74"/>
  <c r="G43" i="74"/>
  <c r="G42" i="74"/>
  <c r="G41" i="74"/>
  <c r="G40" i="74"/>
  <c r="G39" i="74"/>
  <c r="G38" i="74"/>
  <c r="G37" i="74"/>
  <c r="G36" i="74"/>
  <c r="G35" i="74"/>
  <c r="G34" i="74"/>
  <c r="G33" i="74"/>
  <c r="G32" i="74"/>
  <c r="G31" i="74"/>
  <c r="G30" i="74"/>
  <c r="G96" i="73"/>
  <c r="G95" i="73"/>
  <c r="G94" i="73"/>
  <c r="G93" i="73"/>
  <c r="G91" i="73"/>
  <c r="G90" i="73"/>
  <c r="G89" i="73"/>
  <c r="G88" i="73"/>
  <c r="G86" i="73"/>
  <c r="G85" i="73"/>
  <c r="G84" i="73"/>
  <c r="G83" i="73"/>
  <c r="G82" i="73"/>
  <c r="G81" i="73"/>
  <c r="G80" i="73"/>
  <c r="G78" i="73"/>
  <c r="G77" i="73"/>
  <c r="G76" i="73"/>
  <c r="G75" i="73"/>
  <c r="G74" i="73"/>
  <c r="G73" i="73"/>
  <c r="G72" i="73"/>
  <c r="G71" i="73"/>
  <c r="G69" i="73"/>
  <c r="G68" i="73"/>
  <c r="G67" i="73"/>
  <c r="G66" i="73"/>
  <c r="G65" i="73"/>
  <c r="G63" i="73"/>
  <c r="G62" i="73"/>
  <c r="G61" i="73"/>
  <c r="G59" i="73"/>
  <c r="G58" i="73"/>
  <c r="G57" i="73"/>
  <c r="G56" i="73"/>
  <c r="G55" i="73"/>
  <c r="G54" i="73"/>
  <c r="G53" i="73"/>
  <c r="G50" i="73"/>
  <c r="G49" i="73"/>
  <c r="G48" i="73"/>
  <c r="G47" i="73"/>
  <c r="G46" i="73"/>
  <c r="G45" i="73"/>
  <c r="G44" i="73"/>
  <c r="G43" i="73"/>
  <c r="G42" i="73"/>
  <c r="G41" i="73"/>
  <c r="G40" i="73"/>
  <c r="G39" i="73"/>
  <c r="G38" i="73"/>
  <c r="G37" i="73"/>
  <c r="G36" i="73"/>
  <c r="G35" i="73"/>
  <c r="G34" i="73"/>
  <c r="G33" i="73"/>
  <c r="G32" i="73"/>
  <c r="G31" i="73"/>
  <c r="G30" i="73"/>
  <c r="G100" i="78" l="1"/>
  <c r="G15" i="78" s="1"/>
  <c r="G16" i="78" s="1"/>
  <c r="F26" i="12" s="1"/>
  <c r="G96" i="77"/>
  <c r="G15" i="77" s="1"/>
  <c r="G16" i="77" s="1"/>
  <c r="F25" i="12" s="1"/>
  <c r="G96" i="74"/>
  <c r="G15" i="74" s="1"/>
  <c r="G16" i="74" s="1"/>
  <c r="F22" i="12" s="1"/>
  <c r="G100" i="80"/>
  <c r="G15" i="80" s="1"/>
  <c r="G16" i="80" s="1"/>
  <c r="F28" i="12" s="1"/>
  <c r="G99" i="76"/>
  <c r="G15" i="76" s="1"/>
  <c r="G16" i="76" s="1"/>
  <c r="F24" i="12" s="1"/>
  <c r="G99" i="79"/>
  <c r="G15" i="79" s="1"/>
  <c r="G16" i="79" s="1"/>
  <c r="F27" i="12" s="1"/>
  <c r="G97" i="73"/>
  <c r="G15" i="73" s="1"/>
  <c r="G16" i="73" s="1"/>
  <c r="F21" i="12" s="1"/>
  <c r="G99" i="75"/>
  <c r="G15" i="75" s="1"/>
  <c r="G16" i="75" s="1"/>
  <c r="F23" i="12" s="1"/>
  <c r="G131" i="60"/>
  <c r="G132" i="60" s="1"/>
  <c r="G20" i="60" s="1"/>
  <c r="G120" i="60"/>
  <c r="G116" i="60"/>
  <c r="G115" i="60"/>
  <c r="G114" i="60"/>
  <c r="G113" i="60"/>
  <c r="G109" i="60"/>
  <c r="G108" i="60"/>
  <c r="G107" i="60"/>
  <c r="G106" i="60"/>
  <c r="G103" i="60"/>
  <c r="G102" i="60"/>
  <c r="G100" i="60"/>
  <c r="G98" i="60"/>
  <c r="G97" i="60"/>
  <c r="G95" i="60"/>
  <c r="G94" i="60"/>
  <c r="G93" i="60"/>
  <c r="G91" i="60"/>
  <c r="G90" i="60"/>
  <c r="G89" i="60"/>
  <c r="G87" i="60"/>
  <c r="G85" i="60"/>
  <c r="G84" i="60"/>
  <c r="G83" i="60"/>
  <c r="G77" i="60"/>
  <c r="G61" i="60"/>
  <c r="E60" i="60"/>
  <c r="G60" i="60" s="1"/>
  <c r="E59" i="60"/>
  <c r="G59" i="60" s="1"/>
  <c r="G58" i="60"/>
  <c r="G57" i="60"/>
  <c r="G56" i="60"/>
  <c r="G55" i="60"/>
  <c r="G54" i="60"/>
  <c r="G53" i="60"/>
  <c r="G52" i="60"/>
  <c r="G51" i="60"/>
  <c r="G50" i="60"/>
  <c r="G49" i="60"/>
  <c r="G48" i="60"/>
  <c r="G47" i="60"/>
  <c r="G46" i="60"/>
  <c r="G45" i="60"/>
  <c r="G171" i="59"/>
  <c r="G169" i="59"/>
  <c r="G168" i="59"/>
  <c r="G167" i="59"/>
  <c r="G165" i="59"/>
  <c r="G164" i="59"/>
  <c r="G163" i="59"/>
  <c r="G160" i="59"/>
  <c r="G159" i="59"/>
  <c r="G158" i="59"/>
  <c r="G157" i="59"/>
  <c r="G156" i="59"/>
  <c r="G155" i="59"/>
  <c r="G154" i="59"/>
  <c r="G153" i="59"/>
  <c r="G152" i="59"/>
  <c r="G151" i="59"/>
  <c r="G150" i="59"/>
  <c r="G148" i="59"/>
  <c r="G147" i="59"/>
  <c r="G146" i="59"/>
  <c r="G145" i="59"/>
  <c r="G144" i="59"/>
  <c r="G143" i="59"/>
  <c r="G142" i="59"/>
  <c r="G139" i="59"/>
  <c r="G138" i="59"/>
  <c r="G137" i="59"/>
  <c r="G136" i="59"/>
  <c r="G135" i="59"/>
  <c r="G134" i="59"/>
  <c r="G133" i="59"/>
  <c r="G132" i="59"/>
  <c r="G131" i="59"/>
  <c r="G130" i="59"/>
  <c r="G129" i="59"/>
  <c r="G128" i="59"/>
  <c r="G127" i="59"/>
  <c r="G124" i="59"/>
  <c r="G123" i="59"/>
  <c r="G122" i="59"/>
  <c r="G121" i="59"/>
  <c r="G120" i="59"/>
  <c r="G119" i="59"/>
  <c r="G118" i="59"/>
  <c r="G115" i="59"/>
  <c r="G114" i="59"/>
  <c r="G112" i="59"/>
  <c r="G111" i="59"/>
  <c r="G107" i="59"/>
  <c r="G106" i="59"/>
  <c r="G105" i="59"/>
  <c r="G104" i="59"/>
  <c r="G103" i="59"/>
  <c r="G102" i="59"/>
  <c r="G101" i="59"/>
  <c r="G99" i="59"/>
  <c r="G98" i="59"/>
  <c r="G97" i="59"/>
  <c r="G96" i="59"/>
  <c r="G95" i="59"/>
  <c r="G94" i="59"/>
  <c r="G80" i="59"/>
  <c r="G79" i="59"/>
  <c r="G78" i="59"/>
  <c r="G77" i="59"/>
  <c r="G76" i="59"/>
  <c r="G75" i="59"/>
  <c r="G74" i="59"/>
  <c r="G72" i="59"/>
  <c r="G71" i="59"/>
  <c r="G70" i="59"/>
  <c r="G69" i="59"/>
  <c r="G68" i="59"/>
  <c r="G67" i="59"/>
  <c r="G66" i="59"/>
  <c r="G65" i="59"/>
  <c r="G64" i="59"/>
  <c r="G63" i="59"/>
  <c r="G62" i="59"/>
  <c r="G61" i="59"/>
  <c r="G60" i="59"/>
  <c r="G59" i="59"/>
  <c r="G58" i="59"/>
  <c r="G57" i="59"/>
  <c r="G56" i="59"/>
  <c r="G55" i="59"/>
  <c r="G54" i="59"/>
  <c r="G52" i="59"/>
  <c r="G51" i="59"/>
  <c r="G50" i="59"/>
  <c r="G49" i="59"/>
  <c r="G48" i="59"/>
  <c r="G47" i="59"/>
  <c r="G46" i="59"/>
  <c r="G45" i="59"/>
  <c r="G44" i="59"/>
  <c r="G43" i="59"/>
  <c r="G42" i="59"/>
  <c r="G35" i="59"/>
  <c r="G34" i="59"/>
  <c r="G33" i="59"/>
  <c r="G32" i="59"/>
  <c r="G31" i="59"/>
  <c r="G30" i="59"/>
  <c r="G29" i="59"/>
  <c r="G28" i="59"/>
  <c r="G27" i="59"/>
  <c r="G26" i="59"/>
  <c r="G25" i="59"/>
  <c r="E24" i="59"/>
  <c r="G24" i="59" s="1"/>
  <c r="G23" i="59"/>
  <c r="G205" i="58"/>
  <c r="G204" i="58"/>
  <c r="G203" i="58"/>
  <c r="G202" i="58"/>
  <c r="G201" i="58"/>
  <c r="G200" i="58"/>
  <c r="G199" i="58"/>
  <c r="G198" i="58"/>
  <c r="G197" i="58"/>
  <c r="G196" i="58"/>
  <c r="G195" i="58"/>
  <c r="G194" i="58"/>
  <c r="G193" i="58"/>
  <c r="G192" i="58"/>
  <c r="G191" i="58"/>
  <c r="G190" i="58"/>
  <c r="G189" i="58"/>
  <c r="G188" i="58"/>
  <c r="G186" i="58"/>
  <c r="G185" i="58"/>
  <c r="G184" i="58"/>
  <c r="G183" i="58"/>
  <c r="G182" i="58"/>
  <c r="G181" i="58"/>
  <c r="G180" i="58"/>
  <c r="G179" i="58"/>
  <c r="G178" i="58"/>
  <c r="G177" i="58"/>
  <c r="G176" i="58"/>
  <c r="G175" i="58"/>
  <c r="G174" i="58"/>
  <c r="G173" i="58"/>
  <c r="G172" i="58"/>
  <c r="G171" i="58"/>
  <c r="G170" i="58"/>
  <c r="G169" i="58"/>
  <c r="G168" i="58"/>
  <c r="G165" i="58"/>
  <c r="G164" i="58"/>
  <c r="G163" i="58"/>
  <c r="G162" i="58"/>
  <c r="G161" i="58"/>
  <c r="G160" i="58"/>
  <c r="G159" i="58"/>
  <c r="G158" i="58"/>
  <c r="G157" i="58"/>
  <c r="G155" i="58"/>
  <c r="G154" i="58"/>
  <c r="G153" i="58"/>
  <c r="G152" i="58"/>
  <c r="G151" i="58"/>
  <c r="G150" i="58"/>
  <c r="G149" i="58"/>
  <c r="G148" i="58"/>
  <c r="G145" i="58"/>
  <c r="G144" i="58"/>
  <c r="G143" i="58"/>
  <c r="G142" i="58"/>
  <c r="G141" i="58"/>
  <c r="G140" i="58"/>
  <c r="G139" i="58"/>
  <c r="G138" i="58"/>
  <c r="G137" i="58"/>
  <c r="G136" i="58"/>
  <c r="G135" i="58"/>
  <c r="G134" i="58"/>
  <c r="G133" i="58"/>
  <c r="G132" i="58"/>
  <c r="G131" i="58"/>
  <c r="G130" i="58"/>
  <c r="G127" i="58"/>
  <c r="G126" i="58"/>
  <c r="G125" i="58"/>
  <c r="G124" i="58"/>
  <c r="G123" i="58"/>
  <c r="G122" i="58"/>
  <c r="G121" i="58"/>
  <c r="G120" i="58"/>
  <c r="G117" i="58"/>
  <c r="G116" i="58"/>
  <c r="G115" i="58"/>
  <c r="G114" i="58"/>
  <c r="G113" i="58"/>
  <c r="G112" i="58"/>
  <c r="G108" i="58"/>
  <c r="G107" i="58"/>
  <c r="G106" i="58"/>
  <c r="G105" i="58"/>
  <c r="G104" i="58"/>
  <c r="G103" i="58"/>
  <c r="G89" i="58"/>
  <c r="G88" i="58"/>
  <c r="G87" i="58"/>
  <c r="G86" i="58"/>
  <c r="G85" i="58"/>
  <c r="G84" i="58"/>
  <c r="G83" i="58"/>
  <c r="G82" i="58"/>
  <c r="G81" i="58"/>
  <c r="G80" i="58"/>
  <c r="G78" i="58"/>
  <c r="G76" i="58"/>
  <c r="G75" i="58"/>
  <c r="G74" i="58"/>
  <c r="G73" i="58"/>
  <c r="B73" i="58"/>
  <c r="G72" i="58"/>
  <c r="G71" i="58"/>
  <c r="G70" i="58"/>
  <c r="G69" i="58"/>
  <c r="G68" i="58"/>
  <c r="G67" i="58"/>
  <c r="G66" i="58"/>
  <c r="G64" i="58"/>
  <c r="G63" i="58"/>
  <c r="G62" i="58"/>
  <c r="G61" i="58"/>
  <c r="G60" i="58"/>
  <c r="G59" i="58"/>
  <c r="G58" i="58"/>
  <c r="E57" i="58"/>
  <c r="G57" i="58" s="1"/>
  <c r="G56" i="58"/>
  <c r="B56" i="58"/>
  <c r="B57" i="58" s="1"/>
  <c r="B58" i="58" s="1"/>
  <c r="B59" i="58" s="1"/>
  <c r="B60" i="58" s="1"/>
  <c r="B61" i="58" s="1"/>
  <c r="B62" i="58" s="1"/>
  <c r="B63" i="58" s="1"/>
  <c r="B64" i="58" s="1"/>
  <c r="G55" i="58"/>
  <c r="G54" i="58"/>
  <c r="G53" i="58"/>
  <c r="G52" i="58"/>
  <c r="G50" i="58"/>
  <c r="G49" i="58"/>
  <c r="G48" i="58"/>
  <c r="G47" i="58"/>
  <c r="G46" i="58"/>
  <c r="G45" i="58"/>
  <c r="G44" i="58"/>
  <c r="G43" i="58"/>
  <c r="G42" i="58"/>
  <c r="G41" i="58"/>
  <c r="G34" i="58"/>
  <c r="G33" i="58"/>
  <c r="G32" i="58"/>
  <c r="G31" i="58"/>
  <c r="G30" i="58"/>
  <c r="G29" i="58"/>
  <c r="G28" i="58"/>
  <c r="G27" i="58"/>
  <c r="G26" i="58"/>
  <c r="G25" i="58"/>
  <c r="G24" i="58"/>
  <c r="G23" i="58"/>
  <c r="G250" i="57"/>
  <c r="G249" i="57"/>
  <c r="G248" i="57"/>
  <c r="G247" i="57"/>
  <c r="G246" i="57"/>
  <c r="G245" i="57"/>
  <c r="G244" i="57"/>
  <c r="G243" i="57"/>
  <c r="G242" i="57"/>
  <c r="G241" i="57"/>
  <c r="G240" i="57"/>
  <c r="G239" i="57"/>
  <c r="G238" i="57"/>
  <c r="G237" i="57"/>
  <c r="G236" i="57"/>
  <c r="G235" i="57"/>
  <c r="G234" i="57"/>
  <c r="G233" i="57"/>
  <c r="G232" i="57"/>
  <c r="G231" i="57"/>
  <c r="G228" i="57"/>
  <c r="G227" i="57"/>
  <c r="G226" i="57"/>
  <c r="G225" i="57"/>
  <c r="G224" i="57"/>
  <c r="G223" i="57"/>
  <c r="G222" i="57"/>
  <c r="G221" i="57"/>
  <c r="G220" i="57"/>
  <c r="G218" i="57"/>
  <c r="G217" i="57"/>
  <c r="G216" i="57"/>
  <c r="G215" i="57"/>
  <c r="G214" i="57"/>
  <c r="G213" i="57"/>
  <c r="G211" i="57"/>
  <c r="G210" i="57"/>
  <c r="G209" i="57"/>
  <c r="G208" i="57"/>
  <c r="G207" i="57"/>
  <c r="G206" i="57"/>
  <c r="G205" i="57"/>
  <c r="G203" i="57"/>
  <c r="G202" i="57"/>
  <c r="G201" i="57"/>
  <c r="G200" i="57"/>
  <c r="G199" i="57"/>
  <c r="G198" i="57"/>
  <c r="G196" i="57"/>
  <c r="G195" i="57"/>
  <c r="G194" i="57"/>
  <c r="G193" i="57"/>
  <c r="G192" i="57"/>
  <c r="G191" i="57"/>
  <c r="G190" i="57"/>
  <c r="G189" i="57"/>
  <c r="G187" i="57"/>
  <c r="G186" i="57"/>
  <c r="G185" i="57"/>
  <c r="G184" i="57"/>
  <c r="G183" i="57"/>
  <c r="G182" i="57"/>
  <c r="G180" i="57"/>
  <c r="G179" i="57"/>
  <c r="G178" i="57"/>
  <c r="G177" i="57"/>
  <c r="G176" i="57"/>
  <c r="G175" i="57"/>
  <c r="G174" i="57"/>
  <c r="G171" i="57"/>
  <c r="G170" i="57"/>
  <c r="G169" i="57"/>
  <c r="G168" i="57"/>
  <c r="G167" i="57"/>
  <c r="G166" i="57"/>
  <c r="G165" i="57"/>
  <c r="G164" i="57"/>
  <c r="G163" i="57"/>
  <c r="G162" i="57"/>
  <c r="G159" i="57"/>
  <c r="G158" i="57"/>
  <c r="G157" i="57"/>
  <c r="G156" i="57"/>
  <c r="G155" i="57"/>
  <c r="G154" i="57"/>
  <c r="G153" i="57"/>
  <c r="G152" i="57"/>
  <c r="G151" i="57"/>
  <c r="G150" i="57"/>
  <c r="G149" i="57"/>
  <c r="G148" i="57"/>
  <c r="G147" i="57"/>
  <c r="G146" i="57"/>
  <c r="G145" i="57"/>
  <c r="G142" i="57"/>
  <c r="G141" i="57"/>
  <c r="G140" i="57"/>
  <c r="G139" i="57"/>
  <c r="G138" i="57"/>
  <c r="G137" i="57"/>
  <c r="G136" i="57"/>
  <c r="G135" i="57"/>
  <c r="G132" i="57"/>
  <c r="G130" i="57"/>
  <c r="G129" i="57"/>
  <c r="G128" i="57"/>
  <c r="G127" i="57"/>
  <c r="G126" i="57"/>
  <c r="G125" i="57"/>
  <c r="G123" i="57"/>
  <c r="G122" i="57"/>
  <c r="G121" i="57"/>
  <c r="G120" i="57"/>
  <c r="G119" i="57"/>
  <c r="G118" i="57"/>
  <c r="G114" i="57"/>
  <c r="G113" i="57"/>
  <c r="G112" i="57"/>
  <c r="G111" i="57"/>
  <c r="G110" i="57"/>
  <c r="G109" i="57"/>
  <c r="G108" i="57"/>
  <c r="G106" i="57"/>
  <c r="G105" i="57"/>
  <c r="G104" i="57"/>
  <c r="G103" i="57"/>
  <c r="G102" i="57"/>
  <c r="G101" i="57"/>
  <c r="G87" i="57"/>
  <c r="G86" i="57"/>
  <c r="G85" i="57"/>
  <c r="G84" i="57"/>
  <c r="G83" i="57"/>
  <c r="G82" i="57"/>
  <c r="G81" i="57"/>
  <c r="G80" i="57"/>
  <c r="G79" i="57"/>
  <c r="G78" i="57"/>
  <c r="G76" i="57"/>
  <c r="G75" i="57"/>
  <c r="G73" i="57"/>
  <c r="G71" i="57"/>
  <c r="G69" i="57"/>
  <c r="G68" i="57"/>
  <c r="G67" i="57"/>
  <c r="G66" i="57"/>
  <c r="G65" i="57"/>
  <c r="G64" i="57"/>
  <c r="G63" i="57"/>
  <c r="G62" i="57"/>
  <c r="G61" i="57"/>
  <c r="G59" i="57"/>
  <c r="G58" i="57"/>
  <c r="G57" i="57"/>
  <c r="G56" i="57"/>
  <c r="G55" i="57"/>
  <c r="G54" i="57"/>
  <c r="G53" i="57"/>
  <c r="G51" i="57"/>
  <c r="G50" i="57"/>
  <c r="G49" i="57"/>
  <c r="G48" i="57"/>
  <c r="G47" i="57"/>
  <c r="G46" i="57"/>
  <c r="G45" i="57"/>
  <c r="G44" i="57"/>
  <c r="G43" i="57"/>
  <c r="G42" i="57"/>
  <c r="G35" i="57"/>
  <c r="G34" i="57"/>
  <c r="G33" i="57"/>
  <c r="G32" i="57"/>
  <c r="G31" i="57"/>
  <c r="G30" i="57"/>
  <c r="G29" i="57"/>
  <c r="G28" i="57"/>
  <c r="G27" i="57"/>
  <c r="G26" i="57"/>
  <c r="G25" i="57"/>
  <c r="G24" i="57"/>
  <c r="G23" i="57"/>
  <c r="G279" i="56"/>
  <c r="G277" i="56"/>
  <c r="G276" i="56"/>
  <c r="G275" i="56"/>
  <c r="G272" i="56"/>
  <c r="G271" i="56"/>
  <c r="G270" i="56"/>
  <c r="G269" i="56"/>
  <c r="G268" i="56"/>
  <c r="G267" i="56"/>
  <c r="G266" i="56"/>
  <c r="G265" i="56"/>
  <c r="G264" i="56"/>
  <c r="G263" i="56"/>
  <c r="G261" i="56"/>
  <c r="G260" i="56"/>
  <c r="G259" i="56"/>
  <c r="G258" i="56"/>
  <c r="G257" i="56"/>
  <c r="G256" i="56"/>
  <c r="G255" i="56"/>
  <c r="G253" i="56"/>
  <c r="G252" i="56"/>
  <c r="G251" i="56"/>
  <c r="G250" i="56"/>
  <c r="G249" i="56"/>
  <c r="G248" i="56"/>
  <c r="G247" i="56"/>
  <c r="G245" i="56"/>
  <c r="G244" i="56"/>
  <c r="G243" i="56"/>
  <c r="G242" i="56"/>
  <c r="G241" i="56"/>
  <c r="G240" i="56"/>
  <c r="G239" i="56"/>
  <c r="G237" i="56"/>
  <c r="G236" i="56"/>
  <c r="G235" i="56"/>
  <c r="G234" i="56"/>
  <c r="G233" i="56"/>
  <c r="G232" i="56"/>
  <c r="G230" i="56"/>
  <c r="G229" i="56"/>
  <c r="G228" i="56"/>
  <c r="G227" i="56"/>
  <c r="G226" i="56"/>
  <c r="G225" i="56"/>
  <c r="G224" i="56"/>
  <c r="G223" i="56"/>
  <c r="G221" i="56"/>
  <c r="G220" i="56"/>
  <c r="G219" i="56"/>
  <c r="G218" i="56"/>
  <c r="G217" i="56"/>
  <c r="G216" i="56"/>
  <c r="G215" i="56"/>
  <c r="G213" i="56"/>
  <c r="G212" i="56"/>
  <c r="G211" i="56"/>
  <c r="G210" i="56"/>
  <c r="G209" i="56"/>
  <c r="G208" i="56"/>
  <c r="G207" i="56"/>
  <c r="G205" i="56"/>
  <c r="G204" i="56"/>
  <c r="G203" i="56"/>
  <c r="G202" i="56"/>
  <c r="G201" i="56"/>
  <c r="G199" i="56"/>
  <c r="G198" i="56"/>
  <c r="G197" i="56"/>
  <c r="G196" i="56"/>
  <c r="G195" i="56"/>
  <c r="G193" i="56"/>
  <c r="G192" i="56"/>
  <c r="G190" i="56"/>
  <c r="G189" i="56"/>
  <c r="G188" i="56"/>
  <c r="G187" i="56"/>
  <c r="G184" i="56"/>
  <c r="G183" i="56"/>
  <c r="G182" i="56"/>
  <c r="G181" i="56"/>
  <c r="G180" i="56"/>
  <c r="G179" i="56"/>
  <c r="G178" i="56"/>
  <c r="G177" i="56"/>
  <c r="G176" i="56"/>
  <c r="G175" i="56"/>
  <c r="G172" i="56"/>
  <c r="G171" i="56"/>
  <c r="G170" i="56"/>
  <c r="G169" i="56"/>
  <c r="G168" i="56"/>
  <c r="G167" i="56"/>
  <c r="G166" i="56"/>
  <c r="G165" i="56"/>
  <c r="G164" i="56"/>
  <c r="G163" i="56"/>
  <c r="G162" i="56"/>
  <c r="G161" i="56"/>
  <c r="G160" i="56"/>
  <c r="G159" i="56"/>
  <c r="G158" i="56"/>
  <c r="G155" i="56"/>
  <c r="G154" i="56"/>
  <c r="G153" i="56"/>
  <c r="G152" i="56"/>
  <c r="G151" i="56"/>
  <c r="G150" i="56"/>
  <c r="G149" i="56"/>
  <c r="G148" i="56"/>
  <c r="G147" i="56"/>
  <c r="G144" i="56"/>
  <c r="G143" i="56"/>
  <c r="G141" i="56"/>
  <c r="G140" i="56"/>
  <c r="G138" i="56"/>
  <c r="G137" i="56"/>
  <c r="G136" i="56"/>
  <c r="G135" i="56"/>
  <c r="G134" i="56"/>
  <c r="G132" i="56"/>
  <c r="G131" i="56"/>
  <c r="G130" i="56"/>
  <c r="G129" i="56"/>
  <c r="G128" i="56"/>
  <c r="G124" i="56"/>
  <c r="G123" i="56"/>
  <c r="G122" i="56"/>
  <c r="G121" i="56"/>
  <c r="G120" i="56"/>
  <c r="G119" i="56"/>
  <c r="G118" i="56"/>
  <c r="G116" i="56"/>
  <c r="G115" i="56"/>
  <c r="G114" i="56"/>
  <c r="G113" i="56"/>
  <c r="G112" i="56"/>
  <c r="G111" i="56"/>
  <c r="G110" i="56"/>
  <c r="G109" i="56"/>
  <c r="G95" i="56"/>
  <c r="G94" i="56"/>
  <c r="G93" i="56"/>
  <c r="G92" i="56"/>
  <c r="G91" i="56"/>
  <c r="G90" i="56"/>
  <c r="G89" i="56"/>
  <c r="G88" i="56"/>
  <c r="G87" i="56"/>
  <c r="G86" i="56"/>
  <c r="G85" i="56"/>
  <c r="G84" i="56"/>
  <c r="G83" i="56"/>
  <c r="G82" i="56"/>
  <c r="G81" i="56"/>
  <c r="G80" i="56"/>
  <c r="G79" i="56"/>
  <c r="G78" i="56"/>
  <c r="G76" i="56"/>
  <c r="G75" i="56"/>
  <c r="G74" i="56"/>
  <c r="G73" i="56"/>
  <c r="G72" i="56"/>
  <c r="G71" i="56"/>
  <c r="G70" i="56"/>
  <c r="G68" i="56"/>
  <c r="G66" i="56"/>
  <c r="G65" i="56"/>
  <c r="G64" i="56"/>
  <c r="G63" i="56"/>
  <c r="G62" i="56"/>
  <c r="G61" i="56"/>
  <c r="G60" i="56"/>
  <c r="G59" i="56"/>
  <c r="G58" i="56"/>
  <c r="G57" i="56"/>
  <c r="G56" i="56"/>
  <c r="G55" i="56"/>
  <c r="G54" i="56"/>
  <c r="G53" i="56"/>
  <c r="G52" i="56"/>
  <c r="G51" i="56"/>
  <c r="G50" i="56"/>
  <c r="G49" i="56"/>
  <c r="G48" i="56"/>
  <c r="G47" i="56"/>
  <c r="G46" i="56"/>
  <c r="G45" i="56"/>
  <c r="G44" i="56"/>
  <c r="G43" i="56"/>
  <c r="G36" i="56"/>
  <c r="G35" i="56"/>
  <c r="G34" i="56"/>
  <c r="G33" i="56"/>
  <c r="G32" i="56"/>
  <c r="G31" i="56"/>
  <c r="G30" i="56"/>
  <c r="G29" i="56"/>
  <c r="G28" i="56"/>
  <c r="G27" i="56"/>
  <c r="G26" i="56"/>
  <c r="G25" i="56"/>
  <c r="G24" i="56"/>
  <c r="G23" i="56"/>
  <c r="G162" i="55"/>
  <c r="G161" i="55"/>
  <c r="G160" i="55"/>
  <c r="G157" i="55"/>
  <c r="G156" i="55"/>
  <c r="G155" i="55"/>
  <c r="G154" i="55"/>
  <c r="G153" i="55"/>
  <c r="G152" i="55"/>
  <c r="G151" i="55"/>
  <c r="G150" i="55"/>
  <c r="G149" i="55"/>
  <c r="G147" i="55"/>
  <c r="G146" i="55"/>
  <c r="G145" i="55"/>
  <c r="G144" i="55"/>
  <c r="G143" i="55"/>
  <c r="G142" i="55"/>
  <c r="G141" i="55"/>
  <c r="G139" i="55"/>
  <c r="G138" i="55"/>
  <c r="G137" i="55"/>
  <c r="G136" i="55"/>
  <c r="G135" i="55"/>
  <c r="G134" i="55"/>
  <c r="G133" i="55"/>
  <c r="G131" i="55"/>
  <c r="G130" i="55"/>
  <c r="G129" i="55"/>
  <c r="G128" i="55"/>
  <c r="G127" i="55"/>
  <c r="G125" i="55"/>
  <c r="G124" i="55"/>
  <c r="G123" i="55"/>
  <c r="G122" i="55"/>
  <c r="G121" i="55"/>
  <c r="G120" i="55"/>
  <c r="G117" i="55"/>
  <c r="G116" i="55"/>
  <c r="G115" i="55"/>
  <c r="G114" i="55"/>
  <c r="G113" i="55"/>
  <c r="G112" i="55"/>
  <c r="G111" i="55"/>
  <c r="G110" i="55"/>
  <c r="G109" i="55"/>
  <c r="G108" i="55"/>
  <c r="G107" i="55"/>
  <c r="G106" i="55"/>
  <c r="G105" i="55"/>
  <c r="G104" i="55"/>
  <c r="G101" i="55"/>
  <c r="G100" i="55"/>
  <c r="G98" i="55"/>
  <c r="G97" i="55"/>
  <c r="G96" i="55"/>
  <c r="G95" i="55"/>
  <c r="G94" i="55"/>
  <c r="G90" i="55"/>
  <c r="G89" i="55"/>
  <c r="G88" i="55"/>
  <c r="G87" i="55"/>
  <c r="G86" i="55"/>
  <c r="G85" i="55"/>
  <c r="G84" i="55"/>
  <c r="G82" i="55"/>
  <c r="G81" i="55"/>
  <c r="G80" i="55"/>
  <c r="G79" i="55"/>
  <c r="G65" i="55"/>
  <c r="G64" i="55"/>
  <c r="G63" i="55"/>
  <c r="G62" i="55"/>
  <c r="G61" i="55"/>
  <c r="G60" i="55"/>
  <c r="G59" i="55"/>
  <c r="G58" i="55"/>
  <c r="G57" i="55"/>
  <c r="G56" i="55"/>
  <c r="G55" i="55"/>
  <c r="G53" i="55"/>
  <c r="G52" i="55"/>
  <c r="G51" i="55"/>
  <c r="G50" i="55"/>
  <c r="G49" i="55"/>
  <c r="G48" i="55"/>
  <c r="G47" i="55"/>
  <c r="G46" i="55"/>
  <c r="G45" i="55"/>
  <c r="G44" i="55"/>
  <c r="G43" i="55"/>
  <c r="G42" i="55"/>
  <c r="G35" i="55"/>
  <c r="G34" i="55"/>
  <c r="G33" i="55"/>
  <c r="G32" i="55"/>
  <c r="G31" i="55"/>
  <c r="G30" i="55"/>
  <c r="G29" i="55"/>
  <c r="G28" i="55"/>
  <c r="G27" i="55"/>
  <c r="G26" i="55"/>
  <c r="G25" i="55"/>
  <c r="G24" i="55"/>
  <c r="G23" i="55"/>
  <c r="G148" i="54"/>
  <c r="G147" i="54"/>
  <c r="G145" i="54"/>
  <c r="G144" i="54"/>
  <c r="G143" i="54"/>
  <c r="G140" i="54"/>
  <c r="G139" i="54"/>
  <c r="G138" i="54"/>
  <c r="G137" i="54"/>
  <c r="G136" i="54"/>
  <c r="G135" i="54"/>
  <c r="G134" i="54"/>
  <c r="G133" i="54"/>
  <c r="G132" i="54"/>
  <c r="G131" i="54"/>
  <c r="G129" i="54"/>
  <c r="G128" i="54"/>
  <c r="G125" i="54"/>
  <c r="G124" i="54"/>
  <c r="G123" i="54"/>
  <c r="G122" i="54"/>
  <c r="G121" i="54"/>
  <c r="G120" i="54"/>
  <c r="G119" i="54"/>
  <c r="G118" i="54"/>
  <c r="G117" i="54"/>
  <c r="G116" i="54"/>
  <c r="G115" i="54"/>
  <c r="G112" i="54"/>
  <c r="G111" i="54"/>
  <c r="G110" i="54"/>
  <c r="G109" i="54"/>
  <c r="G108" i="54"/>
  <c r="G107" i="54"/>
  <c r="G106" i="54"/>
  <c r="G105" i="54"/>
  <c r="G102" i="54"/>
  <c r="G101" i="54"/>
  <c r="G97" i="54"/>
  <c r="G96" i="54"/>
  <c r="G95" i="54"/>
  <c r="G94" i="54"/>
  <c r="G93" i="54"/>
  <c r="G92" i="54"/>
  <c r="G91" i="54"/>
  <c r="G89" i="54"/>
  <c r="G88" i="54"/>
  <c r="G87" i="54"/>
  <c r="G86" i="54"/>
  <c r="G85" i="54"/>
  <c r="G84" i="54"/>
  <c r="G70" i="54"/>
  <c r="G69" i="54"/>
  <c r="G68" i="54"/>
  <c r="G67" i="54"/>
  <c r="G66" i="54"/>
  <c r="G65" i="54"/>
  <c r="G64" i="54"/>
  <c r="G63" i="54"/>
  <c r="G62" i="54"/>
  <c r="G61" i="54"/>
  <c r="G59" i="54"/>
  <c r="G58" i="54"/>
  <c r="G57" i="54"/>
  <c r="G56" i="54"/>
  <c r="E55" i="54"/>
  <c r="G55" i="54" s="1"/>
  <c r="G54" i="54"/>
  <c r="G53" i="54"/>
  <c r="G52" i="54"/>
  <c r="G51" i="54"/>
  <c r="G50" i="54"/>
  <c r="G49" i="54"/>
  <c r="G48" i="54"/>
  <c r="G47" i="54"/>
  <c r="G46" i="54"/>
  <c r="G45" i="54"/>
  <c r="G44" i="54"/>
  <c r="G43" i="54"/>
  <c r="G36" i="54"/>
  <c r="G35" i="54"/>
  <c r="G34" i="54"/>
  <c r="E33" i="54"/>
  <c r="G33" i="54" s="1"/>
  <c r="G32" i="54"/>
  <c r="G31" i="54"/>
  <c r="G30" i="54"/>
  <c r="G29" i="54"/>
  <c r="G28" i="54"/>
  <c r="G27" i="54"/>
  <c r="G26" i="54"/>
  <c r="G25" i="54"/>
  <c r="E24" i="54"/>
  <c r="G24" i="54" s="1"/>
  <c r="G23" i="54"/>
  <c r="G355" i="53"/>
  <c r="G354" i="53"/>
  <c r="G352" i="53"/>
  <c r="G351" i="53"/>
  <c r="G350" i="53"/>
  <c r="G347" i="53"/>
  <c r="G346" i="53"/>
  <c r="G345" i="53"/>
  <c r="G344" i="53"/>
  <c r="G343" i="53"/>
  <c r="G342" i="53"/>
  <c r="G341" i="53"/>
  <c r="G340" i="53"/>
  <c r="G339" i="53"/>
  <c r="G338" i="53"/>
  <c r="G336" i="53"/>
  <c r="G335" i="53"/>
  <c r="G334" i="53"/>
  <c r="G333" i="53"/>
  <c r="G332" i="53"/>
  <c r="G331" i="53"/>
  <c r="G330" i="53"/>
  <c r="G328" i="53"/>
  <c r="G327" i="53"/>
  <c r="G326" i="53"/>
  <c r="G325" i="53"/>
  <c r="G324" i="53"/>
  <c r="G322" i="53"/>
  <c r="G321" i="53"/>
  <c r="G320" i="53"/>
  <c r="G319" i="53"/>
  <c r="G318" i="53"/>
  <c r="G317" i="53"/>
  <c r="G316" i="53"/>
  <c r="G314" i="53"/>
  <c r="G313" i="53"/>
  <c r="G312" i="53"/>
  <c r="G311" i="53"/>
  <c r="G310" i="53"/>
  <c r="G309" i="53"/>
  <c r="G308" i="53"/>
  <c r="G306" i="53"/>
  <c r="G305" i="53"/>
  <c r="G304" i="53"/>
  <c r="G303" i="53"/>
  <c r="G302" i="53"/>
  <c r="G301" i="53"/>
  <c r="G300" i="53"/>
  <c r="G298" i="53"/>
  <c r="G297" i="53"/>
  <c r="G296" i="53"/>
  <c r="G295" i="53"/>
  <c r="G294" i="53"/>
  <c r="G293" i="53"/>
  <c r="G292" i="53"/>
  <c r="G291" i="53"/>
  <c r="G290" i="53"/>
  <c r="G288" i="53"/>
  <c r="G287" i="53"/>
  <c r="G286" i="53"/>
  <c r="G285" i="53"/>
  <c r="G284" i="53"/>
  <c r="G283" i="53"/>
  <c r="G281" i="53"/>
  <c r="G280" i="53"/>
  <c r="G279" i="53"/>
  <c r="G278" i="53"/>
  <c r="G277" i="53"/>
  <c r="G276" i="53"/>
  <c r="G274" i="53"/>
  <c r="G273" i="53"/>
  <c r="G272" i="53"/>
  <c r="G271" i="53"/>
  <c r="G270" i="53"/>
  <c r="G269" i="53"/>
  <c r="G268" i="53"/>
  <c r="G267" i="53"/>
  <c r="G266" i="53"/>
  <c r="G264" i="53"/>
  <c r="G263" i="53"/>
  <c r="G262" i="53"/>
  <c r="G261" i="53"/>
  <c r="G260" i="53"/>
  <c r="G259" i="53"/>
  <c r="G258" i="53"/>
  <c r="G256" i="53"/>
  <c r="G255" i="53"/>
  <c r="G254" i="53"/>
  <c r="G253" i="53"/>
  <c r="G252" i="53"/>
  <c r="G250" i="53"/>
  <c r="G249" i="53"/>
  <c r="G248" i="53"/>
  <c r="G247" i="53"/>
  <c r="G246" i="53"/>
  <c r="G245" i="53"/>
  <c r="G243" i="53"/>
  <c r="G242" i="53"/>
  <c r="G241" i="53"/>
  <c r="G240" i="53"/>
  <c r="G239" i="53"/>
  <c r="G238" i="53"/>
  <c r="G237" i="53"/>
  <c r="G235" i="53"/>
  <c r="G234" i="53"/>
  <c r="G233" i="53"/>
  <c r="G232" i="53"/>
  <c r="G231" i="53"/>
  <c r="G230" i="53"/>
  <c r="G229" i="53"/>
  <c r="G228" i="53"/>
  <c r="G226" i="53"/>
  <c r="G225" i="53"/>
  <c r="G224" i="53"/>
  <c r="G223" i="53"/>
  <c r="G222" i="53"/>
  <c r="G221" i="53"/>
  <c r="G219" i="53"/>
  <c r="G218" i="53"/>
  <c r="G217" i="53"/>
  <c r="G216" i="53"/>
  <c r="G215" i="53"/>
  <c r="G214" i="53"/>
  <c r="G213" i="53"/>
  <c r="G212" i="53"/>
  <c r="G211" i="53"/>
  <c r="G209" i="53"/>
  <c r="G208" i="53"/>
  <c r="G207" i="53"/>
  <c r="G206" i="53"/>
  <c r="G205" i="53"/>
  <c r="G204" i="53"/>
  <c r="G203" i="53"/>
  <c r="G201" i="53"/>
  <c r="G200" i="53"/>
  <c r="G199" i="53"/>
  <c r="G198" i="53"/>
  <c r="G197" i="53"/>
  <c r="G196" i="53"/>
  <c r="G195" i="53"/>
  <c r="G193" i="53"/>
  <c r="G192" i="53"/>
  <c r="G191" i="53"/>
  <c r="G190" i="53"/>
  <c r="G189" i="53"/>
  <c r="G188" i="53"/>
  <c r="G187" i="53"/>
  <c r="G186" i="53"/>
  <c r="G183" i="53"/>
  <c r="G182" i="53"/>
  <c r="G181" i="53"/>
  <c r="G180" i="53"/>
  <c r="G179" i="53"/>
  <c r="G178" i="53"/>
  <c r="G177" i="53"/>
  <c r="G176" i="53"/>
  <c r="G175" i="53"/>
  <c r="G174" i="53"/>
  <c r="G171" i="53"/>
  <c r="G170" i="53"/>
  <c r="G169" i="53"/>
  <c r="G168" i="53"/>
  <c r="G167" i="53"/>
  <c r="G166" i="53"/>
  <c r="G165" i="53"/>
  <c r="G164" i="53"/>
  <c r="G163" i="53"/>
  <c r="G162" i="53"/>
  <c r="G161" i="53"/>
  <c r="G160" i="53"/>
  <c r="G159" i="53"/>
  <c r="G158" i="53"/>
  <c r="G157" i="53"/>
  <c r="G156" i="53"/>
  <c r="G155" i="53"/>
  <c r="G154" i="53"/>
  <c r="G153" i="53"/>
  <c r="G150" i="53"/>
  <c r="G149" i="53"/>
  <c r="G148" i="53"/>
  <c r="G147" i="53"/>
  <c r="G146" i="53"/>
  <c r="G145" i="53"/>
  <c r="G144" i="53"/>
  <c r="G143" i="53"/>
  <c r="G140" i="53"/>
  <c r="G139" i="53"/>
  <c r="G137" i="53"/>
  <c r="G136" i="53"/>
  <c r="G134" i="53"/>
  <c r="G133" i="53"/>
  <c r="G132" i="53"/>
  <c r="G131" i="53"/>
  <c r="G130" i="53"/>
  <c r="G128" i="53"/>
  <c r="G127" i="53"/>
  <c r="G126" i="53"/>
  <c r="G125" i="53"/>
  <c r="G124" i="53"/>
  <c r="G123" i="53"/>
  <c r="G118" i="53"/>
  <c r="G117" i="53"/>
  <c r="G116" i="53"/>
  <c r="G115" i="53"/>
  <c r="G114" i="53"/>
  <c r="G113" i="53"/>
  <c r="G111" i="53"/>
  <c r="G110" i="53"/>
  <c r="G109" i="53"/>
  <c r="G108" i="53"/>
  <c r="G107" i="53"/>
  <c r="G106" i="53"/>
  <c r="G105" i="53"/>
  <c r="G104" i="53"/>
  <c r="G103" i="53"/>
  <c r="G102" i="53"/>
  <c r="G101" i="53"/>
  <c r="G100" i="53"/>
  <c r="G86" i="53"/>
  <c r="G85" i="53"/>
  <c r="G84" i="53"/>
  <c r="G83" i="53"/>
  <c r="G82" i="53"/>
  <c r="G81" i="53"/>
  <c r="G80" i="53"/>
  <c r="G79" i="53"/>
  <c r="G78" i="53"/>
  <c r="G77" i="53"/>
  <c r="G75" i="53"/>
  <c r="G73" i="53"/>
  <c r="G72" i="53"/>
  <c r="G71" i="53"/>
  <c r="G70" i="53"/>
  <c r="G69" i="53"/>
  <c r="G68" i="53"/>
  <c r="G67" i="53"/>
  <c r="G66" i="53"/>
  <c r="G65" i="53"/>
  <c r="G64" i="53"/>
  <c r="G63" i="53"/>
  <c r="G62" i="53"/>
  <c r="G61" i="53"/>
  <c r="G60" i="53"/>
  <c r="G59" i="53"/>
  <c r="G58" i="53"/>
  <c r="G56" i="53"/>
  <c r="G55" i="53"/>
  <c r="G54" i="53"/>
  <c r="G53" i="53"/>
  <c r="E52" i="53"/>
  <c r="G52" i="53" s="1"/>
  <c r="G51" i="53"/>
  <c r="G50" i="53"/>
  <c r="G49" i="53"/>
  <c r="G48" i="53"/>
  <c r="G47" i="53"/>
  <c r="G46" i="53"/>
  <c r="G45" i="53"/>
  <c r="G44" i="53"/>
  <c r="G43" i="53"/>
  <c r="G42" i="53"/>
  <c r="G35" i="53"/>
  <c r="G34" i="53"/>
  <c r="G33" i="53"/>
  <c r="E32" i="53"/>
  <c r="G32" i="53" s="1"/>
  <c r="G31" i="53"/>
  <c r="G30" i="53"/>
  <c r="G29" i="53"/>
  <c r="G28" i="53"/>
  <c r="G27" i="53"/>
  <c r="G26" i="53"/>
  <c r="G25" i="53"/>
  <c r="G24" i="53"/>
  <c r="G23" i="53"/>
  <c r="G127" i="52"/>
  <c r="G83" i="52"/>
  <c r="G82" i="52"/>
  <c r="E80" i="52"/>
  <c r="E79" i="52"/>
  <c r="G79" i="52" s="1"/>
  <c r="E78" i="52"/>
  <c r="G78" i="52" s="1"/>
  <c r="E77" i="52"/>
  <c r="G61" i="52"/>
  <c r="G60" i="52"/>
  <c r="G59" i="52"/>
  <c r="G58" i="52"/>
  <c r="E57" i="52"/>
  <c r="G57" i="52" s="1"/>
  <c r="G54" i="52"/>
  <c r="E53" i="52"/>
  <c r="G53" i="52" s="1"/>
  <c r="G52" i="52"/>
  <c r="E51" i="52"/>
  <c r="G51" i="52" s="1"/>
  <c r="E50" i="52"/>
  <c r="G50" i="52" s="1"/>
  <c r="E49" i="52"/>
  <c r="G49" i="52" s="1"/>
  <c r="E48" i="52"/>
  <c r="G48" i="52" s="1"/>
  <c r="E47" i="52"/>
  <c r="G47" i="52" s="1"/>
  <c r="E46" i="52"/>
  <c r="G38" i="52"/>
  <c r="G37" i="52"/>
  <c r="G36" i="52"/>
  <c r="G33" i="52"/>
  <c r="G32" i="52"/>
  <c r="E31" i="52"/>
  <c r="G31" i="52" s="1"/>
  <c r="G30" i="52"/>
  <c r="G29" i="52"/>
  <c r="G28" i="52"/>
  <c r="E27" i="52"/>
  <c r="G27" i="52" s="1"/>
  <c r="G26" i="52"/>
  <c r="G197" i="51"/>
  <c r="G155" i="51"/>
  <c r="G97" i="51"/>
  <c r="G96" i="51"/>
  <c r="G88" i="51"/>
  <c r="G87" i="51"/>
  <c r="G86" i="51"/>
  <c r="E84" i="51"/>
  <c r="E33" i="51" s="1"/>
  <c r="G33" i="51" s="1"/>
  <c r="E83" i="51"/>
  <c r="G83" i="51" s="1"/>
  <c r="E82" i="51"/>
  <c r="G82" i="51" s="1"/>
  <c r="E81" i="51"/>
  <c r="G81" i="51" s="1"/>
  <c r="E80" i="51"/>
  <c r="G80" i="51" s="1"/>
  <c r="E79" i="51"/>
  <c r="G63" i="51"/>
  <c r="G62" i="51"/>
  <c r="G61" i="51"/>
  <c r="G60" i="51"/>
  <c r="G58" i="51"/>
  <c r="G56" i="51"/>
  <c r="E55" i="51"/>
  <c r="G55" i="51" s="1"/>
  <c r="G52" i="51"/>
  <c r="G51" i="51"/>
  <c r="G50" i="51"/>
  <c r="E49" i="51"/>
  <c r="G49" i="51" s="1"/>
  <c r="E48" i="51"/>
  <c r="G48" i="51" s="1"/>
  <c r="E47" i="51"/>
  <c r="G47" i="51" s="1"/>
  <c r="E46" i="51"/>
  <c r="G46" i="51" s="1"/>
  <c r="E45" i="51"/>
  <c r="G45" i="51" s="1"/>
  <c r="E44" i="51"/>
  <c r="G44" i="51" s="1"/>
  <c r="G36" i="51"/>
  <c r="G35" i="51"/>
  <c r="G34" i="51"/>
  <c r="G31" i="51"/>
  <c r="G30" i="51"/>
  <c r="E29" i="51"/>
  <c r="G29" i="51" s="1"/>
  <c r="G28" i="51"/>
  <c r="E27" i="51"/>
  <c r="G27" i="51" s="1"/>
  <c r="G26" i="51"/>
  <c r="G220" i="50"/>
  <c r="G167" i="50"/>
  <c r="G101" i="50"/>
  <c r="G100" i="50"/>
  <c r="G99" i="50"/>
  <c r="G97" i="50"/>
  <c r="G96" i="50"/>
  <c r="G88" i="50"/>
  <c r="G87" i="50"/>
  <c r="G86" i="50"/>
  <c r="E84" i="50"/>
  <c r="E83" i="50"/>
  <c r="G83" i="50" s="1"/>
  <c r="E82" i="50"/>
  <c r="G82" i="50" s="1"/>
  <c r="E81" i="50"/>
  <c r="G81" i="50" s="1"/>
  <c r="E80" i="50"/>
  <c r="G80" i="50" s="1"/>
  <c r="E79" i="50"/>
  <c r="G79" i="50" s="1"/>
  <c r="E78" i="50"/>
  <c r="G78" i="50" s="1"/>
  <c r="E77" i="50"/>
  <c r="G61" i="50"/>
  <c r="G60" i="50"/>
  <c r="G59" i="50"/>
  <c r="G58" i="50"/>
  <c r="E57" i="50"/>
  <c r="G57" i="50" s="1"/>
  <c r="G54" i="50"/>
  <c r="E53" i="50"/>
  <c r="G53" i="50" s="1"/>
  <c r="G52" i="50"/>
  <c r="E51" i="50"/>
  <c r="G51" i="50" s="1"/>
  <c r="E50" i="50"/>
  <c r="G50" i="50" s="1"/>
  <c r="E49" i="50"/>
  <c r="G49" i="50" s="1"/>
  <c r="E48" i="50"/>
  <c r="G48" i="50" s="1"/>
  <c r="E47" i="50"/>
  <c r="G47" i="50" s="1"/>
  <c r="E46" i="50"/>
  <c r="G38" i="50"/>
  <c r="G37" i="50"/>
  <c r="G36" i="50"/>
  <c r="G33" i="50"/>
  <c r="G32" i="50"/>
  <c r="E31" i="50"/>
  <c r="G31" i="50" s="1"/>
  <c r="G30" i="50"/>
  <c r="G29" i="50"/>
  <c r="G28" i="50"/>
  <c r="E27" i="50"/>
  <c r="G27" i="50" s="1"/>
  <c r="G26" i="50"/>
  <c r="G201" i="49"/>
  <c r="G156" i="49"/>
  <c r="G98" i="49"/>
  <c r="G97" i="49"/>
  <c r="G89" i="49"/>
  <c r="G88" i="49"/>
  <c r="G87" i="49"/>
  <c r="E85" i="49"/>
  <c r="G85" i="49" s="1"/>
  <c r="G84" i="49"/>
  <c r="E84" i="49"/>
  <c r="E83" i="49"/>
  <c r="G83" i="49" s="1"/>
  <c r="E82" i="49"/>
  <c r="G82" i="49" s="1"/>
  <c r="E81" i="49"/>
  <c r="G81" i="49" s="1"/>
  <c r="E80" i="49"/>
  <c r="G64" i="49"/>
  <c r="G63" i="49"/>
  <c r="G62" i="49"/>
  <c r="G61" i="49"/>
  <c r="G59" i="49"/>
  <c r="G57" i="49"/>
  <c r="E56" i="49"/>
  <c r="G56" i="49" s="1"/>
  <c r="G53" i="49"/>
  <c r="E52" i="49"/>
  <c r="G52" i="49" s="1"/>
  <c r="G51" i="49"/>
  <c r="E50" i="49"/>
  <c r="G50" i="49" s="1"/>
  <c r="E49" i="49"/>
  <c r="G49" i="49" s="1"/>
  <c r="E48" i="49"/>
  <c r="G48" i="49" s="1"/>
  <c r="E47" i="49"/>
  <c r="G47" i="49" s="1"/>
  <c r="E46" i="49"/>
  <c r="G46" i="49" s="1"/>
  <c r="E45" i="49"/>
  <c r="G45" i="49" s="1"/>
  <c r="G44" i="49"/>
  <c r="G36" i="49"/>
  <c r="G35" i="49"/>
  <c r="G34" i="49"/>
  <c r="G31" i="49"/>
  <c r="G30" i="49"/>
  <c r="E29" i="49"/>
  <c r="G29" i="49" s="1"/>
  <c r="G28" i="49"/>
  <c r="E27" i="49"/>
  <c r="G27" i="49" s="1"/>
  <c r="G26" i="49"/>
  <c r="G229" i="48"/>
  <c r="G180" i="48"/>
  <c r="G103" i="48"/>
  <c r="G102" i="48"/>
  <c r="G101" i="48"/>
  <c r="G93" i="48"/>
  <c r="G92" i="48"/>
  <c r="G91" i="48"/>
  <c r="E89" i="48"/>
  <c r="E88" i="48"/>
  <c r="G88" i="48" s="1"/>
  <c r="E87" i="48"/>
  <c r="G87" i="48" s="1"/>
  <c r="E86" i="48"/>
  <c r="G86" i="48" s="1"/>
  <c r="E85" i="48"/>
  <c r="G85" i="48" s="1"/>
  <c r="E84" i="48"/>
  <c r="G84" i="48" s="1"/>
  <c r="E83" i="48"/>
  <c r="G83" i="48" s="1"/>
  <c r="E82" i="48"/>
  <c r="G66" i="48"/>
  <c r="G65" i="48"/>
  <c r="G64" i="48"/>
  <c r="G63" i="48"/>
  <c r="G61" i="48"/>
  <c r="G59" i="48"/>
  <c r="E58" i="48"/>
  <c r="G58" i="48" s="1"/>
  <c r="G55" i="48"/>
  <c r="E54" i="48"/>
  <c r="G54" i="48" s="1"/>
  <c r="G53" i="48"/>
  <c r="E52" i="48"/>
  <c r="G52" i="48" s="1"/>
  <c r="E51" i="48"/>
  <c r="G51" i="48" s="1"/>
  <c r="E50" i="48"/>
  <c r="G50" i="48" s="1"/>
  <c r="E49" i="48"/>
  <c r="G49" i="48" s="1"/>
  <c r="E48" i="48"/>
  <c r="G48" i="48" s="1"/>
  <c r="E47" i="48"/>
  <c r="G47" i="48" s="1"/>
  <c r="G46" i="48"/>
  <c r="G38" i="48"/>
  <c r="G37" i="48"/>
  <c r="G36" i="48"/>
  <c r="E34" i="48"/>
  <c r="G34" i="48" s="1"/>
  <c r="G33" i="48"/>
  <c r="G32" i="48"/>
  <c r="E31" i="48"/>
  <c r="G31" i="48" s="1"/>
  <c r="G30" i="48"/>
  <c r="G29" i="48"/>
  <c r="G28" i="48"/>
  <c r="E27" i="48"/>
  <c r="G27" i="48" s="1"/>
  <c r="G26" i="48"/>
  <c r="G201" i="47"/>
  <c r="G152" i="47"/>
  <c r="G89" i="47"/>
  <c r="G88" i="47"/>
  <c r="G87" i="47"/>
  <c r="E85" i="47"/>
  <c r="E84" i="47"/>
  <c r="G84" i="47" s="1"/>
  <c r="E83" i="47"/>
  <c r="G83" i="47" s="1"/>
  <c r="E82" i="47"/>
  <c r="G82" i="47" s="1"/>
  <c r="E81" i="47"/>
  <c r="G81" i="47" s="1"/>
  <c r="E80" i="47"/>
  <c r="G64" i="47"/>
  <c r="G63" i="47"/>
  <c r="G62" i="47"/>
  <c r="G61" i="47"/>
  <c r="G59" i="47"/>
  <c r="G57" i="47"/>
  <c r="E56" i="47"/>
  <c r="G56" i="47" s="1"/>
  <c r="G53" i="47"/>
  <c r="E52" i="47"/>
  <c r="G52" i="47" s="1"/>
  <c r="G51" i="47"/>
  <c r="E50" i="47"/>
  <c r="G50" i="47" s="1"/>
  <c r="E49" i="47"/>
  <c r="G49" i="47" s="1"/>
  <c r="E48" i="47"/>
  <c r="G48" i="47" s="1"/>
  <c r="E47" i="47"/>
  <c r="G47" i="47" s="1"/>
  <c r="E46" i="47"/>
  <c r="G46" i="47" s="1"/>
  <c r="E45" i="47"/>
  <c r="G44" i="47"/>
  <c r="G36" i="47"/>
  <c r="G35" i="47"/>
  <c r="G34" i="47"/>
  <c r="G31" i="47"/>
  <c r="G30" i="47"/>
  <c r="E29" i="47"/>
  <c r="G29" i="47" s="1"/>
  <c r="G28" i="47"/>
  <c r="E27" i="47"/>
  <c r="G26" i="47"/>
  <c r="G231" i="46"/>
  <c r="G172" i="46"/>
  <c r="G107" i="46"/>
  <c r="G106" i="46"/>
  <c r="G105" i="46"/>
  <c r="G104" i="46"/>
  <c r="G103" i="46"/>
  <c r="G102" i="46"/>
  <c r="G94" i="46"/>
  <c r="G93" i="46"/>
  <c r="G92" i="46"/>
  <c r="E90" i="46"/>
  <c r="G90" i="46" s="1"/>
  <c r="E89" i="46"/>
  <c r="E88" i="46"/>
  <c r="G88" i="46" s="1"/>
  <c r="E87" i="46"/>
  <c r="G87" i="46" s="1"/>
  <c r="E86" i="46"/>
  <c r="G86" i="46" s="1"/>
  <c r="E85" i="46"/>
  <c r="G85" i="46" s="1"/>
  <c r="E84" i="46"/>
  <c r="G84" i="46" s="1"/>
  <c r="E83" i="46"/>
  <c r="G67" i="46"/>
  <c r="G66" i="46"/>
  <c r="G65" i="46"/>
  <c r="G64" i="46"/>
  <c r="G61" i="46"/>
  <c r="G59" i="46"/>
  <c r="E58" i="46"/>
  <c r="G58" i="46" s="1"/>
  <c r="G55" i="46"/>
  <c r="G54" i="46"/>
  <c r="G53" i="46"/>
  <c r="E52" i="46"/>
  <c r="G52" i="46" s="1"/>
  <c r="E51" i="46"/>
  <c r="G51" i="46" s="1"/>
  <c r="E50" i="46"/>
  <c r="G50" i="46" s="1"/>
  <c r="E49" i="46"/>
  <c r="G49" i="46" s="1"/>
  <c r="E48" i="46"/>
  <c r="G48" i="46" s="1"/>
  <c r="E47" i="46"/>
  <c r="G47" i="46" s="1"/>
  <c r="G46" i="46"/>
  <c r="G38" i="46"/>
  <c r="G37" i="46"/>
  <c r="G36" i="46"/>
  <c r="G33" i="46"/>
  <c r="G32" i="46"/>
  <c r="E31" i="46"/>
  <c r="G31" i="46" s="1"/>
  <c r="G30" i="46"/>
  <c r="G29" i="46"/>
  <c r="G28" i="46"/>
  <c r="E27" i="46"/>
  <c r="G27" i="46" s="1"/>
  <c r="G26" i="46"/>
  <c r="G185" i="45"/>
  <c r="G156" i="45"/>
  <c r="G98" i="45"/>
  <c r="G90" i="45"/>
  <c r="G89" i="45"/>
  <c r="G88" i="45"/>
  <c r="E86" i="45"/>
  <c r="E34" i="45" s="1"/>
  <c r="G34" i="45" s="1"/>
  <c r="E85" i="45"/>
  <c r="G85" i="45" s="1"/>
  <c r="E84" i="45"/>
  <c r="G84" i="45" s="1"/>
  <c r="E83" i="45"/>
  <c r="G83" i="45" s="1"/>
  <c r="E82" i="45"/>
  <c r="G82" i="45" s="1"/>
  <c r="E81" i="45"/>
  <c r="G65" i="45"/>
  <c r="G64" i="45"/>
  <c r="G63" i="45"/>
  <c r="G62" i="45"/>
  <c r="G61" i="45"/>
  <c r="E60" i="45"/>
  <c r="G60" i="45" s="1"/>
  <c r="G57" i="45"/>
  <c r="E56" i="45"/>
  <c r="G56" i="45" s="1"/>
  <c r="G55" i="45"/>
  <c r="G53" i="45"/>
  <c r="E52" i="45"/>
  <c r="G52" i="45" s="1"/>
  <c r="E51" i="45"/>
  <c r="G51" i="45" s="1"/>
  <c r="E50" i="45"/>
  <c r="G50" i="45" s="1"/>
  <c r="E49" i="45"/>
  <c r="G49" i="45" s="1"/>
  <c r="E48" i="45"/>
  <c r="G48" i="45" s="1"/>
  <c r="E47" i="45"/>
  <c r="G46" i="45"/>
  <c r="G38" i="45"/>
  <c r="G37" i="45"/>
  <c r="G36" i="45"/>
  <c r="G33" i="45"/>
  <c r="G32" i="45"/>
  <c r="E31" i="45"/>
  <c r="G31" i="45" s="1"/>
  <c r="G30" i="45"/>
  <c r="G29" i="45"/>
  <c r="G28" i="45"/>
  <c r="E27" i="45"/>
  <c r="G27" i="45" s="1"/>
  <c r="G26" i="45"/>
  <c r="G128" i="44"/>
  <c r="G84" i="44"/>
  <c r="G83" i="44"/>
  <c r="E81" i="44"/>
  <c r="G81" i="44" s="1"/>
  <c r="E80" i="44"/>
  <c r="E79" i="44"/>
  <c r="G79" i="44" s="1"/>
  <c r="E78" i="44"/>
  <c r="G62" i="44"/>
  <c r="G61" i="44"/>
  <c r="G60" i="44"/>
  <c r="G59" i="44"/>
  <c r="E58" i="44"/>
  <c r="G58" i="44" s="1"/>
  <c r="G55" i="44"/>
  <c r="G54" i="44"/>
  <c r="G53" i="44"/>
  <c r="G51" i="44"/>
  <c r="E50" i="44"/>
  <c r="G50" i="44" s="1"/>
  <c r="E49" i="44"/>
  <c r="G49" i="44" s="1"/>
  <c r="E48" i="44"/>
  <c r="G48" i="44" s="1"/>
  <c r="E47" i="44"/>
  <c r="G47" i="44" s="1"/>
  <c r="E46" i="44"/>
  <c r="G46" i="44" s="1"/>
  <c r="E45" i="44"/>
  <c r="G45" i="44" s="1"/>
  <c r="G44" i="44"/>
  <c r="G36" i="44"/>
  <c r="G35" i="44"/>
  <c r="G34" i="44"/>
  <c r="E33" i="44"/>
  <c r="G33" i="44" s="1"/>
  <c r="G31" i="44"/>
  <c r="G30" i="44"/>
  <c r="E29" i="44"/>
  <c r="G29" i="44" s="1"/>
  <c r="G28" i="44"/>
  <c r="E27" i="44"/>
  <c r="G27" i="44" s="1"/>
  <c r="G26" i="44"/>
  <c r="G200" i="43"/>
  <c r="G154" i="43"/>
  <c r="G96" i="43"/>
  <c r="G95" i="43"/>
  <c r="G87" i="43"/>
  <c r="G86" i="43"/>
  <c r="G85" i="43"/>
  <c r="E83" i="43"/>
  <c r="E82" i="43"/>
  <c r="G82" i="43" s="1"/>
  <c r="E81" i="43"/>
  <c r="G81" i="43" s="1"/>
  <c r="E80" i="43"/>
  <c r="G80" i="43" s="1"/>
  <c r="E79" i="43"/>
  <c r="G79" i="43" s="1"/>
  <c r="E78" i="43"/>
  <c r="G62" i="43"/>
  <c r="G61" i="43"/>
  <c r="G60" i="43"/>
  <c r="G59" i="43"/>
  <c r="E58" i="43"/>
  <c r="G58" i="43" s="1"/>
  <c r="G55" i="43"/>
  <c r="E54" i="43"/>
  <c r="G54" i="43" s="1"/>
  <c r="G53" i="43"/>
  <c r="E52" i="43"/>
  <c r="G52" i="43" s="1"/>
  <c r="E51" i="43"/>
  <c r="G51" i="43" s="1"/>
  <c r="E50" i="43"/>
  <c r="G50" i="43" s="1"/>
  <c r="E49" i="43"/>
  <c r="G49" i="43" s="1"/>
  <c r="E48" i="43"/>
  <c r="G48" i="43" s="1"/>
  <c r="E47" i="43"/>
  <c r="G47" i="43" s="1"/>
  <c r="G46" i="43"/>
  <c r="G38" i="43"/>
  <c r="G37" i="43"/>
  <c r="G36" i="43"/>
  <c r="G33" i="43"/>
  <c r="G32" i="43"/>
  <c r="E31" i="43"/>
  <c r="G31" i="43" s="1"/>
  <c r="G30" i="43"/>
  <c r="G29" i="43"/>
  <c r="G28" i="43"/>
  <c r="E27" i="43"/>
  <c r="G27" i="43" s="1"/>
  <c r="G26" i="43"/>
  <c r="G202" i="42"/>
  <c r="G154" i="42"/>
  <c r="G96" i="42"/>
  <c r="G88" i="42"/>
  <c r="G87" i="42"/>
  <c r="G86" i="42"/>
  <c r="E84" i="42"/>
  <c r="G84" i="42" s="1"/>
  <c r="E83" i="42"/>
  <c r="E82" i="42"/>
  <c r="G82" i="42" s="1"/>
  <c r="E81" i="42"/>
  <c r="G81" i="42" s="1"/>
  <c r="E80" i="42"/>
  <c r="G80" i="42" s="1"/>
  <c r="E79" i="42"/>
  <c r="G63" i="42"/>
  <c r="G62" i="42"/>
  <c r="G61" i="42"/>
  <c r="G60" i="42"/>
  <c r="E59" i="42"/>
  <c r="G59" i="42" s="1"/>
  <c r="G56" i="42"/>
  <c r="G55" i="42"/>
  <c r="G54" i="42"/>
  <c r="E53" i="42"/>
  <c r="G53" i="42" s="1"/>
  <c r="E52" i="42"/>
  <c r="G52" i="42" s="1"/>
  <c r="G51" i="42"/>
  <c r="E50" i="42"/>
  <c r="G50" i="42" s="1"/>
  <c r="E49" i="42"/>
  <c r="G49" i="42" s="1"/>
  <c r="E48" i="42"/>
  <c r="G48" i="42" s="1"/>
  <c r="E47" i="42"/>
  <c r="G47" i="42" s="1"/>
  <c r="E46" i="42"/>
  <c r="G46" i="42" s="1"/>
  <c r="E45" i="42"/>
  <c r="G44" i="42"/>
  <c r="G36" i="42"/>
  <c r="G35" i="42"/>
  <c r="G34" i="42"/>
  <c r="G31" i="42"/>
  <c r="G30" i="42"/>
  <c r="E29" i="42"/>
  <c r="G29" i="42" s="1"/>
  <c r="G28" i="42"/>
  <c r="E27" i="42"/>
  <c r="G27" i="42" s="1"/>
  <c r="G26" i="42"/>
  <c r="G176" i="41"/>
  <c r="G152" i="41"/>
  <c r="G94" i="41"/>
  <c r="G92" i="41"/>
  <c r="G84" i="41"/>
  <c r="G83" i="41"/>
  <c r="G82" i="41"/>
  <c r="E80" i="41"/>
  <c r="E79" i="41"/>
  <c r="G79" i="41" s="1"/>
  <c r="E78" i="41"/>
  <c r="G78" i="41" s="1"/>
  <c r="G77" i="41"/>
  <c r="E77" i="41"/>
  <c r="E76" i="41"/>
  <c r="G76" i="41" s="1"/>
  <c r="E75" i="41"/>
  <c r="G59" i="41"/>
  <c r="G58" i="41"/>
  <c r="G57" i="41"/>
  <c r="G56" i="41"/>
  <c r="E55" i="41"/>
  <c r="G55" i="41" s="1"/>
  <c r="G52" i="41"/>
  <c r="E51" i="41"/>
  <c r="G51" i="41" s="1"/>
  <c r="G50" i="41"/>
  <c r="G49" i="41"/>
  <c r="E49" i="41"/>
  <c r="E48" i="41"/>
  <c r="G48" i="41" s="1"/>
  <c r="E47" i="41"/>
  <c r="G47" i="41" s="1"/>
  <c r="E46" i="41"/>
  <c r="G46" i="41" s="1"/>
  <c r="E45" i="41"/>
  <c r="G45" i="41" s="1"/>
  <c r="E44" i="41"/>
  <c r="G44" i="41" s="1"/>
  <c r="G36" i="41"/>
  <c r="G35" i="41"/>
  <c r="G34" i="41"/>
  <c r="G31" i="41"/>
  <c r="G30" i="41"/>
  <c r="E29" i="41"/>
  <c r="G29" i="41" s="1"/>
  <c r="G28" i="41"/>
  <c r="G27" i="41"/>
  <c r="G26" i="41"/>
  <c r="E25" i="41"/>
  <c r="G25" i="41" s="1"/>
  <c r="G24" i="41"/>
  <c r="G200" i="40"/>
  <c r="G160" i="40"/>
  <c r="G102" i="40"/>
  <c r="G100" i="40"/>
  <c r="G92" i="40"/>
  <c r="G91" i="40"/>
  <c r="G90" i="40"/>
  <c r="E88" i="40"/>
  <c r="G88" i="40" s="1"/>
  <c r="E87" i="40"/>
  <c r="G87" i="40" s="1"/>
  <c r="E86" i="40"/>
  <c r="G86" i="40" s="1"/>
  <c r="E85" i="40"/>
  <c r="G85" i="40" s="1"/>
  <c r="E84" i="40"/>
  <c r="G84" i="40" s="1"/>
  <c r="E83" i="40"/>
  <c r="G83" i="40" s="1"/>
  <c r="G67" i="40"/>
  <c r="G66" i="40"/>
  <c r="G65" i="40"/>
  <c r="G64" i="40"/>
  <c r="G63" i="40"/>
  <c r="G60" i="40"/>
  <c r="E59" i="40"/>
  <c r="G59" i="40" s="1"/>
  <c r="G56" i="40"/>
  <c r="G55" i="40"/>
  <c r="E54" i="40"/>
  <c r="G54" i="40" s="1"/>
  <c r="G53" i="40"/>
  <c r="E52" i="40"/>
  <c r="G52" i="40" s="1"/>
  <c r="E51" i="40"/>
  <c r="G51" i="40" s="1"/>
  <c r="E50" i="40"/>
  <c r="G50" i="40" s="1"/>
  <c r="E49" i="40"/>
  <c r="G49" i="40" s="1"/>
  <c r="E48" i="40"/>
  <c r="G48" i="40" s="1"/>
  <c r="E47" i="40"/>
  <c r="G46" i="40"/>
  <c r="G38" i="40"/>
  <c r="G37" i="40"/>
  <c r="G36" i="40"/>
  <c r="E35" i="40"/>
  <c r="G35" i="40" s="1"/>
  <c r="E34" i="40"/>
  <c r="G34" i="40" s="1"/>
  <c r="G33" i="40"/>
  <c r="G32" i="40"/>
  <c r="E31" i="40"/>
  <c r="G31" i="40" s="1"/>
  <c r="G30" i="40"/>
  <c r="G29" i="40"/>
  <c r="G28" i="40"/>
  <c r="E27" i="40"/>
  <c r="G27" i="40" s="1"/>
  <c r="G26" i="40"/>
  <c r="G161" i="39"/>
  <c r="G137" i="39"/>
  <c r="G85" i="39"/>
  <c r="G84" i="39"/>
  <c r="G83" i="39"/>
  <c r="E81" i="39"/>
  <c r="E80" i="39"/>
  <c r="G80" i="39" s="1"/>
  <c r="E79" i="39"/>
  <c r="G79" i="39" s="1"/>
  <c r="E78" i="39"/>
  <c r="G78" i="39" s="1"/>
  <c r="E77" i="39"/>
  <c r="G77" i="39" s="1"/>
  <c r="E76" i="39"/>
  <c r="G60" i="39"/>
  <c r="G59" i="39"/>
  <c r="G58" i="39"/>
  <c r="G57" i="39"/>
  <c r="E56" i="39"/>
  <c r="G56" i="39" s="1"/>
  <c r="G53" i="39"/>
  <c r="E52" i="39"/>
  <c r="G52" i="39" s="1"/>
  <c r="G51" i="39"/>
  <c r="E50" i="39"/>
  <c r="G50" i="39" s="1"/>
  <c r="E49" i="39"/>
  <c r="G49" i="39" s="1"/>
  <c r="E48" i="39"/>
  <c r="G48" i="39" s="1"/>
  <c r="G47" i="39"/>
  <c r="E47" i="39"/>
  <c r="E46" i="39"/>
  <c r="G46" i="39" s="1"/>
  <c r="E45" i="39"/>
  <c r="G45" i="39" s="1"/>
  <c r="G44" i="39"/>
  <c r="G36" i="39"/>
  <c r="G35" i="39"/>
  <c r="G34" i="39"/>
  <c r="G31" i="39"/>
  <c r="G30" i="39"/>
  <c r="E29" i="39"/>
  <c r="G29" i="39" s="1"/>
  <c r="G28" i="39"/>
  <c r="G27" i="39"/>
  <c r="G26" i="39"/>
  <c r="E25" i="39"/>
  <c r="G25" i="39" s="1"/>
  <c r="G24" i="39"/>
  <c r="G133" i="38"/>
  <c r="G83" i="38"/>
  <c r="G82" i="38"/>
  <c r="E80" i="38"/>
  <c r="G80" i="38" s="1"/>
  <c r="E79" i="38"/>
  <c r="G79" i="38" s="1"/>
  <c r="E78" i="38"/>
  <c r="G78" i="38" s="1"/>
  <c r="E77" i="38"/>
  <c r="G61" i="38"/>
  <c r="G60" i="38"/>
  <c r="G59" i="38"/>
  <c r="G58" i="38"/>
  <c r="G57" i="38"/>
  <c r="E56" i="38"/>
  <c r="G56" i="38" s="1"/>
  <c r="G53" i="38"/>
  <c r="G52" i="38"/>
  <c r="E51" i="38"/>
  <c r="G51" i="38" s="1"/>
  <c r="G50" i="38"/>
  <c r="E49" i="38"/>
  <c r="G49" i="38" s="1"/>
  <c r="E48" i="38"/>
  <c r="G48" i="38" s="1"/>
  <c r="E47" i="38"/>
  <c r="G47" i="38" s="1"/>
  <c r="E46" i="38"/>
  <c r="G46" i="38" s="1"/>
  <c r="E45" i="38"/>
  <c r="G45" i="38" s="1"/>
  <c r="E44" i="38"/>
  <c r="G36" i="38"/>
  <c r="G35" i="38"/>
  <c r="G34" i="38"/>
  <c r="G31" i="38"/>
  <c r="G30" i="38"/>
  <c r="E29" i="38"/>
  <c r="G29" i="38" s="1"/>
  <c r="G28" i="38"/>
  <c r="E27" i="38"/>
  <c r="G27" i="38" s="1"/>
  <c r="G26" i="38"/>
  <c r="G204" i="37"/>
  <c r="G155" i="37"/>
  <c r="G97" i="37"/>
  <c r="G95" i="37"/>
  <c r="G94" i="37"/>
  <c r="G86" i="37"/>
  <c r="G85" i="37"/>
  <c r="G84" i="37"/>
  <c r="E82" i="37"/>
  <c r="G82" i="37" s="1"/>
  <c r="E81" i="37"/>
  <c r="E80" i="37"/>
  <c r="G80" i="37" s="1"/>
  <c r="E79" i="37"/>
  <c r="G79" i="37" s="1"/>
  <c r="E78" i="37"/>
  <c r="G78" i="37" s="1"/>
  <c r="E77" i="37"/>
  <c r="G61" i="37"/>
  <c r="G60" i="37"/>
  <c r="G59" i="37"/>
  <c r="G58" i="37"/>
  <c r="G57" i="37"/>
  <c r="E56" i="37"/>
  <c r="G56" i="37" s="1"/>
  <c r="G53" i="37"/>
  <c r="G52" i="37"/>
  <c r="E51" i="37"/>
  <c r="G51" i="37" s="1"/>
  <c r="G50" i="37"/>
  <c r="E49" i="37"/>
  <c r="G49" i="37" s="1"/>
  <c r="E48" i="37"/>
  <c r="G48" i="37" s="1"/>
  <c r="E47" i="37"/>
  <c r="G47" i="37" s="1"/>
  <c r="E46" i="37"/>
  <c r="G46" i="37" s="1"/>
  <c r="E45" i="37"/>
  <c r="G45" i="37" s="1"/>
  <c r="E44" i="37"/>
  <c r="G36" i="37"/>
  <c r="G35" i="37"/>
  <c r="G34" i="37"/>
  <c r="G31" i="37"/>
  <c r="G30" i="37"/>
  <c r="E29" i="37"/>
  <c r="G29" i="37" s="1"/>
  <c r="G28" i="37"/>
  <c r="E27" i="37"/>
  <c r="G27" i="37" s="1"/>
  <c r="G26" i="37"/>
  <c r="G206" i="36"/>
  <c r="G157" i="36"/>
  <c r="G99" i="36"/>
  <c r="G97" i="36"/>
  <c r="G89" i="36"/>
  <c r="G88" i="36"/>
  <c r="G87" i="36"/>
  <c r="E85" i="36"/>
  <c r="G85" i="36" s="1"/>
  <c r="E84" i="36"/>
  <c r="G84" i="36" s="1"/>
  <c r="E83" i="36"/>
  <c r="G83" i="36" s="1"/>
  <c r="E82" i="36"/>
  <c r="G82" i="36" s="1"/>
  <c r="E81" i="36"/>
  <c r="G81" i="36" s="1"/>
  <c r="E80" i="36"/>
  <c r="G64" i="36"/>
  <c r="G63" i="36"/>
  <c r="G62" i="36"/>
  <c r="G61" i="36"/>
  <c r="E60" i="36"/>
  <c r="G60" i="36" s="1"/>
  <c r="G57" i="36"/>
  <c r="G56" i="36"/>
  <c r="E55" i="36"/>
  <c r="G55" i="36" s="1"/>
  <c r="G54" i="36"/>
  <c r="G53" i="36"/>
  <c r="G51" i="36"/>
  <c r="E50" i="36"/>
  <c r="G50" i="36" s="1"/>
  <c r="E49" i="36"/>
  <c r="G49" i="36" s="1"/>
  <c r="E48" i="36"/>
  <c r="G48" i="36" s="1"/>
  <c r="E47" i="36"/>
  <c r="G47" i="36" s="1"/>
  <c r="E46" i="36"/>
  <c r="G46" i="36" s="1"/>
  <c r="E45" i="36"/>
  <c r="G44" i="36"/>
  <c r="G36" i="36"/>
  <c r="G35" i="36"/>
  <c r="G34" i="36"/>
  <c r="G31" i="36"/>
  <c r="G30" i="36"/>
  <c r="E29" i="36"/>
  <c r="G29" i="36" s="1"/>
  <c r="G28" i="36"/>
  <c r="E27" i="36"/>
  <c r="G27" i="36" s="1"/>
  <c r="G26" i="36"/>
  <c r="G185" i="35"/>
  <c r="G156" i="35"/>
  <c r="G98" i="35"/>
  <c r="G90" i="35"/>
  <c r="G89" i="35"/>
  <c r="G88" i="35"/>
  <c r="E86" i="35"/>
  <c r="G86" i="35" s="1"/>
  <c r="E85" i="35"/>
  <c r="E84" i="35"/>
  <c r="G84" i="35" s="1"/>
  <c r="E83" i="35"/>
  <c r="G83" i="35" s="1"/>
  <c r="E82" i="35"/>
  <c r="G82" i="35" s="1"/>
  <c r="E81" i="35"/>
  <c r="G65" i="35"/>
  <c r="G64" i="35"/>
  <c r="G63" i="35"/>
  <c r="G62" i="35"/>
  <c r="G61" i="35"/>
  <c r="E60" i="35"/>
  <c r="G60" i="35" s="1"/>
  <c r="G57" i="35"/>
  <c r="E56" i="35"/>
  <c r="G56" i="35" s="1"/>
  <c r="G55" i="35"/>
  <c r="G53" i="35"/>
  <c r="E52" i="35"/>
  <c r="G52" i="35" s="1"/>
  <c r="E51" i="35"/>
  <c r="G51" i="35" s="1"/>
  <c r="E50" i="35"/>
  <c r="G50" i="35" s="1"/>
  <c r="E49" i="35"/>
  <c r="G49" i="35" s="1"/>
  <c r="E48" i="35"/>
  <c r="G48" i="35" s="1"/>
  <c r="E47" i="35"/>
  <c r="G47" i="35" s="1"/>
  <c r="G46" i="35"/>
  <c r="G38" i="35"/>
  <c r="G37" i="35"/>
  <c r="G36" i="35"/>
  <c r="G33" i="35"/>
  <c r="G32" i="35"/>
  <c r="E31" i="35"/>
  <c r="G31" i="35" s="1"/>
  <c r="G30" i="35"/>
  <c r="G29" i="35"/>
  <c r="G28" i="35"/>
  <c r="E27" i="35"/>
  <c r="G27" i="35" s="1"/>
  <c r="G26" i="35"/>
  <c r="G167" i="34"/>
  <c r="G144" i="34"/>
  <c r="G95" i="34"/>
  <c r="G93" i="34"/>
  <c r="G85" i="34"/>
  <c r="G84" i="34"/>
  <c r="G83" i="34"/>
  <c r="E81" i="34"/>
  <c r="G81" i="34" s="1"/>
  <c r="E80" i="34"/>
  <c r="G80" i="34" s="1"/>
  <c r="E79" i="34"/>
  <c r="G79" i="34" s="1"/>
  <c r="E78" i="34"/>
  <c r="G78" i="34" s="1"/>
  <c r="E77" i="34"/>
  <c r="G77" i="34" s="1"/>
  <c r="E76" i="34"/>
  <c r="G60" i="34"/>
  <c r="G59" i="34"/>
  <c r="G58" i="34"/>
  <c r="G57" i="34"/>
  <c r="E56" i="34"/>
  <c r="G56" i="34" s="1"/>
  <c r="G53" i="34"/>
  <c r="E52" i="34"/>
  <c r="G52" i="34" s="1"/>
  <c r="G51" i="34"/>
  <c r="E50" i="34"/>
  <c r="G50" i="34" s="1"/>
  <c r="E49" i="34"/>
  <c r="G49" i="34" s="1"/>
  <c r="E48" i="34"/>
  <c r="G48" i="34" s="1"/>
  <c r="E47" i="34"/>
  <c r="G47" i="34" s="1"/>
  <c r="E46" i="34"/>
  <c r="G46" i="34" s="1"/>
  <c r="E45" i="34"/>
  <c r="G45" i="34" s="1"/>
  <c r="G44" i="34"/>
  <c r="G36" i="34"/>
  <c r="G35" i="34"/>
  <c r="G34" i="34"/>
  <c r="G31" i="34"/>
  <c r="G30" i="34"/>
  <c r="E29" i="34"/>
  <c r="G29" i="34" s="1"/>
  <c r="G28" i="34"/>
  <c r="G27" i="34"/>
  <c r="G26" i="34"/>
  <c r="E25" i="34"/>
  <c r="G25" i="34" s="1"/>
  <c r="G24" i="34"/>
  <c r="G163" i="33"/>
  <c r="G138" i="33"/>
  <c r="G91" i="33"/>
  <c r="G90" i="33"/>
  <c r="G82" i="33"/>
  <c r="G81" i="33"/>
  <c r="E79" i="33"/>
  <c r="G79" i="33" s="1"/>
  <c r="E78" i="33"/>
  <c r="G78" i="33" s="1"/>
  <c r="E77" i="33"/>
  <c r="G77" i="33" s="1"/>
  <c r="E76" i="33"/>
  <c r="G60" i="33"/>
  <c r="G59" i="33"/>
  <c r="G58" i="33"/>
  <c r="G57" i="33"/>
  <c r="E56" i="33"/>
  <c r="G56" i="33" s="1"/>
  <c r="G53" i="33"/>
  <c r="E52" i="33"/>
  <c r="G52" i="33" s="1"/>
  <c r="G51" i="33"/>
  <c r="E50" i="33"/>
  <c r="G50" i="33" s="1"/>
  <c r="E49" i="33"/>
  <c r="G49" i="33" s="1"/>
  <c r="E48" i="33"/>
  <c r="G48" i="33" s="1"/>
  <c r="E47" i="33"/>
  <c r="G47" i="33" s="1"/>
  <c r="E46" i="33"/>
  <c r="G46" i="33" s="1"/>
  <c r="E45" i="33"/>
  <c r="G45" i="33" s="1"/>
  <c r="G44" i="33"/>
  <c r="G36" i="33"/>
  <c r="G35" i="33"/>
  <c r="G34" i="33"/>
  <c r="E32" i="33"/>
  <c r="G32" i="33" s="1"/>
  <c r="G31" i="33"/>
  <c r="G30" i="33"/>
  <c r="E29" i="33"/>
  <c r="G29" i="33" s="1"/>
  <c r="G28" i="33"/>
  <c r="G27" i="33"/>
  <c r="G26" i="33"/>
  <c r="E25" i="33"/>
  <c r="G25" i="33" s="1"/>
  <c r="G24" i="33"/>
  <c r="G160" i="32"/>
  <c r="G145" i="32"/>
  <c r="G82" i="32"/>
  <c r="G81" i="32"/>
  <c r="G79" i="32"/>
  <c r="E79" i="32"/>
  <c r="E78" i="32"/>
  <c r="E33" i="32" s="1"/>
  <c r="E77" i="32"/>
  <c r="G77" i="32" s="1"/>
  <c r="E76" i="32"/>
  <c r="G60" i="32"/>
  <c r="G59" i="32"/>
  <c r="G58" i="32"/>
  <c r="G57" i="32"/>
  <c r="E56" i="32"/>
  <c r="G56" i="32" s="1"/>
  <c r="G53" i="32"/>
  <c r="E52" i="32"/>
  <c r="G52" i="32" s="1"/>
  <c r="G51" i="32"/>
  <c r="E50" i="32"/>
  <c r="G50" i="32" s="1"/>
  <c r="E49" i="32"/>
  <c r="G49" i="32" s="1"/>
  <c r="E48" i="32"/>
  <c r="G48" i="32" s="1"/>
  <c r="E47" i="32"/>
  <c r="G47" i="32" s="1"/>
  <c r="E46" i="32"/>
  <c r="G46" i="32" s="1"/>
  <c r="E45" i="32"/>
  <c r="G45" i="32" s="1"/>
  <c r="G44" i="32"/>
  <c r="G36" i="32"/>
  <c r="G35" i="32"/>
  <c r="G34" i="32"/>
  <c r="G33" i="32"/>
  <c r="G31" i="32"/>
  <c r="G30" i="32"/>
  <c r="E29" i="32"/>
  <c r="G29" i="32" s="1"/>
  <c r="G28" i="32"/>
  <c r="G27" i="32"/>
  <c r="G26" i="32"/>
  <c r="E25" i="32"/>
  <c r="G25" i="32" s="1"/>
  <c r="G24" i="32"/>
  <c r="G216" i="31"/>
  <c r="G167" i="31"/>
  <c r="G102" i="31"/>
  <c r="G101" i="31"/>
  <c r="G100" i="31"/>
  <c r="G99" i="31"/>
  <c r="G98" i="31"/>
  <c r="G90" i="31"/>
  <c r="G89" i="31"/>
  <c r="G88" i="31"/>
  <c r="E86" i="31"/>
  <c r="G86" i="31" s="1"/>
  <c r="E85" i="31"/>
  <c r="G85" i="31" s="1"/>
  <c r="E84" i="31"/>
  <c r="G84" i="31" s="1"/>
  <c r="E83" i="31"/>
  <c r="G83" i="31" s="1"/>
  <c r="E82" i="31"/>
  <c r="G82" i="31" s="1"/>
  <c r="E81" i="31"/>
  <c r="G81" i="31" s="1"/>
  <c r="E80" i="31"/>
  <c r="G80" i="31" s="1"/>
  <c r="E79" i="31"/>
  <c r="E63" i="31"/>
  <c r="G63" i="31" s="1"/>
  <c r="G62" i="31"/>
  <c r="G61" i="31"/>
  <c r="G60" i="31"/>
  <c r="G59" i="31"/>
  <c r="E58" i="31"/>
  <c r="G58" i="31" s="1"/>
  <c r="G55" i="31"/>
  <c r="E54" i="31"/>
  <c r="G54" i="31" s="1"/>
  <c r="G53" i="31"/>
  <c r="E52" i="31"/>
  <c r="G52" i="31" s="1"/>
  <c r="E51" i="31"/>
  <c r="G51" i="31" s="1"/>
  <c r="E50" i="31"/>
  <c r="G50" i="31" s="1"/>
  <c r="E49" i="31"/>
  <c r="G49" i="31" s="1"/>
  <c r="E48" i="31"/>
  <c r="G48" i="31" s="1"/>
  <c r="E47" i="31"/>
  <c r="G47" i="31" s="1"/>
  <c r="G46" i="31"/>
  <c r="G38" i="31"/>
  <c r="G37" i="31"/>
  <c r="G36" i="31"/>
  <c r="G32" i="31"/>
  <c r="E31" i="31"/>
  <c r="G31" i="31" s="1"/>
  <c r="G30" i="31"/>
  <c r="G29" i="31"/>
  <c r="G28" i="31"/>
  <c r="E27" i="31"/>
  <c r="G27" i="31" s="1"/>
  <c r="G26" i="31"/>
  <c r="G63" i="30"/>
  <c r="G62" i="30"/>
  <c r="G61" i="30"/>
  <c r="G60" i="30"/>
  <c r="G59" i="30"/>
  <c r="E57" i="30"/>
  <c r="G57" i="30" s="1"/>
  <c r="G54" i="30"/>
  <c r="E53" i="30"/>
  <c r="G53" i="30" s="1"/>
  <c r="G52" i="30"/>
  <c r="E51" i="30"/>
  <c r="G51" i="30" s="1"/>
  <c r="E50" i="30"/>
  <c r="G50" i="30" s="1"/>
  <c r="E49" i="30"/>
  <c r="G49" i="30" s="1"/>
  <c r="E48" i="30"/>
  <c r="G48" i="30" s="1"/>
  <c r="E47" i="30"/>
  <c r="G47" i="30" s="1"/>
  <c r="E46" i="30"/>
  <c r="G46" i="30" s="1"/>
  <c r="E45" i="30"/>
  <c r="G45" i="30" s="1"/>
  <c r="G37" i="30"/>
  <c r="G36" i="30"/>
  <c r="G35" i="30"/>
  <c r="E34" i="30"/>
  <c r="G34" i="30" s="1"/>
  <c r="E33" i="30"/>
  <c r="G33" i="30" s="1"/>
  <c r="G32" i="30"/>
  <c r="G31" i="30"/>
  <c r="E30" i="30"/>
  <c r="G30" i="30" s="1"/>
  <c r="G29" i="30"/>
  <c r="G28" i="30"/>
  <c r="G27" i="30"/>
  <c r="E26" i="30"/>
  <c r="G26" i="30" s="1"/>
  <c r="G25" i="30"/>
  <c r="G182" i="29"/>
  <c r="G152" i="29"/>
  <c r="G89" i="29"/>
  <c r="G88" i="29"/>
  <c r="G87" i="29"/>
  <c r="E85" i="29"/>
  <c r="G85" i="29" s="1"/>
  <c r="E84" i="29"/>
  <c r="G84" i="29" s="1"/>
  <c r="E83" i="29"/>
  <c r="G83" i="29" s="1"/>
  <c r="E82" i="29"/>
  <c r="G82" i="29" s="1"/>
  <c r="E81" i="29"/>
  <c r="G81" i="29" s="1"/>
  <c r="E80" i="29"/>
  <c r="G64" i="29"/>
  <c r="G63" i="29"/>
  <c r="G62" i="29"/>
  <c r="G61" i="29"/>
  <c r="E60" i="29"/>
  <c r="G60" i="29" s="1"/>
  <c r="G57" i="29"/>
  <c r="G56" i="29"/>
  <c r="G55" i="29"/>
  <c r="E54" i="29"/>
  <c r="G54" i="29" s="1"/>
  <c r="G53" i="29"/>
  <c r="E52" i="29"/>
  <c r="G52" i="29" s="1"/>
  <c r="G51" i="29"/>
  <c r="E51" i="29"/>
  <c r="E50" i="29"/>
  <c r="G50" i="29" s="1"/>
  <c r="E49" i="29"/>
  <c r="G49" i="29" s="1"/>
  <c r="E48" i="29"/>
  <c r="G48" i="29" s="1"/>
  <c r="E47" i="29"/>
  <c r="G46" i="29"/>
  <c r="G38" i="29"/>
  <c r="G37" i="29"/>
  <c r="G36" i="29"/>
  <c r="G33" i="29"/>
  <c r="G32" i="29"/>
  <c r="E31" i="29"/>
  <c r="G31" i="29" s="1"/>
  <c r="G30" i="29"/>
  <c r="G29" i="29"/>
  <c r="G28" i="29"/>
  <c r="E27" i="29"/>
  <c r="G27" i="29" s="1"/>
  <c r="G26" i="29"/>
  <c r="G121" i="28"/>
  <c r="E85" i="28"/>
  <c r="G85" i="28" s="1"/>
  <c r="E84" i="28"/>
  <c r="G84" i="28" s="1"/>
  <c r="E82" i="28"/>
  <c r="G82" i="28" s="1"/>
  <c r="G81" i="28"/>
  <c r="G80" i="28"/>
  <c r="E78" i="28"/>
  <c r="E32" i="28" s="1"/>
  <c r="G32" i="28" s="1"/>
  <c r="E77" i="28"/>
  <c r="G77" i="28" s="1"/>
  <c r="E76" i="28"/>
  <c r="G76" i="28" s="1"/>
  <c r="E75" i="28"/>
  <c r="G75" i="28" s="1"/>
  <c r="G60" i="28"/>
  <c r="G59" i="28"/>
  <c r="G58" i="28"/>
  <c r="G57" i="28"/>
  <c r="E56" i="28"/>
  <c r="G56" i="28" s="1"/>
  <c r="G53" i="28"/>
  <c r="E52" i="28"/>
  <c r="G52" i="28" s="1"/>
  <c r="G51" i="28"/>
  <c r="E50" i="28"/>
  <c r="G50" i="28" s="1"/>
  <c r="E49" i="28"/>
  <c r="G49" i="28" s="1"/>
  <c r="E48" i="28"/>
  <c r="G48" i="28" s="1"/>
  <c r="E47" i="28"/>
  <c r="G47" i="28" s="1"/>
  <c r="E46" i="28"/>
  <c r="G46" i="28" s="1"/>
  <c r="E45" i="28"/>
  <c r="G45" i="28" s="1"/>
  <c r="G44" i="28"/>
  <c r="G36" i="28"/>
  <c r="G35" i="28"/>
  <c r="G34" i="28"/>
  <c r="G31" i="28"/>
  <c r="G30" i="28"/>
  <c r="E29" i="28"/>
  <c r="G29" i="28" s="1"/>
  <c r="G28" i="28"/>
  <c r="G27" i="28"/>
  <c r="G26" i="28"/>
  <c r="E25" i="28"/>
  <c r="E83" i="28" s="1"/>
  <c r="G83" i="28" s="1"/>
  <c r="G24" i="28"/>
  <c r="G193" i="27"/>
  <c r="G159" i="27"/>
  <c r="G101" i="27"/>
  <c r="G100" i="27"/>
  <c r="G98" i="27"/>
  <c r="G97" i="27"/>
  <c r="G89" i="27"/>
  <c r="G88" i="27"/>
  <c r="G87" i="27"/>
  <c r="E85" i="27"/>
  <c r="G85" i="27" s="1"/>
  <c r="E84" i="27"/>
  <c r="G84" i="27" s="1"/>
  <c r="E83" i="27"/>
  <c r="G83" i="27" s="1"/>
  <c r="E82" i="27"/>
  <c r="G82" i="27" s="1"/>
  <c r="E81" i="27"/>
  <c r="G81" i="27" s="1"/>
  <c r="E80" i="27"/>
  <c r="E64" i="27"/>
  <c r="G64" i="27" s="1"/>
  <c r="G63" i="27"/>
  <c r="G62" i="27"/>
  <c r="G61" i="27"/>
  <c r="G60" i="27"/>
  <c r="G59" i="27"/>
  <c r="E58" i="27"/>
  <c r="G58" i="27" s="1"/>
  <c r="G55" i="27"/>
  <c r="E54" i="27"/>
  <c r="G54" i="27" s="1"/>
  <c r="G53" i="27"/>
  <c r="E52" i="27"/>
  <c r="G52" i="27" s="1"/>
  <c r="E51" i="27"/>
  <c r="G51" i="27" s="1"/>
  <c r="E50" i="27"/>
  <c r="G50" i="27" s="1"/>
  <c r="E49" i="27"/>
  <c r="G49" i="27" s="1"/>
  <c r="E48" i="27"/>
  <c r="G48" i="27" s="1"/>
  <c r="E47" i="27"/>
  <c r="G47" i="27" s="1"/>
  <c r="G46" i="27"/>
  <c r="G38" i="27"/>
  <c r="G37" i="27"/>
  <c r="G36" i="27"/>
  <c r="E35" i="27"/>
  <c r="G35" i="27" s="1"/>
  <c r="G33" i="27"/>
  <c r="G32" i="27"/>
  <c r="E31" i="27"/>
  <c r="G31" i="27" s="1"/>
  <c r="G30" i="27"/>
  <c r="G29" i="27"/>
  <c r="G28" i="27"/>
  <c r="E27" i="27"/>
  <c r="G27" i="27" s="1"/>
  <c r="G26" i="27"/>
  <c r="G259" i="26"/>
  <c r="G204" i="26"/>
  <c r="G111" i="26"/>
  <c r="G110" i="26"/>
  <c r="G108" i="26"/>
  <c r="G107" i="26"/>
  <c r="G105" i="26"/>
  <c r="G104" i="26"/>
  <c r="G103" i="26"/>
  <c r="G102" i="26"/>
  <c r="G101" i="26"/>
  <c r="E97" i="26"/>
  <c r="G97" i="26" s="1"/>
  <c r="E96" i="26"/>
  <c r="G96" i="26" s="1"/>
  <c r="E95" i="26"/>
  <c r="G95" i="26" s="1"/>
  <c r="E94" i="26"/>
  <c r="G94" i="26" s="1"/>
  <c r="G93" i="26"/>
  <c r="G92" i="26"/>
  <c r="G91" i="26"/>
  <c r="E89" i="26"/>
  <c r="G89" i="26" s="1"/>
  <c r="E88" i="26"/>
  <c r="G88" i="26" s="1"/>
  <c r="E87" i="26"/>
  <c r="G87" i="26" s="1"/>
  <c r="E86" i="26"/>
  <c r="G86" i="26" s="1"/>
  <c r="E85" i="26"/>
  <c r="G85" i="26" s="1"/>
  <c r="E84" i="26"/>
  <c r="G84" i="26" s="1"/>
  <c r="E83" i="26"/>
  <c r="G83" i="26" s="1"/>
  <c r="E82" i="26"/>
  <c r="G82" i="26" s="1"/>
  <c r="E66" i="26"/>
  <c r="G66" i="26" s="1"/>
  <c r="G65" i="26"/>
  <c r="G64" i="26"/>
  <c r="G63" i="26"/>
  <c r="G62" i="26"/>
  <c r="E61" i="26"/>
  <c r="G61" i="26" s="1"/>
  <c r="G58" i="26"/>
  <c r="G57" i="26"/>
  <c r="G56" i="26"/>
  <c r="G55" i="26"/>
  <c r="E54" i="26"/>
  <c r="G54" i="26" s="1"/>
  <c r="G53" i="26"/>
  <c r="E52" i="26"/>
  <c r="G52" i="26" s="1"/>
  <c r="E51" i="26"/>
  <c r="G51" i="26" s="1"/>
  <c r="E50" i="26"/>
  <c r="G50" i="26" s="1"/>
  <c r="E49" i="26"/>
  <c r="G49" i="26" s="1"/>
  <c r="E48" i="26"/>
  <c r="G48" i="26" s="1"/>
  <c r="E47" i="26"/>
  <c r="G47" i="26" s="1"/>
  <c r="G46" i="26"/>
  <c r="G38" i="26"/>
  <c r="G37" i="26"/>
  <c r="G36" i="26"/>
  <c r="E35" i="26"/>
  <c r="G35" i="26" s="1"/>
  <c r="E34" i="26"/>
  <c r="G34" i="26" s="1"/>
  <c r="G33" i="26"/>
  <c r="G32" i="26"/>
  <c r="E31" i="26"/>
  <c r="G31" i="26" s="1"/>
  <c r="G30" i="26"/>
  <c r="G29" i="26"/>
  <c r="G28" i="26"/>
  <c r="E27" i="26"/>
  <c r="G27" i="26" s="1"/>
  <c r="G26" i="26"/>
  <c r="G194" i="25"/>
  <c r="G160" i="25"/>
  <c r="G102" i="25"/>
  <c r="G101" i="25"/>
  <c r="G100" i="25"/>
  <c r="G98" i="25"/>
  <c r="G97" i="25"/>
  <c r="G89" i="25"/>
  <c r="G88" i="25"/>
  <c r="G87" i="25"/>
  <c r="E85" i="25"/>
  <c r="G85" i="25" s="1"/>
  <c r="E84" i="25"/>
  <c r="G84" i="25" s="1"/>
  <c r="E83" i="25"/>
  <c r="G83" i="25" s="1"/>
  <c r="E82" i="25"/>
  <c r="G82" i="25" s="1"/>
  <c r="E81" i="25"/>
  <c r="G81" i="25" s="1"/>
  <c r="E80" i="25"/>
  <c r="G63" i="25"/>
  <c r="G62" i="25"/>
  <c r="G61" i="25"/>
  <c r="G60" i="25"/>
  <c r="G59" i="25"/>
  <c r="G55" i="25"/>
  <c r="G53" i="25"/>
  <c r="G46" i="25"/>
  <c r="G38" i="25"/>
  <c r="G33" i="25"/>
  <c r="G32" i="25"/>
  <c r="G30" i="25"/>
  <c r="G29" i="25"/>
  <c r="G28" i="25"/>
  <c r="E26" i="25"/>
  <c r="G195" i="24"/>
  <c r="G157" i="24"/>
  <c r="G99" i="24"/>
  <c r="G98" i="24"/>
  <c r="G97" i="24"/>
  <c r="G95" i="24"/>
  <c r="G87" i="24"/>
  <c r="G86" i="24"/>
  <c r="G85" i="24"/>
  <c r="E83" i="24"/>
  <c r="G83" i="24" s="1"/>
  <c r="E82" i="24"/>
  <c r="G82" i="24" s="1"/>
  <c r="E81" i="24"/>
  <c r="G81" i="24" s="1"/>
  <c r="E80" i="24"/>
  <c r="G80" i="24" s="1"/>
  <c r="E79" i="24"/>
  <c r="G79" i="24" s="1"/>
  <c r="E78" i="24"/>
  <c r="E62" i="24"/>
  <c r="G62" i="24" s="1"/>
  <c r="G61" i="24"/>
  <c r="G60" i="24"/>
  <c r="G59" i="24"/>
  <c r="G58" i="24"/>
  <c r="G57" i="24"/>
  <c r="E56" i="24"/>
  <c r="G56" i="24" s="1"/>
  <c r="G53" i="24"/>
  <c r="E52" i="24"/>
  <c r="G52" i="24" s="1"/>
  <c r="G51" i="24"/>
  <c r="E50" i="24"/>
  <c r="G50" i="24" s="1"/>
  <c r="E49" i="24"/>
  <c r="G49" i="24" s="1"/>
  <c r="E48" i="24"/>
  <c r="G48" i="24" s="1"/>
  <c r="E47" i="24"/>
  <c r="G47" i="24" s="1"/>
  <c r="E46" i="24"/>
  <c r="G46" i="24" s="1"/>
  <c r="E45" i="24"/>
  <c r="G45" i="24" s="1"/>
  <c r="G44" i="24"/>
  <c r="G36" i="24"/>
  <c r="G35" i="24"/>
  <c r="G34" i="24"/>
  <c r="G31" i="24"/>
  <c r="G30" i="24"/>
  <c r="G29" i="24"/>
  <c r="G28" i="24"/>
  <c r="G27" i="24"/>
  <c r="G26" i="24"/>
  <c r="E25" i="24"/>
  <c r="G25" i="24" s="1"/>
  <c r="G24" i="24"/>
  <c r="G187" i="23"/>
  <c r="G149" i="23"/>
  <c r="G100" i="23"/>
  <c r="G99" i="23"/>
  <c r="G98" i="23"/>
  <c r="G96" i="23"/>
  <c r="G95" i="23"/>
  <c r="G87" i="23"/>
  <c r="G86" i="23"/>
  <c r="G85" i="23"/>
  <c r="E83" i="23"/>
  <c r="G83" i="23" s="1"/>
  <c r="E82" i="23"/>
  <c r="G82" i="23" s="1"/>
  <c r="E81" i="23"/>
  <c r="G81" i="23" s="1"/>
  <c r="E80" i="23"/>
  <c r="G80" i="23" s="1"/>
  <c r="E79" i="23"/>
  <c r="G79" i="23" s="1"/>
  <c r="E78" i="23"/>
  <c r="G62" i="23"/>
  <c r="G61" i="23"/>
  <c r="G60" i="23"/>
  <c r="G59" i="23"/>
  <c r="E58" i="23"/>
  <c r="G58" i="23" s="1"/>
  <c r="G55" i="23"/>
  <c r="E54" i="23"/>
  <c r="G54" i="23" s="1"/>
  <c r="G53" i="23"/>
  <c r="E52" i="23"/>
  <c r="G52" i="23" s="1"/>
  <c r="E51" i="23"/>
  <c r="G51" i="23" s="1"/>
  <c r="E50" i="23"/>
  <c r="G50" i="23" s="1"/>
  <c r="E49" i="23"/>
  <c r="G49" i="23" s="1"/>
  <c r="E48" i="23"/>
  <c r="G48" i="23" s="1"/>
  <c r="E47" i="23"/>
  <c r="G47" i="23" s="1"/>
  <c r="G46" i="23"/>
  <c r="G38" i="23"/>
  <c r="G37" i="23"/>
  <c r="G36" i="23"/>
  <c r="G33" i="23"/>
  <c r="G32" i="23"/>
  <c r="G31" i="23"/>
  <c r="G30" i="23"/>
  <c r="G29" i="23"/>
  <c r="G28" i="23"/>
  <c r="G27" i="23"/>
  <c r="G26" i="23"/>
  <c r="G185" i="22"/>
  <c r="G147" i="22"/>
  <c r="G100" i="22"/>
  <c r="G99" i="22"/>
  <c r="G98" i="22"/>
  <c r="G96" i="22"/>
  <c r="G95" i="22"/>
  <c r="G87" i="22"/>
  <c r="G86" i="22"/>
  <c r="G85" i="22"/>
  <c r="E83" i="22"/>
  <c r="G83" i="22" s="1"/>
  <c r="E82" i="22"/>
  <c r="G82" i="22" s="1"/>
  <c r="E81" i="22"/>
  <c r="G81" i="22" s="1"/>
  <c r="E80" i="22"/>
  <c r="G80" i="22" s="1"/>
  <c r="E79" i="22"/>
  <c r="G79" i="22" s="1"/>
  <c r="E78" i="22"/>
  <c r="E62" i="22"/>
  <c r="G62" i="22" s="1"/>
  <c r="G61" i="22"/>
  <c r="G60" i="22"/>
  <c r="G59" i="22"/>
  <c r="G58" i="22"/>
  <c r="G57" i="22"/>
  <c r="E56" i="22"/>
  <c r="G56" i="22" s="1"/>
  <c r="G53" i="22"/>
  <c r="G52" i="22"/>
  <c r="E52" i="22"/>
  <c r="G51" i="22"/>
  <c r="E50" i="22"/>
  <c r="G50" i="22" s="1"/>
  <c r="E49" i="22"/>
  <c r="G49" i="22" s="1"/>
  <c r="E48" i="22"/>
  <c r="G48" i="22" s="1"/>
  <c r="E47" i="22"/>
  <c r="G47" i="22" s="1"/>
  <c r="E46" i="22"/>
  <c r="G46" i="22" s="1"/>
  <c r="E45" i="22"/>
  <c r="G45" i="22" s="1"/>
  <c r="G44" i="22"/>
  <c r="G36" i="22"/>
  <c r="G35" i="22"/>
  <c r="G34" i="22"/>
  <c r="G31" i="22"/>
  <c r="G30" i="22"/>
  <c r="G29" i="22"/>
  <c r="G28" i="22"/>
  <c r="G27" i="22"/>
  <c r="G26" i="22"/>
  <c r="G25" i="22"/>
  <c r="G24" i="22"/>
  <c r="G147" i="21"/>
  <c r="G100" i="21"/>
  <c r="G99" i="21"/>
  <c r="G91" i="21"/>
  <c r="G90" i="21"/>
  <c r="G89" i="21"/>
  <c r="E87" i="21"/>
  <c r="E86" i="21"/>
  <c r="G86" i="21" s="1"/>
  <c r="E85" i="21"/>
  <c r="G85" i="21" s="1"/>
  <c r="E84" i="21"/>
  <c r="G84" i="21" s="1"/>
  <c r="E83" i="21"/>
  <c r="G83" i="21" s="1"/>
  <c r="E82" i="21"/>
  <c r="E66" i="21"/>
  <c r="G66" i="21" s="1"/>
  <c r="G65" i="21"/>
  <c r="G64" i="21"/>
  <c r="G63" i="21"/>
  <c r="G62" i="21"/>
  <c r="G61" i="21"/>
  <c r="E60" i="21"/>
  <c r="G60" i="21" s="1"/>
  <c r="G57" i="21"/>
  <c r="G56" i="21"/>
  <c r="G55" i="21"/>
  <c r="E54" i="21"/>
  <c r="G54" i="21" s="1"/>
  <c r="G53" i="21"/>
  <c r="E52" i="21"/>
  <c r="G52" i="21" s="1"/>
  <c r="E51" i="21"/>
  <c r="G51" i="21" s="1"/>
  <c r="E50" i="21"/>
  <c r="G50" i="21" s="1"/>
  <c r="E49" i="21"/>
  <c r="G49" i="21" s="1"/>
  <c r="E48" i="21"/>
  <c r="G48" i="21" s="1"/>
  <c r="E47" i="21"/>
  <c r="G47" i="21" s="1"/>
  <c r="G46" i="21"/>
  <c r="G38" i="21"/>
  <c r="G37" i="21"/>
  <c r="G36" i="21"/>
  <c r="G33" i="21"/>
  <c r="G32" i="21"/>
  <c r="G31" i="21"/>
  <c r="G30" i="21"/>
  <c r="G29" i="21"/>
  <c r="G28" i="21"/>
  <c r="G27" i="21"/>
  <c r="G26" i="21"/>
  <c r="G614" i="20"/>
  <c r="G613" i="20"/>
  <c r="G612" i="20"/>
  <c r="G611" i="20"/>
  <c r="G610" i="20"/>
  <c r="G609" i="20"/>
  <c r="G603" i="20"/>
  <c r="G602" i="20"/>
  <c r="G601" i="20"/>
  <c r="G600" i="20"/>
  <c r="G599" i="20"/>
  <c r="G598" i="20"/>
  <c r="G597" i="20"/>
  <c r="G596" i="20"/>
  <c r="G595" i="20"/>
  <c r="G594" i="20"/>
  <c r="G593" i="20"/>
  <c r="G587" i="20"/>
  <c r="G586" i="20"/>
  <c r="G585" i="20"/>
  <c r="G584" i="20"/>
  <c r="G583" i="20"/>
  <c r="G582" i="20"/>
  <c r="G581" i="20"/>
  <c r="G580" i="20"/>
  <c r="G574" i="20"/>
  <c r="G573" i="20"/>
  <c r="G572" i="20"/>
  <c r="G571" i="20"/>
  <c r="G570" i="20"/>
  <c r="G569" i="20"/>
  <c r="G568" i="20"/>
  <c r="G567" i="20"/>
  <c r="G566" i="20"/>
  <c r="G565" i="20"/>
  <c r="G564" i="20"/>
  <c r="G563" i="20"/>
  <c r="G562" i="20"/>
  <c r="G556" i="20"/>
  <c r="G555" i="20"/>
  <c r="G554" i="20"/>
  <c r="G553" i="20"/>
  <c r="G552" i="20"/>
  <c r="G551" i="20"/>
  <c r="G550" i="20"/>
  <c r="G549" i="20"/>
  <c r="G548" i="20"/>
  <c r="G547" i="20"/>
  <c r="G541" i="20"/>
  <c r="G540" i="20"/>
  <c r="G539" i="20"/>
  <c r="G538" i="20"/>
  <c r="G537" i="20"/>
  <c r="G536" i="20"/>
  <c r="G535" i="20"/>
  <c r="G534" i="20"/>
  <c r="G533" i="20"/>
  <c r="G527" i="20"/>
  <c r="G526" i="20"/>
  <c r="G525" i="20"/>
  <c r="G524" i="20"/>
  <c r="G523" i="20"/>
  <c r="G522" i="20"/>
  <c r="G521" i="20"/>
  <c r="G520" i="20"/>
  <c r="G519" i="20"/>
  <c r="G518" i="20"/>
  <c r="G517" i="20"/>
  <c r="G516" i="20"/>
  <c r="G515" i="20"/>
  <c r="G514" i="20"/>
  <c r="G508" i="20"/>
  <c r="G507" i="20"/>
  <c r="G506" i="20"/>
  <c r="G505" i="20"/>
  <c r="G504" i="20"/>
  <c r="G503" i="20"/>
  <c r="G502" i="20"/>
  <c r="G501" i="20"/>
  <c r="G500" i="20"/>
  <c r="G499" i="20"/>
  <c r="G492" i="20"/>
  <c r="G491" i="20"/>
  <c r="G490" i="20"/>
  <c r="G489" i="20"/>
  <c r="G487" i="20"/>
  <c r="G486" i="20"/>
  <c r="G485" i="20"/>
  <c r="G484" i="20"/>
  <c r="G473" i="20"/>
  <c r="G472" i="20"/>
  <c r="G471" i="20"/>
  <c r="G470" i="20"/>
  <c r="G469" i="20"/>
  <c r="G468" i="20"/>
  <c r="G467" i="20"/>
  <c r="G466" i="20"/>
  <c r="G465" i="20"/>
  <c r="G464" i="20"/>
  <c r="G463" i="20"/>
  <c r="G462" i="20"/>
  <c r="G461" i="20"/>
  <c r="G460" i="20"/>
  <c r="G459" i="20"/>
  <c r="G458" i="20"/>
  <c r="G457" i="20"/>
  <c r="G456" i="20"/>
  <c r="G455" i="20"/>
  <c r="G454" i="20"/>
  <c r="G453" i="20"/>
  <c r="G452" i="20"/>
  <c r="G451" i="20"/>
  <c r="G450" i="20"/>
  <c r="G449" i="20"/>
  <c r="G448" i="20"/>
  <c r="G447" i="20"/>
  <c r="G446" i="20"/>
  <c r="G445" i="20"/>
  <c r="G444" i="20"/>
  <c r="G443" i="20"/>
  <c r="G442" i="20"/>
  <c r="G441" i="20"/>
  <c r="G440" i="20"/>
  <c r="G439" i="20"/>
  <c r="G438" i="20"/>
  <c r="G437" i="20"/>
  <c r="G421" i="20"/>
  <c r="G420" i="20"/>
  <c r="G419" i="20"/>
  <c r="G418" i="20"/>
  <c r="G417" i="20"/>
  <c r="G416" i="20"/>
  <c r="G415" i="20"/>
  <c r="G414" i="20"/>
  <c r="G413" i="20"/>
  <c r="G412" i="20"/>
  <c r="G411" i="20"/>
  <c r="G410" i="20"/>
  <c r="G409" i="20"/>
  <c r="G408" i="20"/>
  <c r="G405" i="20"/>
  <c r="G404" i="20"/>
  <c r="G403" i="20"/>
  <c r="G402" i="20"/>
  <c r="G401" i="20"/>
  <c r="G400" i="20"/>
  <c r="G399" i="20"/>
  <c r="G398" i="20"/>
  <c r="G397" i="20"/>
  <c r="G396" i="20"/>
  <c r="G395" i="20"/>
  <c r="G394" i="20"/>
  <c r="G393" i="20"/>
  <c r="G390" i="20"/>
  <c r="G389" i="20"/>
  <c r="G388" i="20"/>
  <c r="G387" i="20"/>
  <c r="G386" i="20"/>
  <c r="G385" i="20"/>
  <c r="G384" i="20"/>
  <c r="G383" i="20"/>
  <c r="G382" i="20"/>
  <c r="G379" i="20"/>
  <c r="G352" i="20"/>
  <c r="G351" i="20"/>
  <c r="G350" i="20"/>
  <c r="G349" i="20"/>
  <c r="G348" i="20"/>
  <c r="G347" i="20"/>
  <c r="G346" i="20"/>
  <c r="G345" i="20"/>
  <c r="G344" i="20"/>
  <c r="G343" i="20"/>
  <c r="G342" i="20"/>
  <c r="G341" i="20"/>
  <c r="G340" i="20"/>
  <c r="G332" i="20"/>
  <c r="G331" i="20"/>
  <c r="G320" i="20"/>
  <c r="G319" i="20"/>
  <c r="G304" i="20"/>
  <c r="G306" i="20" s="1"/>
  <c r="G294" i="20"/>
  <c r="G293" i="20"/>
  <c r="G292" i="20"/>
  <c r="G291" i="20"/>
  <c r="G290" i="20"/>
  <c r="G273" i="20"/>
  <c r="G272" i="20"/>
  <c r="G271" i="20"/>
  <c r="G270" i="20"/>
  <c r="G249" i="20"/>
  <c r="G248" i="20"/>
  <c r="G247" i="20"/>
  <c r="G246" i="20"/>
  <c r="G228" i="20"/>
  <c r="G227" i="20"/>
  <c r="G226" i="20"/>
  <c r="G225" i="20"/>
  <c r="G224" i="20"/>
  <c r="G223" i="20"/>
  <c r="G222" i="20"/>
  <c r="G221" i="20"/>
  <c r="G220" i="20"/>
  <c r="G219" i="20"/>
  <c r="G218" i="20"/>
  <c r="G217" i="20"/>
  <c r="G216" i="20"/>
  <c r="G215" i="20"/>
  <c r="G190" i="20"/>
  <c r="G189" i="20"/>
  <c r="G188" i="20"/>
  <c r="G187" i="20"/>
  <c r="G186" i="20"/>
  <c r="G185" i="20"/>
  <c r="G184" i="20"/>
  <c r="G183" i="20"/>
  <c r="G182" i="20"/>
  <c r="G181" i="20"/>
  <c r="G180" i="20"/>
  <c r="G179" i="20"/>
  <c r="G178" i="20"/>
  <c r="G177" i="20"/>
  <c r="G176" i="20"/>
  <c r="G175" i="20"/>
  <c r="G173" i="20"/>
  <c r="G172" i="20"/>
  <c r="G171" i="20"/>
  <c r="G170" i="20"/>
  <c r="G169" i="20"/>
  <c r="G168" i="20"/>
  <c r="G167" i="20"/>
  <c r="G166" i="20"/>
  <c r="G147" i="20"/>
  <c r="G146" i="20"/>
  <c r="G145" i="20"/>
  <c r="G144" i="20"/>
  <c r="G142" i="20"/>
  <c r="G140" i="20"/>
  <c r="G138" i="20"/>
  <c r="G137" i="20"/>
  <c r="G135" i="20"/>
  <c r="G134" i="20"/>
  <c r="G133" i="20"/>
  <c r="G116" i="20"/>
  <c r="G115" i="20"/>
  <c r="G114" i="20"/>
  <c r="G113" i="20"/>
  <c r="G112" i="20"/>
  <c r="G111" i="20"/>
  <c r="G110" i="20"/>
  <c r="G109" i="20"/>
  <c r="G108" i="20"/>
  <c r="G107" i="20"/>
  <c r="G106" i="20"/>
  <c r="G105" i="20"/>
  <c r="G86" i="20"/>
  <c r="G85" i="20"/>
  <c r="G84" i="20"/>
  <c r="G83" i="20"/>
  <c r="G82" i="20"/>
  <c r="G81" i="20"/>
  <c r="G80" i="20"/>
  <c r="G79" i="20"/>
  <c r="G78" i="20"/>
  <c r="G77" i="20"/>
  <c r="G76" i="20"/>
  <c r="G75" i="20"/>
  <c r="G74" i="20"/>
  <c r="G73" i="20"/>
  <c r="G72" i="20"/>
  <c r="G70" i="20"/>
  <c r="G69" i="20"/>
  <c r="G61" i="20"/>
  <c r="G60" i="20"/>
  <c r="G59" i="20"/>
  <c r="G58" i="20"/>
  <c r="G57" i="20"/>
  <c r="G56" i="20"/>
  <c r="G55" i="20"/>
  <c r="G54" i="20"/>
  <c r="G53" i="20"/>
  <c r="G52" i="20"/>
  <c r="G51" i="20"/>
  <c r="G50" i="20"/>
  <c r="G49" i="20"/>
  <c r="G48" i="20"/>
  <c r="G47" i="20"/>
  <c r="G191" i="19"/>
  <c r="G159" i="19"/>
  <c r="G120" i="19"/>
  <c r="G119" i="19"/>
  <c r="G118" i="19"/>
  <c r="G117" i="19"/>
  <c r="G116" i="19"/>
  <c r="G108" i="19"/>
  <c r="G107" i="19"/>
  <c r="G106" i="19"/>
  <c r="E104" i="19"/>
  <c r="G104" i="19" s="1"/>
  <c r="E103" i="19"/>
  <c r="G103" i="19" s="1"/>
  <c r="E102" i="19"/>
  <c r="G102" i="19" s="1"/>
  <c r="E101" i="19"/>
  <c r="G101" i="19" s="1"/>
  <c r="E100" i="19"/>
  <c r="G100" i="19" s="1"/>
  <c r="E99" i="19"/>
  <c r="G99" i="19" s="1"/>
  <c r="E98" i="19"/>
  <c r="G98" i="19" s="1"/>
  <c r="E97" i="19"/>
  <c r="G82" i="19"/>
  <c r="G81" i="19"/>
  <c r="G80" i="19"/>
  <c r="G79" i="19"/>
  <c r="G78" i="19"/>
  <c r="E77" i="19"/>
  <c r="G77" i="19" s="1"/>
  <c r="G76" i="19"/>
  <c r="G71" i="19"/>
  <c r="E70" i="19"/>
  <c r="G70" i="19" s="1"/>
  <c r="G66" i="19"/>
  <c r="G65" i="19"/>
  <c r="G64" i="19"/>
  <c r="G63" i="19"/>
  <c r="E62" i="19"/>
  <c r="G62" i="19" s="1"/>
  <c r="E61" i="19"/>
  <c r="G61" i="19" s="1"/>
  <c r="E60" i="19"/>
  <c r="G60" i="19" s="1"/>
  <c r="G57" i="19"/>
  <c r="E56" i="19"/>
  <c r="G56" i="19" s="1"/>
  <c r="E55" i="19"/>
  <c r="G55" i="19" s="1"/>
  <c r="E53" i="19"/>
  <c r="G52" i="19"/>
  <c r="E51" i="19"/>
  <c r="G51" i="19" s="1"/>
  <c r="E50" i="19"/>
  <c r="G50" i="19" s="1"/>
  <c r="E49" i="19"/>
  <c r="G49" i="19" s="1"/>
  <c r="E48" i="19"/>
  <c r="G48" i="19" s="1"/>
  <c r="E47" i="19"/>
  <c r="G47" i="19" s="1"/>
  <c r="E46" i="19"/>
  <c r="E45" i="19"/>
  <c r="E67" i="19" s="1"/>
  <c r="G67" i="19" s="1"/>
  <c r="G38" i="19"/>
  <c r="G37" i="19"/>
  <c r="G36" i="19"/>
  <c r="G33" i="19"/>
  <c r="G32" i="19"/>
  <c r="G31" i="19"/>
  <c r="G30" i="19"/>
  <c r="G29" i="19"/>
  <c r="G28" i="19"/>
  <c r="E27" i="19"/>
  <c r="G27" i="19" s="1"/>
  <c r="G26" i="19"/>
  <c r="G156" i="17"/>
  <c r="G155" i="17"/>
  <c r="G154" i="17"/>
  <c r="G153" i="17"/>
  <c r="G151" i="17"/>
  <c r="G150" i="17"/>
  <c r="G132" i="17"/>
  <c r="G130" i="17"/>
  <c r="G128" i="17"/>
  <c r="G126" i="17"/>
  <c r="G124" i="17"/>
  <c r="G122" i="17"/>
  <c r="G120" i="17"/>
  <c r="G110" i="17"/>
  <c r="G108" i="17"/>
  <c r="G106" i="17"/>
  <c r="G104" i="17"/>
  <c r="B104" i="17"/>
  <c r="B106" i="17" s="1"/>
  <c r="B108" i="17" s="1"/>
  <c r="B110" i="17" s="1"/>
  <c r="B122" i="17" s="1"/>
  <c r="B124" i="17" s="1"/>
  <c r="B126" i="17" s="1"/>
  <c r="B128" i="17" s="1"/>
  <c r="B130" i="17" s="1"/>
  <c r="B132" i="17" s="1"/>
  <c r="G102" i="17"/>
  <c r="G100" i="17"/>
  <c r="G98" i="17"/>
  <c r="G96" i="17"/>
  <c r="G94" i="17"/>
  <c r="G92" i="17"/>
  <c r="G90" i="17"/>
  <c r="G88" i="17"/>
  <c r="G86" i="17"/>
  <c r="G84" i="17"/>
  <c r="G82" i="17"/>
  <c r="G80" i="17"/>
  <c r="G79" i="17"/>
  <c r="G78" i="17"/>
  <c r="G75" i="17"/>
  <c r="G74" i="17"/>
  <c r="G73" i="17"/>
  <c r="G70" i="17"/>
  <c r="E68" i="17"/>
  <c r="G68" i="17" s="1"/>
  <c r="G66" i="17"/>
  <c r="G64" i="17"/>
  <c r="B64" i="17"/>
  <c r="B66" i="17" s="1"/>
  <c r="G54" i="17"/>
  <c r="G52" i="17"/>
  <c r="G50" i="17"/>
  <c r="G48" i="17"/>
  <c r="G46" i="17"/>
  <c r="G44" i="17"/>
  <c r="G42" i="17"/>
  <c r="G40" i="17"/>
  <c r="G38" i="17"/>
  <c r="G36" i="17"/>
  <c r="G34" i="17"/>
  <c r="G32" i="17"/>
  <c r="B32" i="17"/>
  <c r="B34" i="17" s="1"/>
  <c r="B36" i="17" s="1"/>
  <c r="B38" i="17" s="1"/>
  <c r="B40" i="17" s="1"/>
  <c r="B42" i="17" s="1"/>
  <c r="B44" i="17" s="1"/>
  <c r="B46" i="17" s="1"/>
  <c r="B48" i="17" s="1"/>
  <c r="B50" i="17" s="1"/>
  <c r="G30" i="17"/>
  <c r="G28" i="17"/>
  <c r="G649" i="16"/>
  <c r="G640" i="16"/>
  <c r="G639" i="16"/>
  <c r="G615" i="16"/>
  <c r="G612" i="16"/>
  <c r="G611" i="16"/>
  <c r="G610" i="16"/>
  <c r="G608" i="16"/>
  <c r="G607" i="16"/>
  <c r="G606" i="16"/>
  <c r="G163" i="16"/>
  <c r="G162" i="16"/>
  <c r="G161" i="16"/>
  <c r="G160" i="16"/>
  <c r="G158" i="16"/>
  <c r="G157" i="16"/>
  <c r="G156" i="16"/>
  <c r="G155" i="16"/>
  <c r="G154" i="16"/>
  <c r="G153" i="16"/>
  <c r="G152" i="16"/>
  <c r="G151" i="16"/>
  <c r="G150" i="16"/>
  <c r="G149" i="16"/>
  <c r="G148" i="16"/>
  <c r="G147" i="16"/>
  <c r="G128" i="16"/>
  <c r="G126" i="16"/>
  <c r="G124" i="16"/>
  <c r="G122" i="16"/>
  <c r="G120" i="16"/>
  <c r="G118" i="16"/>
  <c r="G116" i="16"/>
  <c r="G114" i="16"/>
  <c r="G110" i="16"/>
  <c r="G108" i="16"/>
  <c r="G106" i="16"/>
  <c r="G104" i="16"/>
  <c r="G102" i="16"/>
  <c r="G100" i="16"/>
  <c r="G97" i="16"/>
  <c r="G94" i="16"/>
  <c r="G91" i="16"/>
  <c r="G89" i="16"/>
  <c r="G87" i="16"/>
  <c r="G85" i="16"/>
  <c r="G83" i="16"/>
  <c r="G81" i="16"/>
  <c r="G79" i="16"/>
  <c r="G77" i="16"/>
  <c r="G75" i="16"/>
  <c r="G73" i="16"/>
  <c r="G71" i="16"/>
  <c r="G69" i="16"/>
  <c r="G67" i="16"/>
  <c r="G65" i="16"/>
  <c r="G63" i="16"/>
  <c r="G61" i="16"/>
  <c r="G59" i="16"/>
  <c r="G57" i="16"/>
  <c r="G55" i="16"/>
  <c r="G53" i="16"/>
  <c r="G51" i="16"/>
  <c r="G98" i="15"/>
  <c r="G97" i="15"/>
  <c r="G96" i="15"/>
  <c r="G95" i="15"/>
  <c r="E91" i="15"/>
  <c r="G91" i="15" s="1"/>
  <c r="E90" i="15"/>
  <c r="G90" i="15" s="1"/>
  <c r="E89" i="15"/>
  <c r="G89" i="15" s="1"/>
  <c r="E88" i="15"/>
  <c r="G88" i="15" s="1"/>
  <c r="E87" i="15"/>
  <c r="G87" i="15" s="1"/>
  <c r="E86" i="15"/>
  <c r="G86" i="15" s="1"/>
  <c r="G72" i="15"/>
  <c r="G71" i="15"/>
  <c r="G70" i="15"/>
  <c r="G69" i="15"/>
  <c r="G68" i="15"/>
  <c r="G67" i="15"/>
  <c r="G66" i="15"/>
  <c r="G65" i="15"/>
  <c r="G64" i="15"/>
  <c r="E62" i="15"/>
  <c r="G62" i="15" s="1"/>
  <c r="G61" i="15"/>
  <c r="E60" i="15"/>
  <c r="G60" i="15" s="1"/>
  <c r="G59" i="15"/>
  <c r="E58" i="15"/>
  <c r="G58" i="15" s="1"/>
  <c r="G57" i="15"/>
  <c r="G56" i="15"/>
  <c r="G55" i="15"/>
  <c r="G54" i="15"/>
  <c r="G53" i="15"/>
  <c r="G52" i="15"/>
  <c r="G51" i="15"/>
  <c r="G50" i="15"/>
  <c r="G49" i="15"/>
  <c r="G48" i="15"/>
  <c r="G47" i="15"/>
  <c r="G46" i="15"/>
  <c r="G45" i="15"/>
  <c r="G44" i="15"/>
  <c r="G43" i="15"/>
  <c r="G36" i="15"/>
  <c r="G35" i="15"/>
  <c r="G34" i="15"/>
  <c r="G33" i="15"/>
  <c r="E32" i="15"/>
  <c r="G32" i="15" s="1"/>
  <c r="G31" i="15"/>
  <c r="G30" i="15"/>
  <c r="G29" i="15"/>
  <c r="G28" i="15"/>
  <c r="G27" i="15"/>
  <c r="G26" i="15"/>
  <c r="G25" i="15"/>
  <c r="G303" i="14"/>
  <c r="G301" i="14"/>
  <c r="G300" i="14"/>
  <c r="G299" i="14"/>
  <c r="G298" i="14"/>
  <c r="G297" i="14"/>
  <c r="G296" i="14"/>
  <c r="G295" i="14"/>
  <c r="G294" i="14"/>
  <c r="G293" i="14"/>
  <c r="G292" i="14"/>
  <c r="G291" i="14"/>
  <c r="G290" i="14"/>
  <c r="G289" i="14"/>
  <c r="G288" i="14"/>
  <c r="G287" i="14"/>
  <c r="G286" i="14"/>
  <c r="G285" i="14"/>
  <c r="G284" i="14"/>
  <c r="G283" i="14"/>
  <c r="G282" i="14"/>
  <c r="G281" i="14"/>
  <c r="G280" i="14"/>
  <c r="G279" i="14"/>
  <c r="G278" i="14"/>
  <c r="G277" i="14"/>
  <c r="G276" i="14"/>
  <c r="G275"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4" i="14"/>
  <c r="G236" i="14"/>
  <c r="G235" i="14"/>
  <c r="G234" i="14"/>
  <c r="G204" i="14"/>
  <c r="G203" i="14"/>
  <c r="G202" i="14"/>
  <c r="G201" i="14"/>
  <c r="G200" i="14"/>
  <c r="G196" i="14"/>
  <c r="G195" i="14"/>
  <c r="G194" i="14"/>
  <c r="G193" i="14"/>
  <c r="G192" i="14"/>
  <c r="G190" i="14"/>
  <c r="G189" i="14"/>
  <c r="G188" i="14"/>
  <c r="G187" i="14"/>
  <c r="G184" i="14"/>
  <c r="G183" i="14"/>
  <c r="G182" i="14"/>
  <c r="G181" i="14"/>
  <c r="G180" i="14"/>
  <c r="G179" i="14"/>
  <c r="G178" i="14"/>
  <c r="G177" i="14"/>
  <c r="G176" i="14"/>
  <c r="G175" i="14"/>
  <c r="G174" i="14"/>
  <c r="G173" i="14"/>
  <c r="G170" i="14"/>
  <c r="G169" i="14"/>
  <c r="G168" i="14"/>
  <c r="G167" i="14"/>
  <c r="G166" i="14"/>
  <c r="G165" i="14"/>
  <c r="G164" i="14"/>
  <c r="G163" i="14"/>
  <c r="G162" i="14"/>
  <c r="G161" i="14"/>
  <c r="G160" i="14"/>
  <c r="G159" i="14"/>
  <c r="G158" i="14"/>
  <c r="G157" i="14"/>
  <c r="G156" i="14"/>
  <c r="G155" i="14"/>
  <c r="G152" i="14"/>
  <c r="G151" i="14"/>
  <c r="G150" i="14"/>
  <c r="G148" i="14"/>
  <c r="G147" i="14"/>
  <c r="G146" i="14"/>
  <c r="G145" i="14"/>
  <c r="G141" i="14"/>
  <c r="G140" i="14"/>
  <c r="G139" i="14"/>
  <c r="G138" i="14"/>
  <c r="G137" i="14"/>
  <c r="G136" i="14"/>
  <c r="G135" i="14"/>
  <c r="G134" i="14"/>
  <c r="G133" i="14"/>
  <c r="G132" i="14"/>
  <c r="G130" i="14"/>
  <c r="G129" i="14"/>
  <c r="G128" i="14"/>
  <c r="G127" i="14"/>
  <c r="G126" i="14"/>
  <c r="G125" i="14"/>
  <c r="G124" i="14"/>
  <c r="G123" i="14"/>
  <c r="G120" i="14"/>
  <c r="G119" i="14"/>
  <c r="G117" i="14"/>
  <c r="G116" i="14"/>
  <c r="G108" i="14"/>
  <c r="G107" i="14"/>
  <c r="G106" i="14"/>
  <c r="G104" i="14"/>
  <c r="G103" i="14"/>
  <c r="G102" i="14"/>
  <c r="G101" i="14"/>
  <c r="G100" i="14"/>
  <c r="G99" i="14"/>
  <c r="G86" i="14"/>
  <c r="G85" i="14"/>
  <c r="G84" i="14"/>
  <c r="G83" i="14"/>
  <c r="G82" i="14"/>
  <c r="G81" i="14"/>
  <c r="G80" i="14"/>
  <c r="G79" i="14"/>
  <c r="G78" i="14"/>
  <c r="G77" i="14"/>
  <c r="G76" i="14"/>
  <c r="G75" i="14"/>
  <c r="G73" i="14"/>
  <c r="G72" i="14"/>
  <c r="E66" i="14"/>
  <c r="G66" i="14" s="1"/>
  <c r="G64" i="14"/>
  <c r="G62" i="14"/>
  <c r="E60" i="14"/>
  <c r="G60" i="14" s="1"/>
  <c r="G59" i="14"/>
  <c r="G58" i="14"/>
  <c r="G57" i="14"/>
  <c r="G56" i="14"/>
  <c r="E55" i="14"/>
  <c r="G55" i="14" s="1"/>
  <c r="E54" i="14"/>
  <c r="G54" i="14" s="1"/>
  <c r="E52" i="14"/>
  <c r="G52" i="14" s="1"/>
  <c r="G45" i="14"/>
  <c r="G37" i="14"/>
  <c r="G36" i="14"/>
  <c r="G35" i="14"/>
  <c r="G34" i="14"/>
  <c r="G33" i="14"/>
  <c r="G32" i="14"/>
  <c r="G31" i="14"/>
  <c r="G30" i="14"/>
  <c r="G29" i="14"/>
  <c r="G28" i="14"/>
  <c r="G27" i="14"/>
  <c r="E26" i="14"/>
  <c r="G110" i="14" s="1"/>
  <c r="G25" i="14"/>
  <c r="G133" i="13"/>
  <c r="G132" i="13"/>
  <c r="G130" i="13"/>
  <c r="G129" i="13"/>
  <c r="G128" i="13"/>
  <c r="G127" i="13"/>
  <c r="G126" i="13"/>
  <c r="G125" i="13"/>
  <c r="G124" i="13"/>
  <c r="G123" i="13"/>
  <c r="G122" i="13"/>
  <c r="G121" i="13"/>
  <c r="G120" i="13"/>
  <c r="G115" i="13"/>
  <c r="G114" i="13"/>
  <c r="G113" i="13"/>
  <c r="G112" i="13"/>
  <c r="G111" i="13"/>
  <c r="G110" i="13"/>
  <c r="G109" i="13"/>
  <c r="G106" i="13"/>
  <c r="G105" i="13"/>
  <c r="G104" i="13"/>
  <c r="G103" i="13"/>
  <c r="G95" i="13"/>
  <c r="G94" i="13"/>
  <c r="G93" i="13"/>
  <c r="G91" i="13"/>
  <c r="G90" i="13"/>
  <c r="G75" i="13"/>
  <c r="G74" i="13"/>
  <c r="G73" i="13"/>
  <c r="G72" i="13"/>
  <c r="G71" i="13"/>
  <c r="G70" i="13"/>
  <c r="G69" i="13"/>
  <c r="G68" i="13"/>
  <c r="E67" i="13"/>
  <c r="G67" i="13" s="1"/>
  <c r="G66" i="13"/>
  <c r="G64" i="13"/>
  <c r="G63" i="13"/>
  <c r="G62" i="13"/>
  <c r="G61" i="13"/>
  <c r="G60" i="13"/>
  <c r="G59" i="13"/>
  <c r="E58" i="13"/>
  <c r="G58" i="13" s="1"/>
  <c r="G57" i="13"/>
  <c r="G56" i="13"/>
  <c r="G55" i="13"/>
  <c r="G54" i="13"/>
  <c r="G53" i="13"/>
  <c r="G52" i="13"/>
  <c r="G51" i="13"/>
  <c r="G50" i="13"/>
  <c r="G49" i="13"/>
  <c r="E48" i="13"/>
  <c r="G48" i="13" s="1"/>
  <c r="E47" i="13"/>
  <c r="G47" i="13" s="1"/>
  <c r="G46" i="13"/>
  <c r="E45" i="13"/>
  <c r="G45" i="13" s="1"/>
  <c r="E44" i="13"/>
  <c r="G44" i="13" s="1"/>
  <c r="G43" i="13"/>
  <c r="E42" i="13"/>
  <c r="G33" i="13"/>
  <c r="G32" i="13"/>
  <c r="E31" i="13"/>
  <c r="G31" i="13" s="1"/>
  <c r="G30" i="13"/>
  <c r="G29" i="13"/>
  <c r="G28" i="13"/>
  <c r="G27" i="13"/>
  <c r="G26" i="13"/>
  <c r="G25" i="13"/>
  <c r="E24" i="13"/>
  <c r="E97" i="13" s="1"/>
  <c r="G97" i="13" s="1"/>
  <c r="G77" i="52" l="1"/>
  <c r="E84" i="52"/>
  <c r="E35" i="52"/>
  <c r="G35" i="52" s="1"/>
  <c r="G79" i="51"/>
  <c r="E89" i="51"/>
  <c r="G77" i="50"/>
  <c r="E89" i="50"/>
  <c r="E33" i="49"/>
  <c r="G33" i="49" s="1"/>
  <c r="G80" i="49"/>
  <c r="E90" i="49"/>
  <c r="E32" i="49"/>
  <c r="G32" i="49" s="1"/>
  <c r="G82" i="48"/>
  <c r="E94" i="48"/>
  <c r="E54" i="47"/>
  <c r="G27" i="47"/>
  <c r="G45" i="47"/>
  <c r="G80" i="47"/>
  <c r="E90" i="47"/>
  <c r="G83" i="46"/>
  <c r="E95" i="46"/>
  <c r="G81" i="45"/>
  <c r="E91" i="45"/>
  <c r="E32" i="44"/>
  <c r="G32" i="44" s="1"/>
  <c r="G78" i="44"/>
  <c r="E85" i="44"/>
  <c r="G78" i="43"/>
  <c r="E88" i="43"/>
  <c r="E32" i="42"/>
  <c r="G32" i="42" s="1"/>
  <c r="E57" i="42"/>
  <c r="G79" i="42"/>
  <c r="E89" i="42"/>
  <c r="G75" i="41"/>
  <c r="E85" i="41"/>
  <c r="E57" i="40"/>
  <c r="E93" i="40"/>
  <c r="G76" i="39"/>
  <c r="E86" i="39"/>
  <c r="E33" i="38"/>
  <c r="G33" i="38" s="1"/>
  <c r="G77" i="38"/>
  <c r="E84" i="38"/>
  <c r="E33" i="37"/>
  <c r="G33" i="37" s="1"/>
  <c r="G77" i="37"/>
  <c r="E87" i="37"/>
  <c r="G80" i="36"/>
  <c r="E90" i="36"/>
  <c r="G81" i="35"/>
  <c r="E91" i="35"/>
  <c r="G76" i="34"/>
  <c r="E86" i="34"/>
  <c r="E32" i="34"/>
  <c r="G32" i="34" s="1"/>
  <c r="E33" i="34"/>
  <c r="G33" i="34" s="1"/>
  <c r="G76" i="33"/>
  <c r="E83" i="33"/>
  <c r="G76" i="32"/>
  <c r="E83" i="32"/>
  <c r="G79" i="31"/>
  <c r="E91" i="31"/>
  <c r="E34" i="29"/>
  <c r="G34" i="29" s="1"/>
  <c r="G40" i="29" s="1"/>
  <c r="G17" i="29" s="1"/>
  <c r="E35" i="29"/>
  <c r="G35" i="29" s="1"/>
  <c r="E58" i="29"/>
  <c r="E59" i="29" s="1"/>
  <c r="G59" i="29" s="1"/>
  <c r="G80" i="29"/>
  <c r="E90" i="29"/>
  <c r="E33" i="28"/>
  <c r="G33" i="28" s="1"/>
  <c r="G25" i="28"/>
  <c r="G38" i="28" s="1"/>
  <c r="G15" i="28" s="1"/>
  <c r="E34" i="27"/>
  <c r="G34" i="27" s="1"/>
  <c r="G80" i="27"/>
  <c r="E90" i="27"/>
  <c r="E56" i="27"/>
  <c r="E57" i="27" s="1"/>
  <c r="G57" i="27" s="1"/>
  <c r="G80" i="25"/>
  <c r="E90" i="25"/>
  <c r="G90" i="25" s="1"/>
  <c r="G78" i="24"/>
  <c r="E88" i="24"/>
  <c r="G78" i="23"/>
  <c r="E88" i="23"/>
  <c r="G78" i="22"/>
  <c r="E88" i="22"/>
  <c r="G82" i="21"/>
  <c r="E92" i="21"/>
  <c r="G97" i="19"/>
  <c r="E109" i="19"/>
  <c r="E54" i="19"/>
  <c r="G54" i="19" s="1"/>
  <c r="G73" i="15"/>
  <c r="G1489" i="16"/>
  <c r="G17" i="16" s="1"/>
  <c r="G510" i="20"/>
  <c r="G494" i="20"/>
  <c r="G529" i="20"/>
  <c r="E35" i="43"/>
  <c r="G35" i="43" s="1"/>
  <c r="G80" i="41"/>
  <c r="E32" i="41"/>
  <c r="G32" i="41" s="1"/>
  <c r="G38" i="41" s="1"/>
  <c r="G15" i="41" s="1"/>
  <c r="E33" i="41"/>
  <c r="G33" i="41" s="1"/>
  <c r="G78" i="28"/>
  <c r="G122" i="28" s="1"/>
  <c r="G17" i="28" s="1"/>
  <c r="E54" i="25"/>
  <c r="G54" i="25" s="1"/>
  <c r="E48" i="25"/>
  <c r="G48" i="25" s="1"/>
  <c r="G251" i="20"/>
  <c r="E61" i="14"/>
  <c r="G61" i="14" s="1"/>
  <c r="G617" i="16"/>
  <c r="G16" i="16" s="1"/>
  <c r="G200" i="17"/>
  <c r="G16" i="17" s="1"/>
  <c r="E65" i="13"/>
  <c r="G65" i="13" s="1"/>
  <c r="G76" i="13" s="1"/>
  <c r="G15" i="13" s="1"/>
  <c r="G42" i="13"/>
  <c r="G423" i="20"/>
  <c r="G18" i="20" s="1"/>
  <c r="G334" i="20"/>
  <c r="G325" i="20"/>
  <c r="G66" i="55"/>
  <c r="G15" i="55" s="1"/>
  <c r="G206" i="58"/>
  <c r="G16" i="58" s="1"/>
  <c r="G356" i="53"/>
  <c r="G16" i="53" s="1"/>
  <c r="G37" i="15"/>
  <c r="G16" i="15" s="1"/>
  <c r="G53" i="19"/>
  <c r="G275" i="20"/>
  <c r="E35" i="23"/>
  <c r="G35" i="23" s="1"/>
  <c r="E49" i="25"/>
  <c r="G49" i="25" s="1"/>
  <c r="E54" i="33"/>
  <c r="E55" i="33" s="1"/>
  <c r="G55" i="33" s="1"/>
  <c r="G40" i="40"/>
  <c r="G17" i="40" s="1"/>
  <c r="G45" i="42"/>
  <c r="G80" i="52"/>
  <c r="G149" i="54"/>
  <c r="G16" i="54" s="1"/>
  <c r="G36" i="55"/>
  <c r="G14" i="55" s="1"/>
  <c r="G163" i="55"/>
  <c r="G16" i="55" s="1"/>
  <c r="G90" i="58"/>
  <c r="G15" i="58" s="1"/>
  <c r="G172" i="59"/>
  <c r="G16" i="59" s="1"/>
  <c r="G125" i="60"/>
  <c r="G19" i="60" s="1"/>
  <c r="G14" i="16"/>
  <c r="G354" i="20"/>
  <c r="E52" i="25"/>
  <c r="G52" i="25" s="1"/>
  <c r="E59" i="26"/>
  <c r="G59" i="26" s="1"/>
  <c r="E55" i="52"/>
  <c r="G55" i="52" s="1"/>
  <c r="G118" i="20"/>
  <c r="G149" i="20"/>
  <c r="E58" i="35"/>
  <c r="G46" i="52"/>
  <c r="G71" i="54"/>
  <c r="G15" i="54" s="1"/>
  <c r="G280" i="56"/>
  <c r="G16" i="56" s="1"/>
  <c r="G88" i="57"/>
  <c r="G15" i="57" s="1"/>
  <c r="G251" i="57"/>
  <c r="G16" i="57" s="1"/>
  <c r="G62" i="60"/>
  <c r="G18" i="60" s="1"/>
  <c r="G296" i="20"/>
  <c r="G589" i="20"/>
  <c r="G37" i="56"/>
  <c r="G14" i="56" s="1"/>
  <c r="G96" i="56"/>
  <c r="G15" i="56" s="1"/>
  <c r="G36" i="57"/>
  <c r="G14" i="57" s="1"/>
  <c r="G81" i="59"/>
  <c r="G15" i="59" s="1"/>
  <c r="G220" i="15"/>
  <c r="G18" i="15" s="1"/>
  <c r="E68" i="19"/>
  <c r="E69" i="19" s="1"/>
  <c r="G69" i="19" s="1"/>
  <c r="G543" i="20"/>
  <c r="E35" i="21"/>
  <c r="G35" i="21" s="1"/>
  <c r="E54" i="22"/>
  <c r="E35" i="25"/>
  <c r="G35" i="25" s="1"/>
  <c r="G47" i="29"/>
  <c r="E34" i="35"/>
  <c r="G34" i="35" s="1"/>
  <c r="E56" i="48"/>
  <c r="E57" i="48" s="1"/>
  <c r="G57" i="48" s="1"/>
  <c r="E55" i="50"/>
  <c r="E34" i="52"/>
  <c r="G34" i="52" s="1"/>
  <c r="G56" i="17"/>
  <c r="G14" i="17" s="1"/>
  <c r="G46" i="19"/>
  <c r="G192" i="20"/>
  <c r="G230" i="20"/>
  <c r="G475" i="20"/>
  <c r="E58" i="25"/>
  <c r="G58" i="25" s="1"/>
  <c r="E34" i="31"/>
  <c r="G34" i="31" s="1"/>
  <c r="E35" i="35"/>
  <c r="G35" i="35" s="1"/>
  <c r="E32" i="38"/>
  <c r="G32" i="38" s="1"/>
  <c r="E58" i="45"/>
  <c r="E59" i="45" s="1"/>
  <c r="G59" i="45" s="1"/>
  <c r="E54" i="49"/>
  <c r="G46" i="50"/>
  <c r="G63" i="20"/>
  <c r="G15" i="20" s="1"/>
  <c r="G88" i="20"/>
  <c r="G558" i="20"/>
  <c r="G40" i="26"/>
  <c r="G17" i="26" s="1"/>
  <c r="E35" i="31"/>
  <c r="G35" i="31" s="1"/>
  <c r="G38" i="34"/>
  <c r="G15" i="34" s="1"/>
  <c r="G47" i="45"/>
  <c r="G35" i="58"/>
  <c r="G14" i="58" s="1"/>
  <c r="G131" i="16"/>
  <c r="G15" i="16" s="1"/>
  <c r="G36" i="59"/>
  <c r="G14" i="59" s="1"/>
  <c r="G87" i="53"/>
  <c r="G15" i="53" s="1"/>
  <c r="G36" i="53"/>
  <c r="G14" i="53" s="1"/>
  <c r="G37" i="54"/>
  <c r="G14" i="54" s="1"/>
  <c r="E34" i="19"/>
  <c r="G34" i="19" s="1"/>
  <c r="G576" i="20"/>
  <c r="E58" i="21"/>
  <c r="G260" i="26"/>
  <c r="G19" i="26" s="1"/>
  <c r="G56" i="27"/>
  <c r="G39" i="30"/>
  <c r="G17" i="30" s="1"/>
  <c r="G616" i="20"/>
  <c r="E35" i="19"/>
  <c r="G35" i="19" s="1"/>
  <c r="G54" i="33"/>
  <c r="G62" i="33" s="1"/>
  <c r="G40" i="27"/>
  <c r="G17" i="27" s="1"/>
  <c r="E58" i="36"/>
  <c r="G45" i="36"/>
  <c r="E55" i="22"/>
  <c r="G55" i="22" s="1"/>
  <c r="G54" i="22"/>
  <c r="G45" i="19"/>
  <c r="G605" i="20"/>
  <c r="E54" i="24"/>
  <c r="E58" i="42"/>
  <c r="G58" i="42" s="1"/>
  <c r="G57" i="42"/>
  <c r="E35" i="50"/>
  <c r="G35" i="50" s="1"/>
  <c r="E34" i="50"/>
  <c r="G34" i="50" s="1"/>
  <c r="G84" i="50"/>
  <c r="E56" i="23"/>
  <c r="E55" i="30"/>
  <c r="E56" i="31"/>
  <c r="E35" i="46"/>
  <c r="G35" i="46" s="1"/>
  <c r="E34" i="46"/>
  <c r="G34" i="46" s="1"/>
  <c r="G89" i="46"/>
  <c r="E34" i="21"/>
  <c r="G34" i="21" s="1"/>
  <c r="G87" i="21"/>
  <c r="E31" i="25"/>
  <c r="G31" i="25" s="1"/>
  <c r="E50" i="25"/>
  <c r="G50" i="25" s="1"/>
  <c r="E54" i="32"/>
  <c r="G78" i="32"/>
  <c r="E33" i="33"/>
  <c r="G33" i="33" s="1"/>
  <c r="E54" i="34"/>
  <c r="E54" i="38"/>
  <c r="G44" i="38"/>
  <c r="E58" i="40"/>
  <c r="G58" i="40" s="1"/>
  <c r="G57" i="40"/>
  <c r="E32" i="22"/>
  <c r="G32" i="22" s="1"/>
  <c r="E32" i="24"/>
  <c r="G32" i="24" s="1"/>
  <c r="G85" i="35"/>
  <c r="E32" i="36"/>
  <c r="G32" i="36" s="1"/>
  <c r="E32" i="39"/>
  <c r="G32" i="39" s="1"/>
  <c r="G81" i="39"/>
  <c r="E33" i="39"/>
  <c r="G33" i="39" s="1"/>
  <c r="G38" i="44"/>
  <c r="G17" i="44" s="1"/>
  <c r="E55" i="47"/>
  <c r="G55" i="47" s="1"/>
  <c r="G54" i="47"/>
  <c r="G38" i="49"/>
  <c r="G17" i="49" s="1"/>
  <c r="E34" i="23"/>
  <c r="G34" i="23" s="1"/>
  <c r="G40" i="23" s="1"/>
  <c r="G17" i="23" s="1"/>
  <c r="G26" i="25"/>
  <c r="E47" i="25"/>
  <c r="E51" i="25"/>
  <c r="G51" i="25" s="1"/>
  <c r="G81" i="37"/>
  <c r="G58" i="45"/>
  <c r="E33" i="22"/>
  <c r="G33" i="22" s="1"/>
  <c r="E33" i="24"/>
  <c r="G33" i="24" s="1"/>
  <c r="E27" i="25"/>
  <c r="G27" i="25" s="1"/>
  <c r="G36" i="25"/>
  <c r="E32" i="32"/>
  <c r="G32" i="32" s="1"/>
  <c r="G38" i="32" s="1"/>
  <c r="G15" i="32" s="1"/>
  <c r="E33" i="36"/>
  <c r="G33" i="36" s="1"/>
  <c r="E54" i="37"/>
  <c r="E33" i="47"/>
  <c r="G33" i="47" s="1"/>
  <c r="E32" i="47"/>
  <c r="G32" i="47" s="1"/>
  <c r="G85" i="47"/>
  <c r="E54" i="28"/>
  <c r="E34" i="25"/>
  <c r="G34" i="25" s="1"/>
  <c r="G37" i="25"/>
  <c r="E64" i="25"/>
  <c r="G64" i="25" s="1"/>
  <c r="E32" i="37"/>
  <c r="G32" i="37" s="1"/>
  <c r="E33" i="42"/>
  <c r="G33" i="42" s="1"/>
  <c r="G38" i="42" s="1"/>
  <c r="G17" i="42" s="1"/>
  <c r="E34" i="43"/>
  <c r="G34" i="43" s="1"/>
  <c r="E35" i="45"/>
  <c r="G35" i="45" s="1"/>
  <c r="G40" i="45" s="1"/>
  <c r="G17" i="45" s="1"/>
  <c r="E56" i="46"/>
  <c r="E32" i="51"/>
  <c r="G32" i="51" s="1"/>
  <c r="G38" i="51" s="1"/>
  <c r="G17" i="51" s="1"/>
  <c r="E53" i="41"/>
  <c r="E54" i="39"/>
  <c r="E56" i="44"/>
  <c r="G80" i="44"/>
  <c r="G44" i="37"/>
  <c r="G47" i="40"/>
  <c r="G83" i="42"/>
  <c r="G83" i="43"/>
  <c r="G86" i="45"/>
  <c r="G89" i="48"/>
  <c r="E53" i="51"/>
  <c r="G84" i="51"/>
  <c r="E35" i="48"/>
  <c r="G35" i="48" s="1"/>
  <c r="G40" i="48" s="1"/>
  <c r="G17" i="48" s="1"/>
  <c r="E56" i="43"/>
  <c r="G17" i="15"/>
  <c r="B68" i="17"/>
  <c r="B70" i="17" s="1"/>
  <c r="G134" i="17"/>
  <c r="G15" i="17" s="1"/>
  <c r="E98" i="13"/>
  <c r="G98" i="13" s="1"/>
  <c r="G26" i="14"/>
  <c r="G38" i="14" s="1"/>
  <c r="G16" i="14" s="1"/>
  <c r="E46" i="14"/>
  <c r="G46" i="14" s="1"/>
  <c r="E50" i="14"/>
  <c r="G50" i="14" s="1"/>
  <c r="G111" i="14"/>
  <c r="E99" i="13"/>
  <c r="G99" i="13" s="1"/>
  <c r="E47" i="14"/>
  <c r="E51" i="14"/>
  <c r="G51" i="14" s="1"/>
  <c r="E70" i="14"/>
  <c r="G70" i="14" s="1"/>
  <c r="G112" i="14"/>
  <c r="E96" i="13"/>
  <c r="G96" i="13" s="1"/>
  <c r="E48" i="14"/>
  <c r="G48" i="14" s="1"/>
  <c r="G109" i="14"/>
  <c r="G24" i="13"/>
  <c r="G36" i="13" s="1"/>
  <c r="G14" i="13" s="1"/>
  <c r="E49" i="14"/>
  <c r="G49" i="14" s="1"/>
  <c r="E53" i="14"/>
  <c r="G53" i="14" s="1"/>
  <c r="E87" i="52" l="1"/>
  <c r="G87" i="52" s="1"/>
  <c r="E85" i="52"/>
  <c r="G85" i="52" s="1"/>
  <c r="E86" i="52"/>
  <c r="G86" i="52" s="1"/>
  <c r="G84" i="52"/>
  <c r="G128" i="52" s="1"/>
  <c r="G19" i="52" s="1"/>
  <c r="G40" i="52"/>
  <c r="G17" i="52" s="1"/>
  <c r="E90" i="51"/>
  <c r="G90" i="51" s="1"/>
  <c r="E91" i="51"/>
  <c r="G91" i="51" s="1"/>
  <c r="E92" i="51"/>
  <c r="G92" i="51" s="1"/>
  <c r="G89" i="51"/>
  <c r="E91" i="50"/>
  <c r="G91" i="50" s="1"/>
  <c r="E92" i="50"/>
  <c r="G92" i="50" s="1"/>
  <c r="E90" i="50"/>
  <c r="G90" i="50" s="1"/>
  <c r="G89" i="50"/>
  <c r="G221" i="50" s="1"/>
  <c r="G19" i="50" s="1"/>
  <c r="E92" i="49"/>
  <c r="G92" i="49" s="1"/>
  <c r="E91" i="49"/>
  <c r="G91" i="49" s="1"/>
  <c r="E93" i="49"/>
  <c r="G93" i="49" s="1"/>
  <c r="G90" i="49"/>
  <c r="E95" i="48"/>
  <c r="G95" i="48" s="1"/>
  <c r="E97" i="48"/>
  <c r="G97" i="48" s="1"/>
  <c r="E96" i="48"/>
  <c r="G96" i="48" s="1"/>
  <c r="G94" i="48"/>
  <c r="G230" i="48" s="1"/>
  <c r="G19" i="48" s="1"/>
  <c r="E93" i="47"/>
  <c r="G93" i="47" s="1"/>
  <c r="E91" i="47"/>
  <c r="G91" i="47" s="1"/>
  <c r="E92" i="47"/>
  <c r="G92" i="47" s="1"/>
  <c r="G90" i="47"/>
  <c r="G38" i="47"/>
  <c r="G17" i="47" s="1"/>
  <c r="E96" i="46"/>
  <c r="G96" i="46" s="1"/>
  <c r="E97" i="46"/>
  <c r="G97" i="46" s="1"/>
  <c r="E98" i="46"/>
  <c r="G98" i="46" s="1"/>
  <c r="G95" i="46"/>
  <c r="G232" i="46" s="1"/>
  <c r="G19" i="46" s="1"/>
  <c r="G67" i="45"/>
  <c r="G18" i="45" s="1"/>
  <c r="E92" i="45"/>
  <c r="G92" i="45" s="1"/>
  <c r="E94" i="45"/>
  <c r="G94" i="45" s="1"/>
  <c r="E93" i="45"/>
  <c r="G93" i="45" s="1"/>
  <c r="G91" i="45"/>
  <c r="G186" i="45" s="1"/>
  <c r="G19" i="45" s="1"/>
  <c r="G20" i="45" s="1"/>
  <c r="E86" i="44"/>
  <c r="G86" i="44" s="1"/>
  <c r="E87" i="44"/>
  <c r="G87" i="44" s="1"/>
  <c r="E88" i="44"/>
  <c r="G88" i="44" s="1"/>
  <c r="G85" i="44"/>
  <c r="G129" i="44" s="1"/>
  <c r="G19" i="44" s="1"/>
  <c r="E90" i="43"/>
  <c r="G90" i="43" s="1"/>
  <c r="E91" i="43"/>
  <c r="G91" i="43" s="1"/>
  <c r="E89" i="43"/>
  <c r="G89" i="43" s="1"/>
  <c r="G88" i="43"/>
  <c r="G201" i="43" s="1"/>
  <c r="G19" i="43" s="1"/>
  <c r="E92" i="42"/>
  <c r="G92" i="42" s="1"/>
  <c r="E91" i="42"/>
  <c r="G91" i="42" s="1"/>
  <c r="E90" i="42"/>
  <c r="G90" i="42" s="1"/>
  <c r="G89" i="42"/>
  <c r="G203" i="42" s="1"/>
  <c r="G19" i="42" s="1"/>
  <c r="E86" i="41"/>
  <c r="G86" i="41" s="1"/>
  <c r="E88" i="41"/>
  <c r="G88" i="41" s="1"/>
  <c r="E87" i="41"/>
  <c r="G87" i="41" s="1"/>
  <c r="G85" i="41"/>
  <c r="G177" i="41" s="1"/>
  <c r="G17" i="41" s="1"/>
  <c r="E96" i="40"/>
  <c r="G96" i="40" s="1"/>
  <c r="E94" i="40"/>
  <c r="G94" i="40" s="1"/>
  <c r="E95" i="40"/>
  <c r="G95" i="40" s="1"/>
  <c r="G93" i="40"/>
  <c r="G201" i="40" s="1"/>
  <c r="G19" i="40" s="1"/>
  <c r="E87" i="39"/>
  <c r="G87" i="39" s="1"/>
  <c r="E89" i="39"/>
  <c r="G89" i="39" s="1"/>
  <c r="E88" i="39"/>
  <c r="G88" i="39" s="1"/>
  <c r="G86" i="39"/>
  <c r="G162" i="39" s="1"/>
  <c r="G17" i="39" s="1"/>
  <c r="G38" i="38"/>
  <c r="G17" i="38" s="1"/>
  <c r="E87" i="38"/>
  <c r="G87" i="38" s="1"/>
  <c r="E85" i="38"/>
  <c r="G85" i="38" s="1"/>
  <c r="E86" i="38"/>
  <c r="G86" i="38" s="1"/>
  <c r="G84" i="38"/>
  <c r="E88" i="37"/>
  <c r="G88" i="37" s="1"/>
  <c r="E90" i="37"/>
  <c r="G90" i="37" s="1"/>
  <c r="E89" i="37"/>
  <c r="G89" i="37" s="1"/>
  <c r="G87" i="37"/>
  <c r="G205" i="37"/>
  <c r="G19" i="37" s="1"/>
  <c r="E93" i="36"/>
  <c r="G93" i="36" s="1"/>
  <c r="E92" i="36"/>
  <c r="G92" i="36" s="1"/>
  <c r="E91" i="36"/>
  <c r="G91" i="36" s="1"/>
  <c r="G90" i="36"/>
  <c r="G207" i="36" s="1"/>
  <c r="G19" i="36" s="1"/>
  <c r="G40" i="35"/>
  <c r="G17" i="35" s="1"/>
  <c r="E94" i="35"/>
  <c r="G94" i="35" s="1"/>
  <c r="E93" i="35"/>
  <c r="G93" i="35" s="1"/>
  <c r="E92" i="35"/>
  <c r="G92" i="35" s="1"/>
  <c r="G91" i="35"/>
  <c r="G186" i="35" s="1"/>
  <c r="G19" i="35" s="1"/>
  <c r="E87" i="34"/>
  <c r="G87" i="34" s="1"/>
  <c r="E89" i="34"/>
  <c r="G89" i="34" s="1"/>
  <c r="E88" i="34"/>
  <c r="G88" i="34" s="1"/>
  <c r="G86" i="34"/>
  <c r="G168" i="34" s="1"/>
  <c r="G17" i="34" s="1"/>
  <c r="G38" i="33"/>
  <c r="G15" i="33" s="1"/>
  <c r="E84" i="33"/>
  <c r="G84" i="33" s="1"/>
  <c r="E86" i="33"/>
  <c r="G86" i="33" s="1"/>
  <c r="E85" i="33"/>
  <c r="G85" i="33" s="1"/>
  <c r="G83" i="33"/>
  <c r="E85" i="32"/>
  <c r="G85" i="32" s="1"/>
  <c r="E84" i="32"/>
  <c r="G83" i="32"/>
  <c r="G40" i="31"/>
  <c r="G17" i="31" s="1"/>
  <c r="E92" i="31"/>
  <c r="G92" i="31" s="1"/>
  <c r="E94" i="31"/>
  <c r="G94" i="31" s="1"/>
  <c r="E93" i="31"/>
  <c r="G93" i="31" s="1"/>
  <c r="G91" i="31"/>
  <c r="G217" i="31" s="1"/>
  <c r="G19" i="31" s="1"/>
  <c r="G58" i="29"/>
  <c r="G66" i="29"/>
  <c r="G18" i="29" s="1"/>
  <c r="E92" i="29"/>
  <c r="G92" i="29" s="1"/>
  <c r="E91" i="29"/>
  <c r="G91" i="29" s="1"/>
  <c r="E93" i="29"/>
  <c r="G93" i="29" s="1"/>
  <c r="G90" i="29"/>
  <c r="E93" i="27"/>
  <c r="G93" i="27" s="1"/>
  <c r="E91" i="27"/>
  <c r="G91" i="27" s="1"/>
  <c r="E92" i="27"/>
  <c r="G92" i="27" s="1"/>
  <c r="G90" i="27"/>
  <c r="G194" i="27" s="1"/>
  <c r="G19" i="27" s="1"/>
  <c r="G20" i="27" s="1"/>
  <c r="G66" i="27"/>
  <c r="G18" i="27" s="1"/>
  <c r="E93" i="25"/>
  <c r="G93" i="25" s="1"/>
  <c r="E92" i="25"/>
  <c r="G92" i="25" s="1"/>
  <c r="E91" i="25"/>
  <c r="G91" i="25" s="1"/>
  <c r="E89" i="24"/>
  <c r="G89" i="24" s="1"/>
  <c r="E90" i="24"/>
  <c r="G88" i="24"/>
  <c r="E90" i="23"/>
  <c r="G90" i="23" s="1"/>
  <c r="E89" i="23"/>
  <c r="G89" i="23" s="1"/>
  <c r="E91" i="23"/>
  <c r="G91" i="23" s="1"/>
  <c r="G88" i="23"/>
  <c r="G188" i="23" s="1"/>
  <c r="G19" i="23" s="1"/>
  <c r="E91" i="22"/>
  <c r="G91" i="22" s="1"/>
  <c r="E90" i="22"/>
  <c r="G90" i="22" s="1"/>
  <c r="E89" i="22"/>
  <c r="G89" i="22" s="1"/>
  <c r="G88" i="22"/>
  <c r="E93" i="21"/>
  <c r="G92" i="21"/>
  <c r="G39" i="19"/>
  <c r="G17" i="19" s="1"/>
  <c r="G68" i="19"/>
  <c r="E111" i="19"/>
  <c r="G111" i="19" s="1"/>
  <c r="E110" i="19"/>
  <c r="G110" i="19" s="1"/>
  <c r="E112" i="19"/>
  <c r="G112" i="19" s="1"/>
  <c r="G109" i="19"/>
  <c r="G193" i="19" s="1"/>
  <c r="G19" i="19" s="1"/>
  <c r="G40" i="46"/>
  <c r="G17" i="46" s="1"/>
  <c r="G194" i="20"/>
  <c r="G16" i="20" s="1"/>
  <c r="G356" i="20"/>
  <c r="G17" i="20" s="1"/>
  <c r="G304" i="14"/>
  <c r="G18" i="14" s="1"/>
  <c r="E56" i="52"/>
  <c r="G56" i="52" s="1"/>
  <c r="G63" i="52" s="1"/>
  <c r="G18" i="52" s="1"/>
  <c r="G40" i="50"/>
  <c r="G17" i="50" s="1"/>
  <c r="G56" i="48"/>
  <c r="G68" i="48" s="1"/>
  <c r="G18" i="48" s="1"/>
  <c r="G40" i="43"/>
  <c r="G17" i="43" s="1"/>
  <c r="G195" i="25"/>
  <c r="G19" i="25" s="1"/>
  <c r="G40" i="21"/>
  <c r="G17" i="21" s="1"/>
  <c r="G64" i="22"/>
  <c r="G16" i="22" s="1"/>
  <c r="E60" i="26"/>
  <c r="G60" i="26" s="1"/>
  <c r="G619" i="20"/>
  <c r="G19" i="20" s="1"/>
  <c r="E63" i="14"/>
  <c r="G38" i="37"/>
  <c r="G17" i="37" s="1"/>
  <c r="G83" i="19"/>
  <c r="G18" i="19" s="1"/>
  <c r="G19" i="15"/>
  <c r="F20" i="12" s="1"/>
  <c r="F29" i="12" s="1"/>
  <c r="G17" i="59"/>
  <c r="G21" i="61" s="1"/>
  <c r="G17" i="58"/>
  <c r="G16" i="61" s="1"/>
  <c r="G17" i="57"/>
  <c r="G15" i="61" s="1"/>
  <c r="G17" i="56"/>
  <c r="G14" i="61" s="1"/>
  <c r="G17" i="55"/>
  <c r="G13" i="61" s="1"/>
  <c r="G17" i="53"/>
  <c r="G12" i="61" s="1"/>
  <c r="G17" i="17"/>
  <c r="F13" i="12" s="1"/>
  <c r="G38" i="39"/>
  <c r="G15" i="39" s="1"/>
  <c r="G16" i="33"/>
  <c r="G21" i="60"/>
  <c r="G17" i="61" s="1"/>
  <c r="G69" i="40"/>
  <c r="G18" i="40" s="1"/>
  <c r="G38" i="36"/>
  <c r="G17" i="36" s="1"/>
  <c r="G17" i="54"/>
  <c r="G20" i="61" s="1"/>
  <c r="E56" i="50"/>
  <c r="G56" i="50" s="1"/>
  <c r="G55" i="50"/>
  <c r="G66" i="47"/>
  <c r="G18" i="47" s="1"/>
  <c r="G68" i="26"/>
  <c r="G18" i="26" s="1"/>
  <c r="G20" i="26" s="1"/>
  <c r="E55" i="49"/>
  <c r="G55" i="49" s="1"/>
  <c r="G54" i="49"/>
  <c r="B72" i="17"/>
  <c r="B77" i="17" s="1"/>
  <c r="B82" i="17" s="1"/>
  <c r="B84" i="17" s="1"/>
  <c r="B86" i="17" s="1"/>
  <c r="B88" i="17" s="1"/>
  <c r="G144" i="13"/>
  <c r="G16" i="13" s="1"/>
  <c r="G17" i="13" s="1"/>
  <c r="F14" i="12" s="1"/>
  <c r="G38" i="24"/>
  <c r="G15" i="24" s="1"/>
  <c r="G65" i="42"/>
  <c r="G18" i="42" s="1"/>
  <c r="G58" i="35"/>
  <c r="E59" i="35"/>
  <c r="G59" i="35" s="1"/>
  <c r="G38" i="22"/>
  <c r="G15" i="22" s="1"/>
  <c r="E55" i="34"/>
  <c r="G55" i="34" s="1"/>
  <c r="G54" i="34"/>
  <c r="G54" i="28"/>
  <c r="E55" i="28"/>
  <c r="G55" i="28" s="1"/>
  <c r="E55" i="37"/>
  <c r="G55" i="37" s="1"/>
  <c r="G54" i="37"/>
  <c r="G63" i="37" s="1"/>
  <c r="G18" i="37" s="1"/>
  <c r="E56" i="30"/>
  <c r="G56" i="30" s="1"/>
  <c r="G55" i="30"/>
  <c r="E55" i="24"/>
  <c r="G55" i="24" s="1"/>
  <c r="G54" i="24"/>
  <c r="G64" i="24" s="1"/>
  <c r="G16" i="24" s="1"/>
  <c r="G47" i="25"/>
  <c r="E56" i="25"/>
  <c r="E57" i="23"/>
  <c r="G57" i="23" s="1"/>
  <c r="G56" i="23"/>
  <c r="E59" i="21"/>
  <c r="G59" i="21" s="1"/>
  <c r="G58" i="21"/>
  <c r="E55" i="32"/>
  <c r="G55" i="32" s="1"/>
  <c r="G54" i="32"/>
  <c r="E55" i="39"/>
  <c r="G55" i="39" s="1"/>
  <c r="G54" i="39"/>
  <c r="E59" i="36"/>
  <c r="G59" i="36" s="1"/>
  <c r="G58" i="36"/>
  <c r="E54" i="51"/>
  <c r="G54" i="51" s="1"/>
  <c r="G53" i="51"/>
  <c r="E57" i="44"/>
  <c r="G57" i="44" s="1"/>
  <c r="G56" i="44"/>
  <c r="G40" i="25"/>
  <c r="G17" i="25" s="1"/>
  <c r="E54" i="41"/>
  <c r="G54" i="41" s="1"/>
  <c r="G53" i="41"/>
  <c r="E55" i="38"/>
  <c r="G55" i="38" s="1"/>
  <c r="G54" i="38"/>
  <c r="G56" i="43"/>
  <c r="E57" i="43"/>
  <c r="G57" i="43" s="1"/>
  <c r="E57" i="46"/>
  <c r="G57" i="46" s="1"/>
  <c r="G56" i="46"/>
  <c r="E57" i="31"/>
  <c r="G57" i="31" s="1"/>
  <c r="G56" i="31"/>
  <c r="E67" i="14"/>
  <c r="G47" i="14"/>
  <c r="G20" i="52" l="1"/>
  <c r="G198" i="51"/>
  <c r="G19" i="51" s="1"/>
  <c r="G202" i="49"/>
  <c r="G19" i="49" s="1"/>
  <c r="G20" i="48"/>
  <c r="G202" i="47"/>
  <c r="G19" i="47" s="1"/>
  <c r="G20" i="47" s="1"/>
  <c r="G64" i="44"/>
  <c r="G18" i="44" s="1"/>
  <c r="G20" i="44"/>
  <c r="G20" i="42"/>
  <c r="G20" i="18" s="1"/>
  <c r="G20" i="40"/>
  <c r="G134" i="38"/>
  <c r="G19" i="38" s="1"/>
  <c r="G164" i="33"/>
  <c r="G17" i="33" s="1"/>
  <c r="G18" i="33" s="1"/>
  <c r="E86" i="32"/>
  <c r="G86" i="32" s="1"/>
  <c r="G84" i="32"/>
  <c r="G161" i="32" s="1"/>
  <c r="G17" i="32" s="1"/>
  <c r="G65" i="31"/>
  <c r="G18" i="31" s="1"/>
  <c r="G20" i="31" s="1"/>
  <c r="G183" i="29"/>
  <c r="G19" i="29" s="1"/>
  <c r="G20" i="29" s="1"/>
  <c r="E91" i="24"/>
  <c r="G91" i="24" s="1"/>
  <c r="G90" i="24"/>
  <c r="G196" i="24" s="1"/>
  <c r="G17" i="24" s="1"/>
  <c r="G18" i="24" s="1"/>
  <c r="G186" i="22"/>
  <c r="G17" i="22" s="1"/>
  <c r="G18" i="22"/>
  <c r="G68" i="21"/>
  <c r="G18" i="21" s="1"/>
  <c r="E94" i="21"/>
  <c r="G93" i="21"/>
  <c r="G20" i="19"/>
  <c r="G12" i="18" s="1"/>
  <c r="G20" i="20"/>
  <c r="G13" i="18" s="1"/>
  <c r="G20" i="37"/>
  <c r="G63" i="38"/>
  <c r="G18" i="38" s="1"/>
  <c r="G63" i="14"/>
  <c r="E65" i="14"/>
  <c r="G65" i="14" s="1"/>
  <c r="E69" i="14"/>
  <c r="G69" i="14" s="1"/>
  <c r="G22" i="61"/>
  <c r="G17" i="72" s="1"/>
  <c r="G18" i="61"/>
  <c r="G16" i="72" s="1"/>
  <c r="G67" i="35"/>
  <c r="G18" i="35" s="1"/>
  <c r="G20" i="35" s="1"/>
  <c r="G69" i="46"/>
  <c r="G18" i="46" s="1"/>
  <c r="G20" i="46" s="1"/>
  <c r="G61" i="41"/>
  <c r="G16" i="41" s="1"/>
  <c r="G18" i="41" s="1"/>
  <c r="G66" i="36"/>
  <c r="G18" i="36" s="1"/>
  <c r="G20" i="36" s="1"/>
  <c r="G64" i="23"/>
  <c r="G18" i="23" s="1"/>
  <c r="G20" i="23" s="1"/>
  <c r="G63" i="50"/>
  <c r="G18" i="50" s="1"/>
  <c r="G20" i="50" s="1"/>
  <c r="G66" i="49"/>
  <c r="G18" i="49" s="1"/>
  <c r="G62" i="28"/>
  <c r="G16" i="28" s="1"/>
  <c r="G18" i="28" s="1"/>
  <c r="E57" i="25"/>
  <c r="G57" i="25" s="1"/>
  <c r="G56" i="25"/>
  <c r="G66" i="25" s="1"/>
  <c r="G64" i="43"/>
  <c r="G18" i="43" s="1"/>
  <c r="G20" i="43" s="1"/>
  <c r="G21" i="18" s="1"/>
  <c r="G62" i="39"/>
  <c r="G16" i="39" s="1"/>
  <c r="G18" i="39" s="1"/>
  <c r="G65" i="30"/>
  <c r="G18" i="30" s="1"/>
  <c r="G19" i="30" s="1"/>
  <c r="G62" i="34"/>
  <c r="G16" i="34" s="1"/>
  <c r="G18" i="34" s="1"/>
  <c r="G62" i="32"/>
  <c r="G16" i="32" s="1"/>
  <c r="G65" i="51"/>
  <c r="G18" i="51" s="1"/>
  <c r="G20" i="51" s="1"/>
  <c r="E68" i="14"/>
  <c r="G68" i="14" s="1"/>
  <c r="G67" i="14"/>
  <c r="G20" i="49" l="1"/>
  <c r="G23" i="18" s="1"/>
  <c r="G22" i="18"/>
  <c r="G20" i="38"/>
  <c r="G18" i="32"/>
  <c r="E95" i="21"/>
  <c r="G95" i="21" s="1"/>
  <c r="G94" i="21"/>
  <c r="G192" i="21"/>
  <c r="G19" i="21" s="1"/>
  <c r="G20" i="21" s="1"/>
  <c r="G18" i="25"/>
  <c r="G20" i="25" s="1"/>
  <c r="G87" i="14"/>
  <c r="G17" i="14" s="1"/>
  <c r="G19" i="14" s="1"/>
  <c r="F31" i="12" s="1"/>
  <c r="F32" i="12" s="1"/>
  <c r="G21" i="72" s="1"/>
  <c r="G24" i="18"/>
  <c r="G19" i="18"/>
  <c r="G18" i="18"/>
  <c r="G17" i="18"/>
  <c r="G14" i="18"/>
  <c r="G24" i="72" s="1"/>
  <c r="G18" i="72"/>
  <c r="G23" i="61"/>
  <c r="G176" i="11"/>
  <c r="G174" i="11"/>
  <c r="G173" i="11"/>
  <c r="G172" i="11"/>
  <c r="G170" i="11"/>
  <c r="G169" i="11"/>
  <c r="G168" i="11"/>
  <c r="G165" i="11"/>
  <c r="G164" i="11"/>
  <c r="G163" i="11"/>
  <c r="G162" i="11"/>
  <c r="G161" i="11"/>
  <c r="G160" i="11"/>
  <c r="G159" i="11"/>
  <c r="G158" i="11"/>
  <c r="G157" i="11"/>
  <c r="G156" i="11"/>
  <c r="G154" i="11"/>
  <c r="G153" i="11"/>
  <c r="G152" i="11"/>
  <c r="G151" i="11"/>
  <c r="G150" i="11"/>
  <c r="G149" i="11"/>
  <c r="G148" i="11"/>
  <c r="G147" i="11"/>
  <c r="G146" i="11"/>
  <c r="G144" i="11"/>
  <c r="G143" i="11"/>
  <c r="G142" i="11"/>
  <c r="G141" i="11"/>
  <c r="G140" i="11"/>
  <c r="G139" i="11"/>
  <c r="G138" i="11"/>
  <c r="G137" i="11"/>
  <c r="G136" i="11"/>
  <c r="G134" i="11"/>
  <c r="G133" i="11"/>
  <c r="G132" i="11"/>
  <c r="G131" i="11"/>
  <c r="G130" i="11"/>
  <c r="G129" i="11"/>
  <c r="G128" i="11"/>
  <c r="G127" i="11"/>
  <c r="G126" i="11"/>
  <c r="G123" i="11"/>
  <c r="G122" i="11"/>
  <c r="G121" i="11"/>
  <c r="G120" i="11"/>
  <c r="G119" i="11"/>
  <c r="G118" i="11"/>
  <c r="G117" i="11"/>
  <c r="G116" i="11"/>
  <c r="G115" i="11"/>
  <c r="G114" i="11"/>
  <c r="G113" i="11"/>
  <c r="G110" i="11"/>
  <c r="G109" i="11"/>
  <c r="G108" i="11"/>
  <c r="G107" i="11"/>
  <c r="G106" i="11"/>
  <c r="G105" i="11"/>
  <c r="G104" i="11"/>
  <c r="G103" i="11"/>
  <c r="G102" i="11"/>
  <c r="G101" i="11"/>
  <c r="G100" i="11"/>
  <c r="G99" i="11"/>
  <c r="G96" i="11"/>
  <c r="G92" i="11"/>
  <c r="G91" i="11"/>
  <c r="G90" i="11"/>
  <c r="G89" i="11"/>
  <c r="G88" i="11"/>
  <c r="G86" i="11"/>
  <c r="G85" i="11"/>
  <c r="G84" i="11"/>
  <c r="G83" i="11"/>
  <c r="G82" i="11"/>
  <c r="G81" i="11"/>
  <c r="G67" i="11"/>
  <c r="G66" i="11"/>
  <c r="G65" i="11"/>
  <c r="G64" i="11"/>
  <c r="G63" i="11"/>
  <c r="G62" i="11"/>
  <c r="G61" i="11"/>
  <c r="G60" i="11"/>
  <c r="G59" i="11"/>
  <c r="G58" i="11"/>
  <c r="G57" i="11"/>
  <c r="G56" i="11"/>
  <c r="G55" i="11"/>
  <c r="G54" i="11"/>
  <c r="G53" i="11"/>
  <c r="G52" i="11"/>
  <c r="G51" i="11"/>
  <c r="G49" i="11"/>
  <c r="G48" i="11"/>
  <c r="G47" i="11"/>
  <c r="G46" i="11"/>
  <c r="G45" i="11"/>
  <c r="G44" i="11"/>
  <c r="G43" i="11"/>
  <c r="G42" i="11"/>
  <c r="G35" i="11"/>
  <c r="G34" i="11"/>
  <c r="G33" i="11"/>
  <c r="G32" i="11"/>
  <c r="G31" i="11"/>
  <c r="G30" i="11"/>
  <c r="G29" i="11"/>
  <c r="G28" i="11"/>
  <c r="G27" i="11"/>
  <c r="G26" i="11"/>
  <c r="G25" i="11"/>
  <c r="G24" i="11"/>
  <c r="G23" i="11"/>
  <c r="G156" i="10"/>
  <c r="G154" i="10"/>
  <c r="G153" i="10"/>
  <c r="G152" i="10"/>
  <c r="G149" i="10"/>
  <c r="G148" i="10"/>
  <c r="G147" i="10"/>
  <c r="G146" i="10"/>
  <c r="G145" i="10"/>
  <c r="G143" i="10"/>
  <c r="G142" i="10"/>
  <c r="G141" i="10"/>
  <c r="G140" i="10"/>
  <c r="G139" i="10"/>
  <c r="G138" i="10"/>
  <c r="G137" i="10"/>
  <c r="G136" i="10"/>
  <c r="G135" i="10"/>
  <c r="G132" i="10"/>
  <c r="G131" i="10"/>
  <c r="G130" i="10"/>
  <c r="G129" i="10"/>
  <c r="G128" i="10"/>
  <c r="G127" i="10"/>
  <c r="G126" i="10"/>
  <c r="G125" i="10"/>
  <c r="G124" i="10"/>
  <c r="G123" i="10"/>
  <c r="G120" i="10"/>
  <c r="G119" i="10"/>
  <c r="G118" i="10"/>
  <c r="G117" i="10"/>
  <c r="G116" i="10"/>
  <c r="G115" i="10"/>
  <c r="G114" i="10"/>
  <c r="G113" i="10"/>
  <c r="G112" i="10"/>
  <c r="G111" i="10"/>
  <c r="G110" i="10"/>
  <c r="G109" i="10"/>
  <c r="G108" i="10"/>
  <c r="G107" i="10"/>
  <c r="G106" i="10"/>
  <c r="G103" i="10"/>
  <c r="G102" i="10"/>
  <c r="G101" i="10"/>
  <c r="G100" i="10"/>
  <c r="G99" i="10"/>
  <c r="G98" i="10"/>
  <c r="G97" i="10"/>
  <c r="G96" i="10"/>
  <c r="G93" i="10"/>
  <c r="G90" i="10"/>
  <c r="G89" i="10"/>
  <c r="G88" i="10"/>
  <c r="G87" i="10"/>
  <c r="G86" i="10"/>
  <c r="G84" i="10"/>
  <c r="G83" i="10"/>
  <c r="G82" i="10"/>
  <c r="G81" i="10"/>
  <c r="G67" i="10"/>
  <c r="G66" i="10"/>
  <c r="G65" i="10"/>
  <c r="G64" i="10"/>
  <c r="G63" i="10"/>
  <c r="G62" i="10"/>
  <c r="G61" i="10"/>
  <c r="G60" i="10"/>
  <c r="G59" i="10"/>
  <c r="G58" i="10"/>
  <c r="G57" i="10"/>
  <c r="G56" i="10"/>
  <c r="G55" i="10"/>
  <c r="G54" i="10"/>
  <c r="G53" i="10"/>
  <c r="G52" i="10"/>
  <c r="G51" i="10"/>
  <c r="G49" i="10"/>
  <c r="G48" i="10"/>
  <c r="G47" i="10"/>
  <c r="G46" i="10"/>
  <c r="G45" i="10"/>
  <c r="G44" i="10"/>
  <c r="G43" i="10"/>
  <c r="G42" i="10"/>
  <c r="G35" i="10"/>
  <c r="G34" i="10"/>
  <c r="G33" i="10"/>
  <c r="G32" i="10"/>
  <c r="G31" i="10"/>
  <c r="G30" i="10"/>
  <c r="G29" i="10"/>
  <c r="G28" i="10"/>
  <c r="G27" i="10"/>
  <c r="G26" i="10"/>
  <c r="G25" i="10"/>
  <c r="G24" i="10"/>
  <c r="G23" i="10"/>
  <c r="G154" i="9"/>
  <c r="G152" i="9"/>
  <c r="G151" i="9"/>
  <c r="G150" i="9"/>
  <c r="G147" i="9"/>
  <c r="G146" i="9"/>
  <c r="G145" i="9"/>
  <c r="G144" i="9"/>
  <c r="G143" i="9"/>
  <c r="G142" i="9"/>
  <c r="G141" i="9"/>
  <c r="G139" i="9"/>
  <c r="G138" i="9"/>
  <c r="G137" i="9"/>
  <c r="G136" i="9"/>
  <c r="G135" i="9"/>
  <c r="G134" i="9"/>
  <c r="G131" i="9"/>
  <c r="G130" i="9"/>
  <c r="G129" i="9"/>
  <c r="G128" i="9"/>
  <c r="G127" i="9"/>
  <c r="G126" i="9"/>
  <c r="G125" i="9"/>
  <c r="G124" i="9"/>
  <c r="G123" i="9"/>
  <c r="G122" i="9"/>
  <c r="G119" i="9"/>
  <c r="G118" i="9"/>
  <c r="G117" i="9"/>
  <c r="G116" i="9"/>
  <c r="G115" i="9"/>
  <c r="G114" i="9"/>
  <c r="G113" i="9"/>
  <c r="G112" i="9"/>
  <c r="G111" i="9"/>
  <c r="G110" i="9"/>
  <c r="G109" i="9"/>
  <c r="G108" i="9"/>
  <c r="G107" i="9"/>
  <c r="G106" i="9"/>
  <c r="G103" i="9"/>
  <c r="G102" i="9"/>
  <c r="G101" i="9"/>
  <c r="G100" i="9"/>
  <c r="G99" i="9"/>
  <c r="G98" i="9"/>
  <c r="G97" i="9"/>
  <c r="G94" i="9"/>
  <c r="G93" i="9"/>
  <c r="G90" i="9"/>
  <c r="G89" i="9"/>
  <c r="G88" i="9"/>
  <c r="G87" i="9"/>
  <c r="G86" i="9"/>
  <c r="G84" i="9"/>
  <c r="G83" i="9"/>
  <c r="G82" i="9"/>
  <c r="G81" i="9"/>
  <c r="G67" i="9"/>
  <c r="G66" i="9"/>
  <c r="G65" i="9"/>
  <c r="G64" i="9"/>
  <c r="G63" i="9"/>
  <c r="G62" i="9"/>
  <c r="G61" i="9"/>
  <c r="G60" i="9"/>
  <c r="G59" i="9"/>
  <c r="G58" i="9"/>
  <c r="G57" i="9"/>
  <c r="G56" i="9"/>
  <c r="G55" i="9"/>
  <c r="G54" i="9"/>
  <c r="G53" i="9"/>
  <c r="G52" i="9"/>
  <c r="G51" i="9"/>
  <c r="G49" i="9"/>
  <c r="G48" i="9"/>
  <c r="G47" i="9"/>
  <c r="G46" i="9"/>
  <c r="G45" i="9"/>
  <c r="G44" i="9"/>
  <c r="G43" i="9"/>
  <c r="G42" i="9"/>
  <c r="G35" i="9"/>
  <c r="G34" i="9"/>
  <c r="G33" i="9"/>
  <c r="G32" i="9"/>
  <c r="G31" i="9"/>
  <c r="G30" i="9"/>
  <c r="G29" i="9"/>
  <c r="G28" i="9"/>
  <c r="G27" i="9"/>
  <c r="G26" i="9"/>
  <c r="G25" i="9"/>
  <c r="G24" i="9"/>
  <c r="G23" i="9"/>
  <c r="G139" i="8"/>
  <c r="G137" i="8"/>
  <c r="G136" i="8"/>
  <c r="G135" i="8"/>
  <c r="G132" i="8"/>
  <c r="G131" i="8"/>
  <c r="G130" i="8"/>
  <c r="G129" i="8"/>
  <c r="G128" i="8"/>
  <c r="G125" i="8"/>
  <c r="G124" i="8"/>
  <c r="G123" i="8"/>
  <c r="G122" i="8"/>
  <c r="G121" i="8"/>
  <c r="G120" i="8"/>
  <c r="G119" i="8"/>
  <c r="G118" i="8"/>
  <c r="G117" i="8"/>
  <c r="G116" i="8"/>
  <c r="G113" i="8"/>
  <c r="G112" i="8"/>
  <c r="G111" i="8"/>
  <c r="G110" i="8"/>
  <c r="G109" i="8"/>
  <c r="G108" i="8"/>
  <c r="G107" i="8"/>
  <c r="G106" i="8"/>
  <c r="G105" i="8"/>
  <c r="G104" i="8"/>
  <c r="G103" i="8"/>
  <c r="G102" i="8"/>
  <c r="G101" i="8"/>
  <c r="G100" i="8"/>
  <c r="G97" i="8"/>
  <c r="G96" i="8"/>
  <c r="G95" i="8"/>
  <c r="G94" i="8"/>
  <c r="G90" i="8"/>
  <c r="G89" i="8"/>
  <c r="G88" i="8"/>
  <c r="G87" i="8"/>
  <c r="G86" i="8"/>
  <c r="G84" i="8"/>
  <c r="G83" i="8"/>
  <c r="G82" i="8"/>
  <c r="G81" i="8"/>
  <c r="G67" i="8"/>
  <c r="G66" i="8"/>
  <c r="G65" i="8"/>
  <c r="G64" i="8"/>
  <c r="G63" i="8"/>
  <c r="G62" i="8"/>
  <c r="G61" i="8"/>
  <c r="G60" i="8"/>
  <c r="G59" i="8"/>
  <c r="G58" i="8"/>
  <c r="G57" i="8"/>
  <c r="G56" i="8"/>
  <c r="G55" i="8"/>
  <c r="G54" i="8"/>
  <c r="G53" i="8"/>
  <c r="G52" i="8"/>
  <c r="G51" i="8"/>
  <c r="G49" i="8"/>
  <c r="G48" i="8"/>
  <c r="G47" i="8"/>
  <c r="G46" i="8"/>
  <c r="G45" i="8"/>
  <c r="G44" i="8"/>
  <c r="G43" i="8"/>
  <c r="G42" i="8"/>
  <c r="G35" i="8"/>
  <c r="G34" i="8"/>
  <c r="G33" i="8"/>
  <c r="G32" i="8"/>
  <c r="G31" i="8"/>
  <c r="G30" i="8"/>
  <c r="G29" i="8"/>
  <c r="G28" i="8"/>
  <c r="G27" i="8"/>
  <c r="G26" i="8"/>
  <c r="G25" i="8"/>
  <c r="G24" i="8"/>
  <c r="G23" i="8"/>
  <c r="G159" i="7"/>
  <c r="G157" i="7"/>
  <c r="G156" i="7"/>
  <c r="G155" i="7"/>
  <c r="G152" i="7"/>
  <c r="G151" i="7"/>
  <c r="G150" i="7"/>
  <c r="G149" i="7"/>
  <c r="G148" i="7"/>
  <c r="G147" i="7"/>
  <c r="G146" i="7"/>
  <c r="G144" i="7"/>
  <c r="G143" i="7"/>
  <c r="G142" i="7"/>
  <c r="G141" i="7"/>
  <c r="G140" i="7"/>
  <c r="G139" i="7"/>
  <c r="G138" i="7"/>
  <c r="G137" i="7"/>
  <c r="G135" i="7"/>
  <c r="G134" i="7"/>
  <c r="G133" i="7"/>
  <c r="G132" i="7"/>
  <c r="G131" i="7"/>
  <c r="G130" i="7"/>
  <c r="G129" i="7"/>
  <c r="G128" i="7"/>
  <c r="G127" i="7"/>
  <c r="G123" i="7"/>
  <c r="G122" i="7"/>
  <c r="G121" i="7"/>
  <c r="G120" i="7"/>
  <c r="G119" i="7"/>
  <c r="G118" i="7"/>
  <c r="G117" i="7"/>
  <c r="G116" i="7"/>
  <c r="G115" i="7"/>
  <c r="G114" i="7"/>
  <c r="G110" i="7"/>
  <c r="G109" i="7"/>
  <c r="G108" i="7"/>
  <c r="G107" i="7"/>
  <c r="G106" i="7"/>
  <c r="G105" i="7"/>
  <c r="G104" i="7"/>
  <c r="G103" i="7"/>
  <c r="G102" i="7"/>
  <c r="G101" i="7"/>
  <c r="G100" i="7"/>
  <c r="G99" i="7"/>
  <c r="G98" i="7"/>
  <c r="G97" i="7"/>
  <c r="G94" i="7"/>
  <c r="G90" i="7"/>
  <c r="G89" i="7"/>
  <c r="G88" i="7"/>
  <c r="G87" i="7"/>
  <c r="G86" i="7"/>
  <c r="G84" i="7"/>
  <c r="G83" i="7"/>
  <c r="G82" i="7"/>
  <c r="G81" i="7"/>
  <c r="G67" i="7"/>
  <c r="G66" i="7"/>
  <c r="G65" i="7"/>
  <c r="G64" i="7"/>
  <c r="G63" i="7"/>
  <c r="G62" i="7"/>
  <c r="G61" i="7"/>
  <c r="G60" i="7"/>
  <c r="G59" i="7"/>
  <c r="G58" i="7"/>
  <c r="G57" i="7"/>
  <c r="G56" i="7"/>
  <c r="G55" i="7"/>
  <c r="G54" i="7"/>
  <c r="G53" i="7"/>
  <c r="G52" i="7"/>
  <c r="G51" i="7"/>
  <c r="G49" i="7"/>
  <c r="G48" i="7"/>
  <c r="G47" i="7"/>
  <c r="G46" i="7"/>
  <c r="G45" i="7"/>
  <c r="G44" i="7"/>
  <c r="G43" i="7"/>
  <c r="G42" i="7"/>
  <c r="G35" i="7"/>
  <c r="G34" i="7"/>
  <c r="G33" i="7"/>
  <c r="G32" i="7"/>
  <c r="G31" i="7"/>
  <c r="G30" i="7"/>
  <c r="G29" i="7"/>
  <c r="G28" i="7"/>
  <c r="G27" i="7"/>
  <c r="G26" i="7"/>
  <c r="G25" i="7"/>
  <c r="G24" i="7"/>
  <c r="G23" i="7"/>
  <c r="G121" i="6"/>
  <c r="G119" i="6"/>
  <c r="G118" i="6"/>
  <c r="G117" i="6"/>
  <c r="G115" i="6"/>
  <c r="G114" i="6"/>
  <c r="G113" i="6"/>
  <c r="G110" i="6"/>
  <c r="G109" i="6"/>
  <c r="G108" i="6"/>
  <c r="G107" i="6"/>
  <c r="G106" i="6"/>
  <c r="G103" i="6"/>
  <c r="G102" i="6"/>
  <c r="G101" i="6"/>
  <c r="G100" i="6"/>
  <c r="G99" i="6"/>
  <c r="G98" i="6"/>
  <c r="G97" i="6"/>
  <c r="G96" i="6"/>
  <c r="G95" i="6"/>
  <c r="G94" i="6"/>
  <c r="G90" i="6"/>
  <c r="G89" i="6"/>
  <c r="G88" i="6"/>
  <c r="G87" i="6"/>
  <c r="G86" i="6"/>
  <c r="G84" i="6"/>
  <c r="G83" i="6"/>
  <c r="G82" i="6"/>
  <c r="G81" i="6"/>
  <c r="G67" i="6"/>
  <c r="G66" i="6"/>
  <c r="G65" i="6"/>
  <c r="G64" i="6"/>
  <c r="G63" i="6"/>
  <c r="G62" i="6"/>
  <c r="G61" i="6"/>
  <c r="G60" i="6"/>
  <c r="G59" i="6"/>
  <c r="G58" i="6"/>
  <c r="G57" i="6"/>
  <c r="G56" i="6"/>
  <c r="G55" i="6"/>
  <c r="G54" i="6"/>
  <c r="G53" i="6"/>
  <c r="G52" i="6"/>
  <c r="G51" i="6"/>
  <c r="G49" i="6"/>
  <c r="G48" i="6"/>
  <c r="G47" i="6"/>
  <c r="G46" i="6"/>
  <c r="G45" i="6"/>
  <c r="G44" i="6"/>
  <c r="G43" i="6"/>
  <c r="G42" i="6"/>
  <c r="G35" i="6"/>
  <c r="G34" i="6"/>
  <c r="G33" i="6"/>
  <c r="G32" i="6"/>
  <c r="G31" i="6"/>
  <c r="G30" i="6"/>
  <c r="G29" i="6"/>
  <c r="G28" i="6"/>
  <c r="G27" i="6"/>
  <c r="G26" i="6"/>
  <c r="G25" i="6"/>
  <c r="G24" i="6"/>
  <c r="G23" i="6"/>
  <c r="G188" i="5"/>
  <c r="G186" i="5"/>
  <c r="G185" i="5"/>
  <c r="G184" i="5"/>
  <c r="G182" i="5"/>
  <c r="G181" i="5"/>
  <c r="G180" i="5"/>
  <c r="G177" i="5"/>
  <c r="G176" i="5"/>
  <c r="G175" i="5"/>
  <c r="G174" i="5"/>
  <c r="G173" i="5"/>
  <c r="G172" i="5"/>
  <c r="G171" i="5"/>
  <c r="G169" i="5"/>
  <c r="G168" i="5"/>
  <c r="G167" i="5"/>
  <c r="G166" i="5"/>
  <c r="G165" i="5"/>
  <c r="G163" i="5"/>
  <c r="G162" i="5"/>
  <c r="G161" i="5"/>
  <c r="G160" i="5"/>
  <c r="G159" i="5"/>
  <c r="G158" i="5"/>
  <c r="G156" i="5"/>
  <c r="G155" i="5"/>
  <c r="G154" i="5"/>
  <c r="G153" i="5"/>
  <c r="G152" i="5"/>
  <c r="G151" i="5"/>
  <c r="G150" i="5"/>
  <c r="G149" i="5"/>
  <c r="G146" i="5"/>
  <c r="G145" i="5"/>
  <c r="G144" i="5"/>
  <c r="G143" i="5"/>
  <c r="G142" i="5"/>
  <c r="G141" i="5"/>
  <c r="G140" i="5"/>
  <c r="G139" i="5"/>
  <c r="G138" i="5"/>
  <c r="G136" i="5"/>
  <c r="G135" i="5"/>
  <c r="G134" i="5"/>
  <c r="G133" i="5"/>
  <c r="G132" i="5"/>
  <c r="G131" i="5"/>
  <c r="G130" i="5"/>
  <c r="G129" i="5"/>
  <c r="G128" i="5"/>
  <c r="G127" i="5"/>
  <c r="G124" i="5"/>
  <c r="G123" i="5"/>
  <c r="G122" i="5"/>
  <c r="G121" i="5"/>
  <c r="G120" i="5"/>
  <c r="G119" i="5"/>
  <c r="G118" i="5"/>
  <c r="G117" i="5"/>
  <c r="G116" i="5"/>
  <c r="G115" i="5"/>
  <c r="G114" i="5"/>
  <c r="G113" i="5"/>
  <c r="G112" i="5"/>
  <c r="G111" i="5"/>
  <c r="G110" i="5"/>
  <c r="G107" i="5"/>
  <c r="G106" i="5"/>
  <c r="G105" i="5"/>
  <c r="G104" i="5"/>
  <c r="G103" i="5"/>
  <c r="G102" i="5"/>
  <c r="G101" i="5"/>
  <c r="G98" i="5"/>
  <c r="G94" i="5"/>
  <c r="G93" i="5"/>
  <c r="G92" i="5"/>
  <c r="G91" i="5"/>
  <c r="G90" i="5"/>
  <c r="G88" i="5"/>
  <c r="G87" i="5"/>
  <c r="G86" i="5"/>
  <c r="G85" i="5"/>
  <c r="G84" i="5"/>
  <c r="G83" i="5"/>
  <c r="G69" i="5"/>
  <c r="G68" i="5"/>
  <c r="G67" i="5"/>
  <c r="G66" i="5"/>
  <c r="G65" i="5"/>
  <c r="G64" i="5"/>
  <c r="G62" i="5"/>
  <c r="G61" i="5"/>
  <c r="G60" i="5"/>
  <c r="G59" i="5"/>
  <c r="G58" i="5"/>
  <c r="G57" i="5"/>
  <c r="G56" i="5"/>
  <c r="G55" i="5"/>
  <c r="G54" i="5"/>
  <c r="G53" i="5"/>
  <c r="G52" i="5"/>
  <c r="G51" i="5"/>
  <c r="G49" i="5"/>
  <c r="G48" i="5"/>
  <c r="G47" i="5"/>
  <c r="G46" i="5"/>
  <c r="G45" i="5"/>
  <c r="G44" i="5"/>
  <c r="G43" i="5"/>
  <c r="G42" i="5"/>
  <c r="G35" i="5"/>
  <c r="G34" i="5"/>
  <c r="G33" i="5"/>
  <c r="G32" i="5"/>
  <c r="G31" i="5"/>
  <c r="G30" i="5"/>
  <c r="G29" i="5"/>
  <c r="G28" i="5"/>
  <c r="G27" i="5"/>
  <c r="G26" i="5"/>
  <c r="G25" i="5"/>
  <c r="G24" i="5"/>
  <c r="G23" i="5"/>
  <c r="G156" i="4"/>
  <c r="G154" i="4"/>
  <c r="G153" i="4"/>
  <c r="G152" i="4"/>
  <c r="G149" i="4"/>
  <c r="G148" i="4"/>
  <c r="G147" i="4"/>
  <c r="G146" i="4"/>
  <c r="G145" i="4"/>
  <c r="G144" i="4"/>
  <c r="G143" i="4"/>
  <c r="G141" i="4"/>
  <c r="G140" i="4"/>
  <c r="G139" i="4"/>
  <c r="G138" i="4"/>
  <c r="G137" i="4"/>
  <c r="G136" i="4"/>
  <c r="G135" i="4"/>
  <c r="G132" i="4"/>
  <c r="G131" i="4"/>
  <c r="G130" i="4"/>
  <c r="G129" i="4"/>
  <c r="G128" i="4"/>
  <c r="G127" i="4"/>
  <c r="G126" i="4"/>
  <c r="G125" i="4"/>
  <c r="G124" i="4"/>
  <c r="G123" i="4"/>
  <c r="G120" i="4"/>
  <c r="G119" i="4"/>
  <c r="G118" i="4"/>
  <c r="G117" i="4"/>
  <c r="G116" i="4"/>
  <c r="G115" i="4"/>
  <c r="G114" i="4"/>
  <c r="G113" i="4"/>
  <c r="G112" i="4"/>
  <c r="G111" i="4"/>
  <c r="G110" i="4"/>
  <c r="G109" i="4"/>
  <c r="G108" i="4"/>
  <c r="G107" i="4"/>
  <c r="G106" i="4"/>
  <c r="G103" i="4"/>
  <c r="G102" i="4"/>
  <c r="G101" i="4"/>
  <c r="G100" i="4"/>
  <c r="G99" i="4"/>
  <c r="G98" i="4"/>
  <c r="G97" i="4"/>
  <c r="G94" i="4"/>
  <c r="G90" i="4"/>
  <c r="G89" i="4"/>
  <c r="G88" i="4"/>
  <c r="G87" i="4"/>
  <c r="G86" i="4"/>
  <c r="G84" i="4"/>
  <c r="G83" i="4"/>
  <c r="G82" i="4"/>
  <c r="G81" i="4"/>
  <c r="G67" i="4"/>
  <c r="G66" i="4"/>
  <c r="G65" i="4"/>
  <c r="G64" i="4"/>
  <c r="G63" i="4"/>
  <c r="G62" i="4"/>
  <c r="G61" i="4"/>
  <c r="G60" i="4"/>
  <c r="G59" i="4"/>
  <c r="G58" i="4"/>
  <c r="G57" i="4"/>
  <c r="G56" i="4"/>
  <c r="G55" i="4"/>
  <c r="G54" i="4"/>
  <c r="G53" i="4"/>
  <c r="G52" i="4"/>
  <c r="G51" i="4"/>
  <c r="G49" i="4"/>
  <c r="G48" i="4"/>
  <c r="G47" i="4"/>
  <c r="G46" i="4"/>
  <c r="G45" i="4"/>
  <c r="G44" i="4"/>
  <c r="G43" i="4"/>
  <c r="G42" i="4"/>
  <c r="G35" i="4"/>
  <c r="G34" i="4"/>
  <c r="G33" i="4"/>
  <c r="G32" i="4"/>
  <c r="G31" i="4"/>
  <c r="G30" i="4"/>
  <c r="G29" i="4"/>
  <c r="G28" i="4"/>
  <c r="G27" i="4"/>
  <c r="G26" i="4"/>
  <c r="G25" i="4"/>
  <c r="G24" i="4"/>
  <c r="G23" i="4"/>
  <c r="G16" i="18" l="1"/>
  <c r="G25" i="18" s="1"/>
  <c r="G25" i="72" s="1"/>
  <c r="G26" i="72" s="1"/>
  <c r="G36" i="5"/>
  <c r="G157" i="10"/>
  <c r="G36" i="6"/>
  <c r="G14" i="6" s="1"/>
  <c r="G70" i="5"/>
  <c r="G15" i="5" s="1"/>
  <c r="G36" i="4"/>
  <c r="G14" i="4" s="1"/>
  <c r="G122" i="6"/>
  <c r="G16" i="6" s="1"/>
  <c r="G14" i="5"/>
  <c r="G189" i="5"/>
  <c r="G16" i="5" s="1"/>
  <c r="G140" i="8"/>
  <c r="G16" i="8" s="1"/>
  <c r="G36" i="7"/>
  <c r="G14" i="7" s="1"/>
  <c r="G68" i="4"/>
  <c r="G15" i="4" s="1"/>
  <c r="G36" i="8"/>
  <c r="G14" i="8" s="1"/>
  <c r="G68" i="9"/>
  <c r="G15" i="9" s="1"/>
  <c r="G16" i="10"/>
  <c r="G68" i="11"/>
  <c r="G15" i="11" s="1"/>
  <c r="G36" i="9"/>
  <c r="G14" i="9" s="1"/>
  <c r="G155" i="9"/>
  <c r="G16" i="9" s="1"/>
  <c r="G36" i="11"/>
  <c r="G14" i="11" s="1"/>
  <c r="G177" i="11"/>
  <c r="G16" i="11" s="1"/>
  <c r="G157" i="4"/>
  <c r="G16" i="4" s="1"/>
  <c r="G68" i="7"/>
  <c r="G15" i="7" s="1"/>
  <c r="G68" i="8"/>
  <c r="G15" i="8" s="1"/>
  <c r="G36" i="10"/>
  <c r="G14" i="10" s="1"/>
  <c r="G68" i="6"/>
  <c r="G15" i="6" s="1"/>
  <c r="G160" i="7"/>
  <c r="G16" i="7" s="1"/>
  <c r="G68" i="10"/>
  <c r="G15" i="10" s="1"/>
  <c r="G26" i="18" l="1"/>
  <c r="G17" i="11"/>
  <c r="G22" i="3" s="1"/>
  <c r="G17" i="10"/>
  <c r="G21" i="3" s="1"/>
  <c r="G17" i="9"/>
  <c r="G20" i="3" s="1"/>
  <c r="G17" i="8"/>
  <c r="G19" i="3" s="1"/>
  <c r="G17" i="7"/>
  <c r="G18" i="3" s="1"/>
  <c r="G17" i="6"/>
  <c r="G17" i="3" s="1"/>
  <c r="G17" i="5"/>
  <c r="G16" i="3" s="1"/>
  <c r="G17" i="4"/>
  <c r="G15" i="3" s="1"/>
  <c r="G23" i="3" l="1"/>
  <c r="G13" i="72" s="1"/>
  <c r="G18" i="16" l="1"/>
  <c r="F12" i="12" s="1"/>
  <c r="G24" i="3"/>
  <c r="G30" i="72"/>
  <c r="G14" i="72"/>
  <c r="G42" i="82" l="1"/>
  <c r="G15" i="82" s="1"/>
  <c r="G17" i="82" s="1"/>
  <c r="F16" i="12" s="1"/>
  <c r="F18" i="12" s="1"/>
  <c r="F33" i="12" l="1"/>
  <c r="G20" i="72"/>
  <c r="G29" i="72" l="1"/>
  <c r="G22" i="72"/>
  <c r="G32" i="72" s="1"/>
  <c r="G39" i="72" s="1"/>
  <c r="G40" i="72" l="1"/>
  <c r="G41" i="72" s="1"/>
</calcChain>
</file>

<file path=xl/sharedStrings.xml><?xml version="1.0" encoding="utf-8"?>
<sst xmlns="http://schemas.openxmlformats.org/spreadsheetml/2006/main" count="24346" uniqueCount="2298">
  <si>
    <t xml:space="preserve">NADGRADNJA VODOVODA SISTEMA B </t>
  </si>
  <si>
    <t>V_2019.3</t>
  </si>
  <si>
    <t>Obvezni sestavni del tega ponudbenega predračuna je :</t>
  </si>
  <si>
    <t>Obrazec - SEZNAM MATERIALA IN OPREME, KI GA BO PONUDNIK VGRADIL</t>
  </si>
  <si>
    <t>Pri gradnji je potrebno upoštevati:</t>
  </si>
  <si>
    <t>Tehnični pravilnik na vodovodu sistema B (Ur.l.RS, št. 14/2018)</t>
  </si>
  <si>
    <t>SKUPNA REKAPITULACIJA</t>
  </si>
  <si>
    <t>I.</t>
  </si>
  <si>
    <t xml:space="preserve">Občina: </t>
  </si>
  <si>
    <t>Murska Sobota</t>
  </si>
  <si>
    <t>Vrednost</t>
  </si>
  <si>
    <t>1</t>
  </si>
  <si>
    <t>SB-1.21 DN110</t>
  </si>
  <si>
    <t>2</t>
  </si>
  <si>
    <t>SB-2.1 DN110; DN150</t>
  </si>
  <si>
    <t>3</t>
  </si>
  <si>
    <t>SB-2.20 DN110</t>
  </si>
  <si>
    <t>4</t>
  </si>
  <si>
    <t>SB-4.2 DN110</t>
  </si>
  <si>
    <t>5</t>
  </si>
  <si>
    <t>SB-6.1 DN150</t>
  </si>
  <si>
    <t>6</t>
  </si>
  <si>
    <t>SB-6.2 DN110</t>
  </si>
  <si>
    <t>7</t>
  </si>
  <si>
    <t>SB-6.4 DN110</t>
  </si>
  <si>
    <t>8</t>
  </si>
  <si>
    <t>SB-6.13 DN110</t>
  </si>
  <si>
    <t xml:space="preserve">Objekti SKUPAJ </t>
  </si>
  <si>
    <t>II.</t>
  </si>
  <si>
    <t>NEPREDVIDENA DELA</t>
  </si>
  <si>
    <t>III.</t>
  </si>
  <si>
    <t xml:space="preserve">Nadzor upravljavca vodovoda v času gradnje </t>
  </si>
  <si>
    <t>SKUPAJ brez DDV</t>
  </si>
  <si>
    <t>DDV 22 %</t>
  </si>
  <si>
    <t>SKUPAJ z DDV</t>
  </si>
  <si>
    <t>Občina:</t>
  </si>
  <si>
    <t>Beltinci</t>
  </si>
  <si>
    <t>Objekt:</t>
  </si>
  <si>
    <t>Obvezni sestavni del tega ponudbenega predračuna je PRILOGA PONUDBENEGA PREDRAČUNA:</t>
  </si>
  <si>
    <t>SEZNAM MATERIALA IN OPREME, KI GA BO PONUDNIK VGRADIL</t>
  </si>
  <si>
    <t>REKAPITULACIJA</t>
  </si>
  <si>
    <t>Poz.</t>
  </si>
  <si>
    <t>Opis</t>
  </si>
  <si>
    <t>A</t>
  </si>
  <si>
    <t>PRIPRAVLJALNA IN ZAKLJUČNA DELA</t>
  </si>
  <si>
    <t>B</t>
  </si>
  <si>
    <t>ZEMELJSKA IN GRADBENA DELA</t>
  </si>
  <si>
    <t>C</t>
  </si>
  <si>
    <t>MONTAŽNA DELA</t>
  </si>
  <si>
    <t xml:space="preserve">SKUPAJ </t>
  </si>
  <si>
    <t>Zap.št.</t>
  </si>
  <si>
    <t>Opis dela</t>
  </si>
  <si>
    <t>Enota mere</t>
  </si>
  <si>
    <t xml:space="preserve">Količina </t>
  </si>
  <si>
    <t xml:space="preserve">Cena na enoto </t>
  </si>
  <si>
    <t xml:space="preserve">Skupaj </t>
  </si>
  <si>
    <t>Zakoličba trase vodovoda s strani pooblaščenega geodeta in izdelava zapisnika o zakoličbi.</t>
  </si>
  <si>
    <t>m1</t>
  </si>
  <si>
    <t>Postavitev in zavarovanje prečnih profilov.</t>
  </si>
  <si>
    <t>Izvedba cestnih zapor lokalnih cest v času gradnje. V ceni zajeti vsi stroški postavitve popolnih in delnih zapor (pridobivanje soglasij, postavitev prometnih znakov, semaforizacija, ročno usmerjanje...).</t>
  </si>
  <si>
    <t>kpl</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</si>
  <si>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</si>
  <si>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komunalnih vodov ki tangirajo gradnjo vodovoda (CATV, plinovod, TK vodi, kanalizacija).</t>
  </si>
  <si>
    <t xml:space="preserve">Zakoličba obstoječega vodovoda s strani upravljavca vodovoda vzdolž trase novega vodovoda                                              </t>
  </si>
  <si>
    <t>Iskanje obstoječega vodovoda in izvedba prevezave novozgrajenega vodovoda na obstoječe vode. V kompletu vsa potrebna sondiranja z vsem potrebnim materialom.</t>
  </si>
  <si>
    <t>ur</t>
  </si>
  <si>
    <t>kom</t>
  </si>
  <si>
    <t>Izdelava PID dokumentacije izvedenih del.</t>
  </si>
  <si>
    <t>Pospravljanje in čiščenje gradbišča po končanih delih, komplet z odstranitvijo in odvozom odpadnega materiala, ter vzpostavitev v prvotno stanje.</t>
  </si>
  <si>
    <t>Začasna odstranitev in ponovna postavitev obstoječe cestne signalizacije v času gradnje (prometni znaki, označevalne in reklamne table…)</t>
  </si>
  <si>
    <t xml:space="preserve">PRIPR. IN ZAKLJ. DELA SKUPAJ: </t>
  </si>
  <si>
    <t>GRADBENA DELA</t>
  </si>
  <si>
    <t>Vsa izkopna dela in transporti izkopnih materialov se obračunajo po prostornini zemljine v raščenem stanju. Vsa razsipna dela se obračunajo po prostornini zemljine v vgrajenem stanju. Izračun količin na podlagi profilov, posnetih pred in po izkopih. V cenah posameznih postavk so zajeti vsi stroški: nabava materiala, transport, vgradnja in montaža, geomehanska spremljava in nadzor, ter izvedba mejno ugotovitvenih postopkov (ureditev meje) povsod, kjer se med gradnjo porušijo mejniki in ponovna ureditev meje s strani pooblaščenega geodeta.</t>
  </si>
  <si>
    <t>Površinski izkop plodne zemljine – strojno z odrivom do 50m.</t>
  </si>
  <si>
    <t>m3</t>
  </si>
  <si>
    <t>ROČNI izkop vezljive zemljine/zrnate kamnine – 3.kategorije za  kanalske rove  širine do 1,0m in globine 1,1 do 2,0m.</t>
  </si>
  <si>
    <t>STROJNI izkop vezljive zemljine/zrnate kamnine – 3.kategorije za  kanalske rove  širine do 1,0m in globine 1,1 do 2,0m.</t>
  </si>
  <si>
    <t>Dvostransko razpiranje sten izkopanega kanalskega rova (A = dolžina x globina rova)</t>
  </si>
  <si>
    <t>m2</t>
  </si>
  <si>
    <t>ROČNO PLANIRANJE dna kanala - ureditev planuma temeljnih tal vezljive zemljine – 3. kategorije</t>
  </si>
  <si>
    <t xml:space="preserve">Dobava in vgrajevanje peska granulacije 0-4mm (okrogla zrnca) za posteljico ob cevi in nad cevmi. </t>
  </si>
  <si>
    <t>ZASIP KANALA z zrnato kamnino – 3.kategorije z dobavo iz gramoznice in s komprimiranje po plasteh           - do kote tampona (60 Mpa) ali humusa.</t>
  </si>
  <si>
    <t>Dobava in vgrajevanje tamponskega drobljenca TD32 v debelini min 40 cm, komprimiranje do zbitosti 100 Mpa        - vozišče.</t>
  </si>
  <si>
    <t xml:space="preserve">Rušenje in ponovna naprava propustov, komplet z vsemi potrebnimi deli (skupaj z dobavo in vgradnjo ter potrebnim podložnim betonom in vtočno in iztočno glavo). </t>
  </si>
  <si>
    <t>Ø30 - Ø50 cm</t>
  </si>
  <si>
    <t>Rezanje asfaltne plasti s talno diamantno žago, debele do 10 cm.</t>
  </si>
  <si>
    <t>Rušitev in odstranitev asfaltne plasti v debelini do 10 cm.</t>
  </si>
  <si>
    <t>Priprava terena za asfaltiranje: izkop gramoza v deb. 10 cm, z nakladanjem in odvozom na deponijo razdalje do 5 km, planiranje in končno valjanje pred asfaltiranjem.</t>
  </si>
  <si>
    <t xml:space="preserve">Izdelava nosilne plasti bituminizirane zmesi AC 22 base B 50/70 A3 v debelini 6 cm, vključno s čiščenjem in premazom stikov z bitumensko emulzijo                             - vozišče LC in RC. </t>
  </si>
  <si>
    <t>Izdelava obrabne in zaporne plasti bituminizirane zmesi AC 8 surf B 50/70 A4 v debelini 4 cm, vključno s čiščenjem in premazom stikov z bitumensko emulzijo ter pobrizg očiščenega asfalta z bitumensko emulzijo 0,5 kg/m2  - vozišče LC in RC.</t>
  </si>
  <si>
    <t>Rezkanje obstoječega asfalta v širini min 40 cm in deb. 3-4 cm za napravo vzdolžnega stika, vključno z odvozom materiala.</t>
  </si>
  <si>
    <t>Razprostiranje odvečne plodne zemljine – 1. kategorije na ustrezni deponiji.</t>
  </si>
  <si>
    <t>Prevoz materiala na ustrezno registrirano deponijo do 10 km.</t>
  </si>
  <si>
    <t>Razplaniranje odvečne zemljine na ustrezni deponiji.</t>
  </si>
  <si>
    <t xml:space="preserve">Odlaganje odpadnega asfalta z odvozom na urejeno registrirano deponijo do 10 km. </t>
  </si>
  <si>
    <t>Izdelava bankine iz drobljenca, široke 0,51 do 0,75 m, poprečne debeline 10 cm.</t>
  </si>
  <si>
    <t>Rušenje in ponovna naprava cestnih robnikov, komplet z vsemi potrebnimi deli</t>
  </si>
  <si>
    <t xml:space="preserve">Betoniranje sidrnih blokov v C 25/30 velikosti do 0,30 m3/kom skupaj z dobavo betona
</t>
  </si>
  <si>
    <t>Obbetoniranje cestnih kap C16/30 v obsegu 15cm okoli cestne kape in v njeni celotni višini</t>
  </si>
  <si>
    <t>Dobava in vgradnja frakcije 16/32 za drenažo zračnikov, izpustov in hidrantov, komplet z vsemi deli.</t>
  </si>
  <si>
    <t>Črpanje podtalne vode v času gradnje, komplet z vsemi pomožnimi deli.</t>
  </si>
  <si>
    <t>GRADBENA DELA SKUPAJ:</t>
  </si>
  <si>
    <t xml:space="preserve">MONTAŽNA DELA </t>
  </si>
  <si>
    <t>V cenah posameznih postavk so zajeti vsi stroški: nabava materiala, transport, vgradnja in montaža. 
Matice in vijaki iz nerjavečega jekla kvalitetete A2 (AISI 304) ali A4 (AISI 316)</t>
  </si>
  <si>
    <r>
      <t xml:space="preserve">Pri NL ceveh se upošteva izvedba </t>
    </r>
    <r>
      <rPr>
        <b/>
        <sz val="10"/>
        <rFont val="Arial"/>
        <family val="2"/>
        <charset val="238"/>
      </rPr>
      <t>30% dolžine</t>
    </r>
    <r>
      <rPr>
        <sz val="10"/>
        <rFont val="Arial"/>
        <family val="2"/>
        <charset val="238"/>
      </rPr>
      <t xml:space="preserve"> z NL cevmi s sidrnimi rastavljivimi spoji.</t>
    </r>
  </si>
  <si>
    <r>
      <t xml:space="preserve">Pri PE ceveh se upošteva izvedba </t>
    </r>
    <r>
      <rPr>
        <b/>
        <sz val="10"/>
        <rFont val="Arial"/>
        <family val="2"/>
        <charset val="238"/>
      </rPr>
      <t>10% dolžine</t>
    </r>
    <r>
      <rPr>
        <sz val="10"/>
        <rFont val="Arial"/>
        <family val="2"/>
        <charset val="238"/>
      </rPr>
      <t xml:space="preserve"> z PE cevmi z dodanim aluminijastim slojem</t>
    </r>
  </si>
  <si>
    <t>Dobava in montaža vodovodnih cevi, skupaj s spojnim, veznim in tesnilnim materialom:</t>
  </si>
  <si>
    <r>
      <t xml:space="preserve">PE 100 PN 16 </t>
    </r>
    <r>
      <rPr>
        <sz val="9"/>
        <rFont val="Arial"/>
        <family val="2"/>
        <charset val="238"/>
      </rPr>
      <t>Ø</t>
    </r>
    <r>
      <rPr>
        <sz val="9"/>
        <color indexed="8"/>
        <rFont val="Arial"/>
        <family val="2"/>
        <charset val="238"/>
      </rPr>
      <t>110 RC PROTECT SDR11 PN16</t>
    </r>
  </si>
  <si>
    <r>
      <t xml:space="preserve">PE 100 PN 16 </t>
    </r>
    <r>
      <rPr>
        <sz val="9"/>
        <rFont val="Arial"/>
        <family val="2"/>
        <charset val="238"/>
      </rPr>
      <t>Ø</t>
    </r>
    <r>
      <rPr>
        <sz val="9"/>
        <color indexed="8"/>
        <rFont val="Arial"/>
        <family val="2"/>
        <charset val="238"/>
      </rPr>
      <t>110 RC PROTECT SDR11 PN16                 z dodanim aluminijastim slojem</t>
    </r>
  </si>
  <si>
    <r>
      <t xml:space="preserve">PE 100 PN 16 </t>
    </r>
    <r>
      <rPr>
        <sz val="9"/>
        <rFont val="Arial"/>
        <family val="2"/>
        <charset val="238"/>
      </rPr>
      <t>Ø</t>
    </r>
    <r>
      <rPr>
        <sz val="9"/>
        <color indexed="8"/>
        <rFont val="Arial"/>
        <family val="2"/>
        <charset val="238"/>
      </rPr>
      <t>32 RC PROTECT SDR11</t>
    </r>
  </si>
  <si>
    <r>
      <t xml:space="preserve">PE 100 PN 16 </t>
    </r>
    <r>
      <rPr>
        <sz val="9"/>
        <rFont val="Arial"/>
        <family val="2"/>
        <charset val="238"/>
      </rPr>
      <t>Ø</t>
    </r>
    <r>
      <rPr>
        <sz val="9"/>
        <color indexed="8"/>
        <rFont val="Arial"/>
        <family val="2"/>
        <charset val="238"/>
      </rPr>
      <t>32 RC PROTECT SDR11 PN16           z dodanim aluminijastim slojem</t>
    </r>
  </si>
  <si>
    <t>1.1</t>
  </si>
  <si>
    <t>Dobava in polaganje zaščitnih cevi za zaščito vodovoda na križanjih z drugimi komunalnimi vodi, v ceno zajeti vsa  potrebna dela</t>
  </si>
  <si>
    <r>
      <t xml:space="preserve">zaščitna rebrasta cev </t>
    </r>
    <r>
      <rPr>
        <sz val="9"/>
        <rFont val="Calibri"/>
        <family val="2"/>
        <charset val="238"/>
      </rPr>
      <t>Ø</t>
    </r>
    <r>
      <rPr>
        <sz val="9"/>
        <rFont val="Arial"/>
        <family val="2"/>
        <charset val="238"/>
      </rPr>
      <t>160 za PE Ø90 - Ø125</t>
    </r>
  </si>
  <si>
    <t>Dobava in polaganje opozorilnega traku  iz trdega PE, debeline 0,15mm, širine 40mm s ponavljajočim črnim napisom POZOR VODOVOD.</t>
  </si>
  <si>
    <t>2.1</t>
  </si>
  <si>
    <t>Tlačni preizkus izvedega cevovoda in izdelava poročila po SIST EN805 s strani akreditirene institucije.</t>
  </si>
  <si>
    <t>2.2</t>
  </si>
  <si>
    <t>Dezinfekcija in izpiranje cevovoda po izvršenem tlačnem preizkusu.</t>
  </si>
  <si>
    <t>2.3</t>
  </si>
  <si>
    <t>Odvzem vzorca vode po dezinfekciji in izpiranju z pridobitvijo Poročila o zdravstveni ustreznosti s strani pooblaščene institucije.</t>
  </si>
  <si>
    <t>Dobava in montaža fazonskih kosov skupaj s spojnim, veznim in tesnilnim materialom</t>
  </si>
  <si>
    <t>3.1</t>
  </si>
  <si>
    <t>LOMI NA CEVOVODU</t>
  </si>
  <si>
    <t>lomi na cevovodu PE Ø110</t>
  </si>
  <si>
    <t>lok elektrovarilni 90°  Ø110 SDR 11 PN16</t>
  </si>
  <si>
    <t>3.2</t>
  </si>
  <si>
    <t>ZRAČNIKI</t>
  </si>
  <si>
    <r>
      <t xml:space="preserve">PODZEMNI ZRAČNIK na PE </t>
    </r>
    <r>
      <rPr>
        <b/>
        <sz val="9"/>
        <rFont val="Calibri"/>
        <family val="2"/>
        <charset val="238"/>
      </rPr>
      <t>Ø</t>
    </r>
    <r>
      <rPr>
        <b/>
        <sz val="9"/>
        <rFont val="Arial"/>
        <family val="2"/>
        <charset val="238"/>
      </rPr>
      <t>110</t>
    </r>
  </si>
  <si>
    <t>MMB DN 100/80 bajonetni</t>
  </si>
  <si>
    <t>PODZEMNI ZRAČNIK DN80 bajonetni, RD=1,00m komplet z drenažnim elementom in vertikalnim sidrnim varovalom z gumi manžeto.</t>
  </si>
  <si>
    <t>SM-kos DN80-K bajonetni</t>
  </si>
  <si>
    <t xml:space="preserve">PE prehodni kos DN110/100 s sidrno objemko </t>
  </si>
  <si>
    <r>
      <t xml:space="preserve">PE elektrfuz. obojka  </t>
    </r>
    <r>
      <rPr>
        <sz val="9"/>
        <color indexed="8"/>
        <rFont val="Calibri"/>
        <family val="2"/>
        <charset val="238"/>
      </rPr>
      <t>Ø110</t>
    </r>
    <r>
      <rPr>
        <sz val="9"/>
        <color indexed="8"/>
        <rFont val="Arial"/>
        <family val="2"/>
        <charset val="238"/>
      </rPr>
      <t xml:space="preserve"> SDR11 PN16</t>
    </r>
  </si>
  <si>
    <t>cestna kapa za zračnik + podložna plošča</t>
  </si>
  <si>
    <r>
      <t xml:space="preserve">ozn. tablica + poc.steber </t>
    </r>
    <r>
      <rPr>
        <sz val="9"/>
        <color indexed="8"/>
        <rFont val="Calibri"/>
        <family val="2"/>
        <charset val="238"/>
      </rPr>
      <t>Ø</t>
    </r>
    <r>
      <rPr>
        <sz val="9"/>
        <color indexed="8"/>
        <rFont val="Arial"/>
        <family val="2"/>
        <charset val="238"/>
      </rPr>
      <t>48 + poc.sidro stebra</t>
    </r>
  </si>
  <si>
    <t>3.3</t>
  </si>
  <si>
    <t>IZPUSTI</t>
  </si>
  <si>
    <t>IZPUST na PE Ø110</t>
  </si>
  <si>
    <t>ZASUN HSM DN100 bajonetni + tel.vgradna,grt.</t>
  </si>
  <si>
    <t xml:space="preserve">PODZEMNI HIDRANT DN80, RD=1,00m </t>
  </si>
  <si>
    <t>S-kos DN80-L bajonetni</t>
  </si>
  <si>
    <t>MMQ DN80 bajonetni</t>
  </si>
  <si>
    <t>S-kos DN80-K bajonetni</t>
  </si>
  <si>
    <t>ZASUN HSM DN80 bajonetni</t>
  </si>
  <si>
    <t>SM-kos DN80-M bajonetni</t>
  </si>
  <si>
    <t>EN-kos DN80 bajonetni</t>
  </si>
  <si>
    <t>FF DN80/200</t>
  </si>
  <si>
    <r>
      <t xml:space="preserve">PE elektrfuz. obojka  </t>
    </r>
    <r>
      <rPr>
        <sz val="9"/>
        <color indexed="8"/>
        <rFont val="Calibri"/>
        <family val="2"/>
        <charset val="238"/>
      </rPr>
      <t>Ø</t>
    </r>
    <r>
      <rPr>
        <sz val="9"/>
        <color indexed="8"/>
        <rFont val="Arial"/>
        <family val="2"/>
        <charset val="238"/>
      </rPr>
      <t>110 SDR11 PN16</t>
    </r>
  </si>
  <si>
    <t>cestna kapa za izpust + podložna plošča</t>
  </si>
  <si>
    <t>cestna kapa za zasun + podložna plošča</t>
  </si>
  <si>
    <t>3.4</t>
  </si>
  <si>
    <t>NADZEMNI HIDRANTI</t>
  </si>
  <si>
    <t>NADZEMNI HIDRANT na PE Ø110</t>
  </si>
  <si>
    <t>NADZEMNII HIDRANT-nelomljivi DN 80,  RD=1,00m,                        (SPOJKE 2xC+1xB)</t>
  </si>
  <si>
    <t>ZASUN HSM DN80 bajonetni + tel.vgradna,grt.</t>
  </si>
  <si>
    <t>S-kos DN 80-L bajonetni</t>
  </si>
  <si>
    <t>EN kos DN80 bajonetni</t>
  </si>
  <si>
    <t>FF kos DN80/200</t>
  </si>
  <si>
    <t>3.5</t>
  </si>
  <si>
    <t>VOZLIŠČA - ODCEPI</t>
  </si>
  <si>
    <t>VOZLIŠČE na PE Ø225 - ODCEP  PE Ø110</t>
  </si>
  <si>
    <t xml:space="preserve">PE prehodni kos DN225/200 s sidrno objemko </t>
  </si>
  <si>
    <r>
      <t xml:space="preserve">PE elektrfuz. obojka  </t>
    </r>
    <r>
      <rPr>
        <sz val="9"/>
        <color indexed="8"/>
        <rFont val="Calibri"/>
        <family val="2"/>
        <charset val="238"/>
      </rPr>
      <t>Ø225</t>
    </r>
    <r>
      <rPr>
        <sz val="9"/>
        <color indexed="8"/>
        <rFont val="Arial"/>
        <family val="2"/>
        <charset val="238"/>
      </rPr>
      <t xml:space="preserve"> SDR11 PN16</t>
    </r>
  </si>
  <si>
    <t>VOZLIŠČE na PE Ø110 - ODCEP  PE Ø90</t>
  </si>
  <si>
    <t>MMB z int.zasunom DN 100/80 bajonetni</t>
  </si>
  <si>
    <t xml:space="preserve">PE prehodni kos DN90/80 s sidrno objemko </t>
  </si>
  <si>
    <r>
      <t xml:space="preserve">PE elektrfuz. obojka  </t>
    </r>
    <r>
      <rPr>
        <sz val="9"/>
        <color indexed="8"/>
        <rFont val="Calibri"/>
        <family val="2"/>
        <charset val="238"/>
      </rPr>
      <t>Ø</t>
    </r>
    <r>
      <rPr>
        <sz val="9"/>
        <color indexed="8"/>
        <rFont val="Arial"/>
        <family val="2"/>
        <charset val="238"/>
      </rPr>
      <t>90 SDR11 PN16</t>
    </r>
  </si>
  <si>
    <t>3.6</t>
  </si>
  <si>
    <t>PRIKLJUČKI</t>
  </si>
  <si>
    <t>PRIKLJUČEK PE Ø32 na PE Ø110</t>
  </si>
  <si>
    <t>cestna kapa za navrt.zasun + podložna plošča</t>
  </si>
  <si>
    <t>3.7</t>
  </si>
  <si>
    <t>VODOMERNI JAŠKI</t>
  </si>
  <si>
    <t>Vodomerni jašek iz PE materiala, okrogle oblike, minimalni notranji svetli premer (DN) 600mm, minimalne višine 1000mm, pokrov iz umetne mase, komplet z REDUCIRNIM VENTILOM DN20-z manometrom in volumetričnim vodomerom DN20.</t>
  </si>
  <si>
    <t>MONTAŽNA DELA SKUPAJ:</t>
  </si>
  <si>
    <t xml:space="preserve">ROČNI izkop vezljive zemljine/zrnate kamnine – 3.kategorije za  kanalske rove  širine do 1,0m in globine 1,1 do 2,0m. </t>
  </si>
  <si>
    <t xml:space="preserve">Podvrtavanje lokalne ali regionalne ceste, v ceno zajeti vsa  potrebna dela, priprava gradbene jame, razpiranje sten, globine do 2,0 m, črpanje vode,  vgrajevanje  vodovodne cevi   ter zaščitne cevi z drsnimi obroči in gumi manšetami. </t>
  </si>
  <si>
    <t>NL DN 150 v zašč. cevi DN 300</t>
  </si>
  <si>
    <t>NL DN 150 C64 sidrni razstavljivi spoj</t>
  </si>
  <si>
    <t>NL DN 150 C64 nesidrni spoj</t>
  </si>
  <si>
    <t>PODZEMNI ZRAČNIK na NL DN150</t>
  </si>
  <si>
    <t>MMB DN150/80 bajonetni</t>
  </si>
  <si>
    <t>SM-kos DN80-L bajonetni</t>
  </si>
  <si>
    <t>sidrna objemka DN150 bajonetna</t>
  </si>
  <si>
    <t>IZPUST na NL DN150</t>
  </si>
  <si>
    <t>MMB DN 150/80 bajonetni</t>
  </si>
  <si>
    <t>ZASUN HSM DN150 bajonetni + tel.vgradna,grt.</t>
  </si>
  <si>
    <t>FF DN80/400</t>
  </si>
  <si>
    <t>NADZEMNI HIDRANT na NL DN150</t>
  </si>
  <si>
    <t>FF kos DN80/400</t>
  </si>
  <si>
    <t>VOZLIŠČE na NL DN150 - ODCEP NL DN110</t>
  </si>
  <si>
    <t>MMB z int.zasunom DN 150/150 bajonetni</t>
  </si>
  <si>
    <t>R-kos DN 150/100 bajonetni</t>
  </si>
  <si>
    <t>VOZLIŠČE na PE Ø225 - ODCEP  NL DN150</t>
  </si>
  <si>
    <r>
      <t xml:space="preserve">PE elektrfuz. obojka  </t>
    </r>
    <r>
      <rPr>
        <sz val="9"/>
        <color indexed="8"/>
        <rFont val="Calibri"/>
        <family val="2"/>
        <charset val="238"/>
      </rPr>
      <t>Ø</t>
    </r>
    <r>
      <rPr>
        <sz val="9"/>
        <color indexed="8"/>
        <rFont val="Arial"/>
        <family val="2"/>
        <charset val="238"/>
      </rPr>
      <t>225 SDR11 PN16</t>
    </r>
  </si>
  <si>
    <t>VOZLIŠČE na PE Ø110 - ODCEP  PE Ø110</t>
  </si>
  <si>
    <t>MMB z int.zasunom DN 100/100 bajonetni</t>
  </si>
  <si>
    <t xml:space="preserve">PRIKLJUČEK PE Ø32 na NL DN150 </t>
  </si>
  <si>
    <t xml:space="preserve">lok elektrovarilni 45°  Ø110 SDR 11 PN16 </t>
  </si>
  <si>
    <t>VOZLIŠČE na PE Ø110 - ODCEP  PE Ø75</t>
  </si>
  <si>
    <t>R-kos DN 100/80 bajonetni</t>
  </si>
  <si>
    <r>
      <t xml:space="preserve">PE elektrfuz. obojka  </t>
    </r>
    <r>
      <rPr>
        <sz val="9"/>
        <rFont val="Calibri"/>
        <family val="2"/>
        <charset val="238"/>
      </rPr>
      <t>Ø</t>
    </r>
    <r>
      <rPr>
        <sz val="9"/>
        <rFont val="Arial"/>
        <family val="2"/>
        <charset val="238"/>
      </rPr>
      <t>110 SDR11 PN16</t>
    </r>
  </si>
  <si>
    <r>
      <t xml:space="preserve">PE elektrfuz. obojka  </t>
    </r>
    <r>
      <rPr>
        <sz val="9"/>
        <rFont val="Calibri"/>
        <family val="2"/>
        <charset val="238"/>
      </rPr>
      <t>Ø</t>
    </r>
    <r>
      <rPr>
        <sz val="9"/>
        <rFont val="Arial"/>
        <family val="2"/>
        <charset val="238"/>
      </rPr>
      <t>90 SDR11 PN16</t>
    </r>
  </si>
  <si>
    <r>
      <t xml:space="preserve">PE redukcija </t>
    </r>
    <r>
      <rPr>
        <sz val="9"/>
        <rFont val="Calibri"/>
        <family val="2"/>
        <charset val="238"/>
      </rPr>
      <t>Ø</t>
    </r>
    <r>
      <rPr>
        <sz val="9"/>
        <rFont val="Arial"/>
        <family val="2"/>
        <charset val="238"/>
      </rPr>
      <t>90/75 SDR11 PN16</t>
    </r>
  </si>
  <si>
    <r>
      <t xml:space="preserve">PE elektrfuz. obojka  </t>
    </r>
    <r>
      <rPr>
        <sz val="9"/>
        <rFont val="Calibri"/>
        <family val="2"/>
        <charset val="238"/>
      </rPr>
      <t>Ø</t>
    </r>
    <r>
      <rPr>
        <sz val="9"/>
        <rFont val="Arial"/>
        <family val="2"/>
        <charset val="238"/>
      </rPr>
      <t>75 SDR11 PN16</t>
    </r>
  </si>
  <si>
    <t>VOZLIŠČE na PE Ø315 - ODCEP  PE Ø110</t>
  </si>
  <si>
    <t>MMB DN300/100 bajonetni</t>
  </si>
  <si>
    <t xml:space="preserve">PE prehodni kos DN315/300 s sidrno objemko </t>
  </si>
  <si>
    <r>
      <t xml:space="preserve">PE elektrfuz. obojka  </t>
    </r>
    <r>
      <rPr>
        <sz val="9"/>
        <color indexed="8"/>
        <rFont val="Calibri"/>
        <family val="2"/>
        <charset val="238"/>
      </rPr>
      <t>Ø</t>
    </r>
    <r>
      <rPr>
        <sz val="9"/>
        <color indexed="8"/>
        <rFont val="Arial"/>
        <family val="2"/>
        <charset val="238"/>
      </rPr>
      <t>315 SDR11 PN16</t>
    </r>
  </si>
  <si>
    <t>lomi na cevovodu NL DN150</t>
  </si>
  <si>
    <t>MMK 11° DN150 bajonetni</t>
  </si>
  <si>
    <t>MMK 22° DN150 bajonetni</t>
  </si>
  <si>
    <t>MMK 45° DN150 bajonetni</t>
  </si>
  <si>
    <t>sidrna objemka DN150-bajonetna</t>
  </si>
  <si>
    <t>VOZLIŠČE na NL DN200 - ODCEP NL DN150</t>
  </si>
  <si>
    <t>sidrna objemka DN200 bajonetna</t>
  </si>
  <si>
    <t xml:space="preserve">lok elektrovarilni 90°  Ø110 SDR 11 PN16 </t>
  </si>
  <si>
    <t>VOZLIŠČE na NL DN150 - ODCEP  PE Ø90</t>
  </si>
  <si>
    <t>MMB z int.zasunom DN 150/80 bajonetni</t>
  </si>
  <si>
    <t>VOZLIŠČE na NL DN150 - ODCEP  PE Ø110</t>
  </si>
  <si>
    <t>MMB z int.zasunom DN 150/100 bajonetni</t>
  </si>
  <si>
    <t>Zaključna kapa SEkappe 150</t>
  </si>
  <si>
    <t>Zaključna kapa SEkappe 100-5/4''</t>
  </si>
  <si>
    <r>
      <t xml:space="preserve">PE redukcija </t>
    </r>
    <r>
      <rPr>
        <sz val="9"/>
        <color indexed="8"/>
        <rFont val="Calibri"/>
        <family val="2"/>
        <charset val="238"/>
      </rPr>
      <t>Ø</t>
    </r>
    <r>
      <rPr>
        <sz val="9"/>
        <color indexed="8"/>
        <rFont val="Arial"/>
        <family val="2"/>
        <charset val="238"/>
      </rPr>
      <t>90/50 SDR11 PN16</t>
    </r>
  </si>
  <si>
    <r>
      <t xml:space="preserve">PE elektrfuz. obojka  </t>
    </r>
    <r>
      <rPr>
        <sz val="9"/>
        <color indexed="8"/>
        <rFont val="Calibri"/>
        <family val="2"/>
        <charset val="238"/>
      </rPr>
      <t>Ø</t>
    </r>
    <r>
      <rPr>
        <sz val="9"/>
        <color indexed="8"/>
        <rFont val="Arial"/>
        <family val="2"/>
        <charset val="238"/>
      </rPr>
      <t>50 SDR11 PN16</t>
    </r>
  </si>
  <si>
    <r>
      <t xml:space="preserve">PE 100 PN 16 </t>
    </r>
    <r>
      <rPr>
        <sz val="9"/>
        <rFont val="Arial"/>
        <family val="2"/>
        <charset val="238"/>
      </rPr>
      <t>Ø63</t>
    </r>
    <r>
      <rPr>
        <sz val="9"/>
        <color indexed="8"/>
        <rFont val="Arial"/>
        <family val="2"/>
        <charset val="238"/>
      </rPr>
      <t xml:space="preserve"> RC PROTECT SDR11 PN16</t>
    </r>
  </si>
  <si>
    <r>
      <t xml:space="preserve">PE 100 PN 16 </t>
    </r>
    <r>
      <rPr>
        <sz val="9"/>
        <rFont val="Arial"/>
        <family val="2"/>
        <charset val="238"/>
      </rPr>
      <t>Ø63</t>
    </r>
    <r>
      <rPr>
        <sz val="9"/>
        <color indexed="8"/>
        <rFont val="Arial"/>
        <family val="2"/>
        <charset val="238"/>
      </rPr>
      <t xml:space="preserve"> RC PROTECT SDR11 PN16           z dodanim aluminijastim slojem</t>
    </r>
  </si>
  <si>
    <t>VOZLIŠČE na PE Ø110 - ODCEP  PE Ø63</t>
  </si>
  <si>
    <r>
      <t xml:space="preserve">PE redukcija </t>
    </r>
    <r>
      <rPr>
        <sz val="9"/>
        <color indexed="8"/>
        <rFont val="Calibri"/>
        <family val="2"/>
        <charset val="238"/>
      </rPr>
      <t>Ø</t>
    </r>
    <r>
      <rPr>
        <sz val="9"/>
        <color indexed="8"/>
        <rFont val="Arial"/>
        <family val="2"/>
        <charset val="238"/>
      </rPr>
      <t>90/63 SDR11 PN16</t>
    </r>
  </si>
  <si>
    <r>
      <t xml:space="preserve">PE elektrfuz. obojka  </t>
    </r>
    <r>
      <rPr>
        <sz val="9"/>
        <color indexed="8"/>
        <rFont val="Calibri"/>
        <family val="2"/>
        <charset val="238"/>
      </rPr>
      <t>Ø</t>
    </r>
    <r>
      <rPr>
        <sz val="9"/>
        <color indexed="8"/>
        <rFont val="Arial"/>
        <family val="2"/>
        <charset val="238"/>
      </rPr>
      <t>63 SDR11 PN16</t>
    </r>
  </si>
  <si>
    <r>
      <t xml:space="preserve">PE redukcija </t>
    </r>
    <r>
      <rPr>
        <sz val="9"/>
        <color indexed="8"/>
        <rFont val="Calibri"/>
        <family val="2"/>
        <charset val="238"/>
      </rPr>
      <t>Ø</t>
    </r>
    <r>
      <rPr>
        <sz val="9"/>
        <color indexed="8"/>
        <rFont val="Arial"/>
        <family val="2"/>
        <charset val="238"/>
      </rPr>
      <t>90/75 SDR11 PN16</t>
    </r>
  </si>
  <si>
    <r>
      <t xml:space="preserve">PE elektrfuz. obojka  </t>
    </r>
    <r>
      <rPr>
        <sz val="9"/>
        <color indexed="8"/>
        <rFont val="Calibri"/>
        <family val="2"/>
        <charset val="238"/>
      </rPr>
      <t>Ø</t>
    </r>
    <r>
      <rPr>
        <sz val="9"/>
        <color indexed="8"/>
        <rFont val="Arial"/>
        <family val="2"/>
        <charset val="238"/>
      </rPr>
      <t>75 SDR11 PN16</t>
    </r>
  </si>
  <si>
    <t>VOZLIŠČE na PE Ø110 - ODCEP  PE Ø63 IN PE Ø90</t>
  </si>
  <si>
    <t>PRIKLJUČEK PE Ø32 na PE Ø63</t>
  </si>
  <si>
    <t>Puconci</t>
  </si>
  <si>
    <t>Puconci_VPL</t>
  </si>
  <si>
    <t>Puconci_Mačkovci Marof - Prosečka vas</t>
  </si>
  <si>
    <t>Puconci_VPV</t>
  </si>
  <si>
    <t>Puconci_VPUS</t>
  </si>
  <si>
    <t>Puconci_SP-6</t>
  </si>
  <si>
    <t>OSKRBA S PITNO VODO POMURJA - SISTEM B / 2.FAZA</t>
  </si>
  <si>
    <t>PUCONCI</t>
  </si>
  <si>
    <t xml:space="preserve">PRESTAVITEV VODOVODA SKOZI VANEČO </t>
  </si>
  <si>
    <t>VPV</t>
  </si>
  <si>
    <t>Izvedba cestnih zapor v času gradnje. V ceni zajeti vsi stroški postavitve popolnih in delnih zapor (pridobivanje soglasij, postavitev prometnih znakov, semaforizacija, ročno usmerjanje...).</t>
  </si>
  <si>
    <t xml:space="preserve">Izkop slabo nosilne zemljine – 2.kategorije   širine do 1,0m in globine  do 1,0m  – strojno izkop z škarpirno žlico  - ureditev odvodnih jarkov. </t>
  </si>
  <si>
    <t xml:space="preserve">ZASIP  KANALA z izkopano zemljino – 3.kategorije  s komprimiranjem v slojih . </t>
  </si>
  <si>
    <r>
      <t xml:space="preserve">ZASIP KANALA z zrnato kamnino – 3.kategorije z dobavo iz gramoznice in s komprimiranje po plasteh           - </t>
    </r>
    <r>
      <rPr>
        <u/>
        <sz val="9"/>
        <rFont val="Arial"/>
        <family val="2"/>
        <charset val="238"/>
      </rPr>
      <t>do kote tampona (60 Mpa) ali humusa</t>
    </r>
    <r>
      <rPr>
        <sz val="9"/>
        <rFont val="Arial"/>
        <family val="2"/>
        <charset val="238"/>
      </rPr>
      <t>.</t>
    </r>
  </si>
  <si>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</si>
  <si>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t>10.1</t>
  </si>
  <si>
    <r>
      <t xml:space="preserve">Dobava in vgrajevanje tamponskega drobljenca TD32 v debelini min 25 cm, komprimiranje do zbitosti 60 Mpa           - </t>
    </r>
    <r>
      <rPr>
        <u/>
        <sz val="9"/>
        <rFont val="Arial"/>
        <family val="2"/>
        <charset val="238"/>
      </rPr>
      <t>hodniki</t>
    </r>
    <r>
      <rPr>
        <sz val="9"/>
        <rFont val="Arial"/>
        <family val="2"/>
        <charset val="238"/>
      </rPr>
      <t>.</t>
    </r>
  </si>
  <si>
    <t>kos</t>
  </si>
  <si>
    <t>Ø60 - Ø80 cm</t>
  </si>
  <si>
    <r>
      <t xml:space="preserve">Izdelava obrabne in zaporne ter nosilne plasti bituminizirane zmesi AC 16 surf B 50/70 A4, v debelini 6 cm - enoslojni asfalt, vključno s čiščenjem in premazom stikov z bitumensko emulzijo - </t>
    </r>
    <r>
      <rPr>
        <u/>
        <sz val="9"/>
        <rFont val="Arial"/>
        <family val="2"/>
        <charset val="238"/>
      </rPr>
      <t>vozišče JP in nekategorizirane ceste.</t>
    </r>
  </si>
  <si>
    <t>15.1</t>
  </si>
  <si>
    <r>
      <t xml:space="preserve">Izdelava nosilne plasti bituminizirane zmesi AC 16 base B 50/70 A4 v debelini 5 cm, vključno s čiščenjem in premazom stikov z bitumensko emulzijo - </t>
    </r>
    <r>
      <rPr>
        <u/>
        <sz val="9"/>
        <rFont val="Arial"/>
        <family val="2"/>
        <charset val="238"/>
      </rPr>
      <t>vozišče JP in LC.</t>
    </r>
  </si>
  <si>
    <t>15.2</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</si>
  <si>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t>
    </r>
  </si>
  <si>
    <t>15.3</t>
  </si>
  <si>
    <r>
      <t xml:space="preserve">Izdelava nosilne plasti bituminizirane zmesi AC 22 base B 50/70 A3 v debelini 6 cm, vključno s čiščenjem in premazom stikov z bitumensko emulzijo                             - </t>
    </r>
    <r>
      <rPr>
        <u/>
        <sz val="9"/>
        <rFont val="Arial"/>
        <family val="2"/>
        <charset val="238"/>
      </rPr>
      <t xml:space="preserve">vozišče LC in RC. </t>
    </r>
  </si>
  <si>
    <t>15.4</t>
  </si>
  <si>
    <r>
      <t xml:space="preserve">Izdelava obrabne in zaporne plasti bituminizirane zmesi AC 8 surf B 50/70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</si>
  <si>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Razprostiranje odvečne plodne zemljine – 1. kategorije.</t>
  </si>
  <si>
    <t>Prevoz materiala na ustrezno deponijo.</t>
  </si>
  <si>
    <t>Razplaniranje odvečne zemljine na deponiji.</t>
  </si>
  <si>
    <t xml:space="preserve">Odlaganje odpadnega asfalta z odvozom na urejeno deponijo. </t>
  </si>
  <si>
    <t>25.1</t>
  </si>
  <si>
    <t>Rušenje in ponovna naprava grednih robnikov, komplet z vsemi potrebnimi deli</t>
  </si>
  <si>
    <t xml:space="preserve">Betoniranje sidrnih blokov v C 25/30 velikosti do 0,30 m3/kom skupaj z dobavo betona.
</t>
  </si>
  <si>
    <t>Obbetoniranje cestnih kap C16/30 v obsegu 15cm okoli cestne kape in v njeni celotni višini (izven asfalta), oz. do asfaltne podlage.</t>
  </si>
  <si>
    <t xml:space="preserve">V cenah posameznih postavk so zajeti vsi stroški: nabava materiala, transport, vgradnja in montaža. </t>
  </si>
  <si>
    <t>NL DN 200 C50 / 6m nesidrni spoj</t>
  </si>
  <si>
    <t>NL DN 200 C50 / 6m, cevi z sidrnimi razstavljivi spoji</t>
  </si>
  <si>
    <r>
      <t xml:space="preserve">zaščitna rebrasta cev Ø110 za PE </t>
    </r>
    <r>
      <rPr>
        <sz val="9"/>
        <rFont val="Calibri"/>
        <family val="2"/>
        <charset val="238"/>
      </rPr>
      <t>Ø</t>
    </r>
    <r>
      <rPr>
        <sz val="9"/>
        <rFont val="Arial"/>
        <family val="2"/>
        <charset val="238"/>
      </rPr>
      <t xml:space="preserve">63 </t>
    </r>
  </si>
  <si>
    <t>zaščitna rebrasta cev Ø63 za PE Ø32</t>
  </si>
  <si>
    <t>lomi na cevovodu NL DN200</t>
  </si>
  <si>
    <t>MMK 11° DN200 bajonetni</t>
  </si>
  <si>
    <t>MMK 22° DN200 bajonetni</t>
  </si>
  <si>
    <t>MMK 45° DN200 bajonetni</t>
  </si>
  <si>
    <t>sidrna objemka DN200-bajonetna</t>
  </si>
  <si>
    <t>PODZEMNI ZRAČNIK na NL DN200</t>
  </si>
  <si>
    <t>MMB DN200/80 bajonetni</t>
  </si>
  <si>
    <t>PODZEMNI ZRAČNIK DN 80 bajonetni, RD=1,00m komplet z drenažnim elementom in vertikalnim sidrnim varovalom z gumi manžeto.</t>
  </si>
  <si>
    <t>IZPUST na NL DN200</t>
  </si>
  <si>
    <t xml:space="preserve">kom </t>
  </si>
  <si>
    <t>NAVEZAVA NA OBSTOJEČI VODOVOD</t>
  </si>
  <si>
    <t>ZASUNI</t>
  </si>
  <si>
    <t>cestna kapa + podložna plošča</t>
  </si>
  <si>
    <t>oz.tabla + počinkani steber</t>
  </si>
  <si>
    <t>SEKUNDARNI VODOVOD MOŠČANCI    SP-6</t>
  </si>
  <si>
    <t>Izvedba asfalta</t>
  </si>
  <si>
    <t xml:space="preserve">Podvrtavanje ceste ali vodotoka, komplet, v ceno zajeto:  izkop in zasip ustrezne gradbene jame, podvrtavanje, zaščitna cev, pripadajoči drsni obroči in zaključne gumi manšete. </t>
  </si>
  <si>
    <r>
      <t xml:space="preserve">zaščitna cev </t>
    </r>
    <r>
      <rPr>
        <sz val="9"/>
        <rFont val="Calibri"/>
        <family val="2"/>
        <charset val="238"/>
      </rPr>
      <t>Ø</t>
    </r>
    <r>
      <rPr>
        <sz val="9"/>
        <rFont val="Arial"/>
        <family val="2"/>
        <charset val="238"/>
      </rPr>
      <t>150 za PE Ø90 - Ø125</t>
    </r>
  </si>
  <si>
    <r>
      <t xml:space="preserve">zaščitna cev Ø100 za PE </t>
    </r>
    <r>
      <rPr>
        <sz val="9"/>
        <rFont val="Calibri"/>
        <family val="2"/>
        <charset val="238"/>
      </rPr>
      <t>Ø</t>
    </r>
    <r>
      <rPr>
        <sz val="9"/>
        <rFont val="Arial"/>
        <family val="2"/>
        <charset val="238"/>
      </rPr>
      <t>32 - Ø63</t>
    </r>
  </si>
  <si>
    <t xml:space="preserve">Križanje ceste ali vodotoka, komplet, v ceno zajeto: zaščitna cev, obbetoniranje, pripadajoči drsni obroči, zaključne gumi manšete, uvlačenje vodovodne cevi. </t>
  </si>
  <si>
    <r>
      <t xml:space="preserve">zaščitna cev Ø160 za PE </t>
    </r>
    <r>
      <rPr>
        <sz val="9"/>
        <rFont val="Calibri"/>
        <family val="2"/>
        <charset val="238"/>
      </rPr>
      <t>Ø</t>
    </r>
    <r>
      <rPr>
        <sz val="9"/>
        <rFont val="Arial"/>
        <family val="2"/>
        <charset val="238"/>
      </rPr>
      <t>63, 90 in 125</t>
    </r>
  </si>
  <si>
    <t>zaščitna cev Ø63 za PE Ø32</t>
  </si>
  <si>
    <t>Naprava zaščite dna jarkov in potokov z lomljencem v betonu, komplet z materialom in vsemi potrebnimi deli. Izvedba po navodilih upravljavca cest in vodotokov.</t>
  </si>
  <si>
    <t>26</t>
  </si>
  <si>
    <t>JAŠEK ZA ZRAČNIK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</si>
  <si>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t xml:space="preserve">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indexed="8"/>
        <rFont val="Arial"/>
        <family val="2"/>
        <charset val="238"/>
      </rPr>
      <t xml:space="preserve">PVC </t>
    </r>
    <r>
      <rPr>
        <sz val="9"/>
        <color indexed="8"/>
        <rFont val="Calibri"/>
        <family val="2"/>
        <charset val="238"/>
      </rPr>
      <t>Ø</t>
    </r>
    <r>
      <rPr>
        <sz val="9"/>
        <color indexed="8"/>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</si>
  <si>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JAŠEK ZA MERILNIK PRETOKA 2,5x2,5x1,8m           Naprava tipskega AB jaška not. dimenzij 2,5x2,5x1,8m  z vstopno odprtino 1,0x1,0m, komplet.                         V ceni zajeto: izkop, posteljica, tipski AB elementi-vodotesen beton, INOKS pokrov 100/100, z dvignjenim okvirjem za naknadno montažo z integriranim zračnikom </t>
    </r>
    <r>
      <rPr>
        <sz val="9"/>
        <color indexed="8"/>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</si>
  <si>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r>
      <t xml:space="preserve">PE 100 PN 16 </t>
    </r>
    <r>
      <rPr>
        <sz val="9"/>
        <rFont val="Arial"/>
        <family val="2"/>
        <charset val="238"/>
      </rPr>
      <t>Ø</t>
    </r>
    <r>
      <rPr>
        <sz val="9"/>
        <color indexed="8"/>
        <rFont val="Arial"/>
        <family val="2"/>
        <charset val="238"/>
      </rPr>
      <t>125 RC PROTECT SDR11 PN16</t>
    </r>
  </si>
  <si>
    <r>
      <t xml:space="preserve">PE 100 PN 16 </t>
    </r>
    <r>
      <rPr>
        <sz val="9"/>
        <rFont val="Arial"/>
        <family val="2"/>
        <charset val="238"/>
      </rPr>
      <t>Ø</t>
    </r>
    <r>
      <rPr>
        <sz val="9"/>
        <color indexed="8"/>
        <rFont val="Arial"/>
        <family val="2"/>
        <charset val="238"/>
      </rPr>
      <t>125 RC PROTECT SDR11 PN16        PE cevi z dodatnim aluminijskim spojem.</t>
    </r>
  </si>
  <si>
    <r>
      <t xml:space="preserve">PE 100 PN 16 </t>
    </r>
    <r>
      <rPr>
        <sz val="9"/>
        <rFont val="Arial"/>
        <family val="2"/>
        <charset val="238"/>
      </rPr>
      <t>Ø63</t>
    </r>
    <r>
      <rPr>
        <sz val="9"/>
        <color indexed="8"/>
        <rFont val="Arial"/>
        <family val="2"/>
        <charset val="238"/>
      </rPr>
      <t xml:space="preserve"> RC PROTECT SDR11 PN16        PE cevi z dodatnim aluminijskim spojem.</t>
    </r>
  </si>
  <si>
    <r>
      <t xml:space="preserve">PE 100 PN 16 </t>
    </r>
    <r>
      <rPr>
        <sz val="9"/>
        <rFont val="Arial"/>
        <family val="2"/>
        <charset val="238"/>
      </rPr>
      <t>Ø32</t>
    </r>
    <r>
      <rPr>
        <sz val="9"/>
        <color indexed="8"/>
        <rFont val="Arial"/>
        <family val="2"/>
        <charset val="238"/>
      </rPr>
      <t xml:space="preserve"> RC PROTECT SDR11 PN16</t>
    </r>
  </si>
  <si>
    <r>
      <t xml:space="preserve">PE 100 PN 16 </t>
    </r>
    <r>
      <rPr>
        <sz val="9"/>
        <rFont val="Arial"/>
        <family val="2"/>
        <charset val="238"/>
      </rPr>
      <t>Ø32</t>
    </r>
    <r>
      <rPr>
        <sz val="9"/>
        <color indexed="8"/>
        <rFont val="Arial"/>
        <family val="2"/>
        <charset val="238"/>
      </rPr>
      <t xml:space="preserve"> RC PROTECT SDR11 PN16        PE cevi z dodatnim aluminijskim spojem.</t>
    </r>
  </si>
  <si>
    <t>lomi na cevovodu PE Ø125</t>
  </si>
  <si>
    <t xml:space="preserve">lok elektrovarilni 45°  Ø125 SDR 11 PN16 </t>
  </si>
  <si>
    <t>lok elektrovarilni 90°  Ø125 SDR 11 PN16</t>
  </si>
  <si>
    <t>lomi na cevovodu PE Ø63</t>
  </si>
  <si>
    <t xml:space="preserve">lok elektrovarilni 45°  Ø63 SDR 11 PN16 </t>
  </si>
  <si>
    <t>lok elektrovarilni 90°  Ø63 SDR 11 PN16</t>
  </si>
  <si>
    <r>
      <t xml:space="preserve">PODZEMNI ZRAČNIK na PE </t>
    </r>
    <r>
      <rPr>
        <b/>
        <sz val="9"/>
        <rFont val="Calibri"/>
        <family val="2"/>
        <charset val="238"/>
      </rPr>
      <t>Ø</t>
    </r>
    <r>
      <rPr>
        <b/>
        <sz val="9"/>
        <rFont val="Arial"/>
        <family val="2"/>
        <charset val="238"/>
      </rPr>
      <t>125</t>
    </r>
  </si>
  <si>
    <t>MMB DN100/80 bajonetni</t>
  </si>
  <si>
    <t xml:space="preserve">PE prehodni kos DN125/100 s sidrno objemko </t>
  </si>
  <si>
    <r>
      <t xml:space="preserve">PE elektrfuz. obojka </t>
    </r>
    <r>
      <rPr>
        <sz val="10"/>
        <rFont val="Arial"/>
        <family val="2"/>
        <charset val="238"/>
      </rPr>
      <t xml:space="preserve"> </t>
    </r>
    <r>
      <rPr>
        <sz val="10"/>
        <color indexed="8"/>
        <rFont val="Calibri"/>
        <family val="2"/>
        <charset val="238"/>
      </rPr>
      <t>Ø125</t>
    </r>
    <r>
      <rPr>
        <sz val="9"/>
        <color indexed="8"/>
        <rFont val="Arial"/>
        <family val="2"/>
        <charset val="238"/>
      </rPr>
      <t xml:space="preserve"> SDR11 PN16</t>
    </r>
  </si>
  <si>
    <r>
      <t xml:space="preserve">PODZEMNI ZRAČNIK na PE </t>
    </r>
    <r>
      <rPr>
        <b/>
        <sz val="9"/>
        <rFont val="Calibri"/>
        <family val="2"/>
        <charset val="238"/>
      </rPr>
      <t>Ø</t>
    </r>
    <r>
      <rPr>
        <b/>
        <sz val="9"/>
        <rFont val="Arial"/>
        <family val="2"/>
        <charset val="238"/>
      </rPr>
      <t>63</t>
    </r>
  </si>
  <si>
    <t>MMB DN 80/80 bajonetni</t>
  </si>
  <si>
    <t xml:space="preserve">IZPIRALNE GARNITURE </t>
  </si>
  <si>
    <r>
      <t xml:space="preserve">IZPIRALNA GARNITURA na PE </t>
    </r>
    <r>
      <rPr>
        <b/>
        <sz val="9"/>
        <rFont val="Calibri"/>
        <family val="2"/>
        <charset val="238"/>
      </rPr>
      <t>Ø</t>
    </r>
    <r>
      <rPr>
        <b/>
        <sz val="9"/>
        <rFont val="Arial"/>
        <family val="2"/>
        <charset val="238"/>
      </rPr>
      <t>125</t>
    </r>
  </si>
  <si>
    <r>
      <t xml:space="preserve">GARNITURA ZA IZPIRANJE DN50, RD=1,00m komplet z priključnim kolenom 90° in ISO spojko </t>
    </r>
    <r>
      <rPr>
        <sz val="9"/>
        <rFont val="Calibri"/>
        <family val="2"/>
        <charset val="238"/>
      </rPr>
      <t>Ø</t>
    </r>
    <r>
      <rPr>
        <sz val="9"/>
        <rFont val="Arial"/>
        <family val="2"/>
        <charset val="238"/>
      </rPr>
      <t xml:space="preserve">63 </t>
    </r>
  </si>
  <si>
    <r>
      <t xml:space="preserve">PE elektrfuz. obojka  </t>
    </r>
    <r>
      <rPr>
        <sz val="9"/>
        <color indexed="8"/>
        <rFont val="Calibri"/>
        <family val="2"/>
        <charset val="238"/>
      </rPr>
      <t>Ø</t>
    </r>
    <r>
      <rPr>
        <sz val="9"/>
        <color indexed="8"/>
        <rFont val="Arial"/>
        <family val="2"/>
        <charset val="238"/>
      </rPr>
      <t>125 SDR11 PN16</t>
    </r>
  </si>
  <si>
    <r>
      <t xml:space="preserve">PE redukcija </t>
    </r>
    <r>
      <rPr>
        <sz val="9"/>
        <color indexed="8"/>
        <rFont val="Calibri"/>
        <family val="2"/>
        <charset val="238"/>
      </rPr>
      <t>Ø</t>
    </r>
    <r>
      <rPr>
        <sz val="9"/>
        <color indexed="8"/>
        <rFont val="Arial"/>
        <family val="2"/>
        <charset val="238"/>
      </rPr>
      <t>125/63 SDR11 PN16</t>
    </r>
  </si>
  <si>
    <t>cestna kapa za izp.grt. + podložna plošča</t>
  </si>
  <si>
    <r>
      <t xml:space="preserve">IZPIRALNA GARNITURA na PE </t>
    </r>
    <r>
      <rPr>
        <b/>
        <sz val="9"/>
        <rFont val="Calibri"/>
        <family val="2"/>
        <charset val="238"/>
      </rPr>
      <t>Ø</t>
    </r>
    <r>
      <rPr>
        <b/>
        <sz val="9"/>
        <rFont val="Arial"/>
        <family val="2"/>
        <charset val="238"/>
      </rPr>
      <t>63</t>
    </r>
  </si>
  <si>
    <t>IZPUST na PE Ø125</t>
  </si>
  <si>
    <t xml:space="preserve">PODZEMNI HIDRANT DN 80, RD=1,00m </t>
  </si>
  <si>
    <t>NADZEMNI HIDRANT na PE Ø125</t>
  </si>
  <si>
    <t>SM-kos DN 80-M bajonetni</t>
  </si>
  <si>
    <t>3.5.1</t>
  </si>
  <si>
    <t>Izvedba meritve hidranta s strani pooblaščene institucije  in izdelava poročila.</t>
  </si>
  <si>
    <t>LINIJSKI ZASUNI</t>
  </si>
  <si>
    <t xml:space="preserve">LINIJSKI ZASUN na NL DN200 </t>
  </si>
  <si>
    <t>LINIJSKI ZASUN na PE Ø125</t>
  </si>
  <si>
    <t>VOZLIŠČE na NL DN200 - ODCEP  PE Ø125</t>
  </si>
  <si>
    <t>VOZLIŠČE na NL DN200 - ODCEP  PE Ø63</t>
  </si>
  <si>
    <t>VOZLIŠČE na PE Ø125 - ODCEP  PE Ø125</t>
  </si>
  <si>
    <t>VOZLIŠČE na PE Ø125 - ODCEP  PE Ø63</t>
  </si>
  <si>
    <t>3.8</t>
  </si>
  <si>
    <t xml:space="preserve">PRIKLJUČEK PE Ø63 na PE Ø125 </t>
  </si>
  <si>
    <t>ozn. tablica + poc.steber Ø48 + poc.sidro stebra</t>
  </si>
  <si>
    <t>PRIKLJUČEK PE Ø32 na PE Ø125</t>
  </si>
  <si>
    <t>3.9</t>
  </si>
  <si>
    <t>MERILNIKI PRETOKA</t>
  </si>
  <si>
    <t>3.10</t>
  </si>
  <si>
    <t>REDUCIRNI VENTILI</t>
  </si>
  <si>
    <r>
      <t xml:space="preserve">REDUCIRNI VENTIL na PE </t>
    </r>
    <r>
      <rPr>
        <b/>
        <sz val="9"/>
        <rFont val="Calibri"/>
        <family val="2"/>
        <charset val="238"/>
      </rPr>
      <t>Ø</t>
    </r>
    <r>
      <rPr>
        <b/>
        <sz val="9.9"/>
        <rFont val="Arial"/>
        <family val="2"/>
        <charset val="238"/>
      </rPr>
      <t>125</t>
    </r>
    <r>
      <rPr>
        <b/>
        <sz val="9"/>
        <rFont val="Arial"/>
        <family val="2"/>
        <charset val="238"/>
      </rPr>
      <t xml:space="preserve"> (v jašku)</t>
    </r>
  </si>
  <si>
    <t>MMK 45° DN100 bajonetni</t>
  </si>
  <si>
    <t>F-kos DN 100 bajonetni</t>
  </si>
  <si>
    <t xml:space="preserve">FF  DN100/800 INOKS+nav. slepa prirob. v steni jaška </t>
  </si>
  <si>
    <t xml:space="preserve">FF  DN50/800 INOKS+nav. slepa prirob. v steni jaška </t>
  </si>
  <si>
    <t>LOVILEC NEČISTOČ DN100 s stransko čist. odprtino</t>
  </si>
  <si>
    <t>FF DN100/400 INOKS z odcepom DN25</t>
  </si>
  <si>
    <t>T DN100/50</t>
  </si>
  <si>
    <t>FF DN50/600</t>
  </si>
  <si>
    <t>MDK DN100</t>
  </si>
  <si>
    <t>REGULACIJSKI REDUCIRNI VENTIL DN100</t>
  </si>
  <si>
    <t>NASTAVLJIVA ZASLONKA DN100 - medprirobnična</t>
  </si>
  <si>
    <t xml:space="preserve">REGULACIJSKI VARNOSTNI VENTIL DN50 </t>
  </si>
  <si>
    <t>REDUCIRNI VENTIL DN25 (by-pas)</t>
  </si>
  <si>
    <t xml:space="preserve">krogelni ventil ND25 </t>
  </si>
  <si>
    <t>BY-PAS DN25 za reducirni ventil DN25, komplet z cevjo DN25 (l=2,00m), glicerinskima manometroma PN16, holancema, loki in varjenjem, komplet v INOKS izvedbi.</t>
  </si>
  <si>
    <t>ZASUN DN50 + kolo</t>
  </si>
  <si>
    <r>
      <t xml:space="preserve">REDUCIRNI VENTIL na PE </t>
    </r>
    <r>
      <rPr>
        <b/>
        <sz val="9"/>
        <rFont val="Calibri"/>
        <family val="2"/>
        <charset val="238"/>
      </rPr>
      <t>Ø</t>
    </r>
    <r>
      <rPr>
        <b/>
        <sz val="9.9"/>
        <rFont val="Arial"/>
        <family val="2"/>
        <charset val="238"/>
      </rPr>
      <t>63</t>
    </r>
    <r>
      <rPr>
        <b/>
        <sz val="9"/>
        <rFont val="Arial"/>
        <family val="2"/>
        <charset val="238"/>
      </rPr>
      <t xml:space="preserve"> (v jašku)</t>
    </r>
  </si>
  <si>
    <t>MMK 45° DN80 bajonetni</t>
  </si>
  <si>
    <t>F-kos DN 80 bajonetni</t>
  </si>
  <si>
    <t xml:space="preserve">FF  DN80/800 INOKS+nav. slepa prirob. v steni jaška </t>
  </si>
  <si>
    <t>LOVILEC NEČISTOČ DN80 s stransko čist. odprtino</t>
  </si>
  <si>
    <t>FF DN80/400 INOKS z odcepom DN25</t>
  </si>
  <si>
    <t>T DN80/50</t>
  </si>
  <si>
    <t>MDK DN80</t>
  </si>
  <si>
    <t>REGULACIJSKI REDUCIRNI VENTIL DN80</t>
  </si>
  <si>
    <t>NASTAVLJIVA ZASLONKA DN80 - medprirobnična</t>
  </si>
  <si>
    <t>MMB DN80/80 bajonetni</t>
  </si>
  <si>
    <t>3.11</t>
  </si>
  <si>
    <t>Občina Puconci</t>
  </si>
  <si>
    <t>Vodovod Mačkovci Marof - Prosečka vas</t>
  </si>
  <si>
    <t>zaščitna cev DN 300 za NL DN150</t>
  </si>
  <si>
    <t>JAŠEK ZA ARMATURO 1,5x1,5x2,0m
Naprava tipskega AB jaška not. dimenzij
1,5x1,5x2,0m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</si>
  <si>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t xml:space="preserve">JAŠEK ZA REDUCIRNI VENTIL 2,5x2,0x2,0m                                   Naprava tipskega AB jaška not. dimenzij 2,5x2,0x2,0m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indexed="8"/>
        <rFont val="Arial"/>
        <family val="2"/>
        <charset val="238"/>
      </rPr>
      <t xml:space="preserve">PVC </t>
    </r>
    <r>
      <rPr>
        <sz val="9"/>
        <color indexed="8"/>
        <rFont val="Calibri"/>
        <family val="2"/>
        <charset val="238"/>
      </rPr>
      <t>Ø</t>
    </r>
    <r>
      <rPr>
        <sz val="9"/>
        <color indexed="8"/>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</si>
  <si>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JAŠEK ZA MERILNIK PRETOKA IN REDUKCIJO  4,0x2,0x2,0m                                                   Naprava tipskega AB jaška not. dimenzij 2,5x2,5x1,8m  z vstopno odprtino 1,0x1,0m, komplet.                        V ceni zajeto: izkop, posteljica, tipski AB elementi-vodotesen beton, INOKS pokrov 100/100, z dvignjenim okvirjem za naknadno montažo z integriranim zračnikom </t>
    </r>
    <r>
      <rPr>
        <sz val="9"/>
        <color indexed="8"/>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</si>
  <si>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t>Demontaža črpalk v obstoječem črpališču in izklop črpališč iz omrežja</t>
  </si>
  <si>
    <t>Vozlišče V-1 (navezava):</t>
  </si>
  <si>
    <t>Sidrna spojka s tesnilom bajonetna SIT DN 150</t>
  </si>
  <si>
    <t>T-KOS z integriranim zasunom bajonetni MMB 150/150 z vgradno garnituro in cestno kapo</t>
  </si>
  <si>
    <t>EV-kos bajonetni DN 150 HSM z vgradno garnituro in cestno kapo</t>
  </si>
  <si>
    <t>Vozlišče V-7 (navezava):</t>
  </si>
  <si>
    <t>Sidrna spojka s tesnilom DN 80 (končni spoj z elektrofuzijskim varjenjem)</t>
  </si>
  <si>
    <t>T-KOS z integriranim zasunom bajonetni MMB 150/80 z vgradno garnituro in cestno kapo</t>
  </si>
  <si>
    <t>VOZLIŠČE V-10 (prevezava ob črpališču Poznanovci 1)</t>
  </si>
  <si>
    <t>Sidrna spojka s tesnilom bajonetna SIT DN 100</t>
  </si>
  <si>
    <t>T-KOS z integriranim zasunom bajonetni MMB 100/100 z vgradno garnituro in cestno kapo</t>
  </si>
  <si>
    <t>T-KOS DN 100/100</t>
  </si>
  <si>
    <t>X-KOS DN 100 bajonetni</t>
  </si>
  <si>
    <t>cev NL DN 100</t>
  </si>
  <si>
    <t>m</t>
  </si>
  <si>
    <t>VOZLIŠČE V-11 (prevezava ob črpališču Poznanovci 2)</t>
  </si>
  <si>
    <t>Q-kos DN 100</t>
  </si>
  <si>
    <t>VOZLIŠČE V-12 (prevezava ob črpališču Prosečka vas)</t>
  </si>
  <si>
    <t>T-KOS DN 150/150</t>
  </si>
  <si>
    <t>X-KOS DN 150 bajonetni</t>
  </si>
  <si>
    <t>cev NL DN 150</t>
  </si>
  <si>
    <t>VOZLIŠČE V-13 (prekinitev cevovoda)</t>
  </si>
  <si>
    <t>MDK-kos DN 150</t>
  </si>
  <si>
    <t>FF-kos DN 150/1000</t>
  </si>
  <si>
    <t>Vozlišče V-8 (redukcuija tlaka in merilec pretoka):</t>
  </si>
  <si>
    <t>REDUCIRNI VENTIL na NL DN150 (v jašku)</t>
  </si>
  <si>
    <t>R-kos DN150/100 bajonetni</t>
  </si>
  <si>
    <t>sidrna objemka DN100 bajonetna</t>
  </si>
  <si>
    <t>ZAMENJAVA VODOVODNE CEVI PREDANOVCI-LEMERJE</t>
  </si>
  <si>
    <t>Obnova in zavarovanje zakoličbe trase komunalnih vodov v ravninskem terenu</t>
  </si>
  <si>
    <t>1.4</t>
  </si>
  <si>
    <t>1.6</t>
  </si>
  <si>
    <t>Organizacija gradbišča – odstranitev začasnih objektov</t>
  </si>
  <si>
    <t>1.7</t>
  </si>
  <si>
    <t>Čiščenje gradbišča po končanih delih z odvozom odpadnega materiala in vzpostavitev v prvotno stanje.</t>
  </si>
  <si>
    <t>1.8</t>
  </si>
  <si>
    <t>1.9</t>
  </si>
  <si>
    <t>1.10</t>
  </si>
  <si>
    <t xml:space="preserve"> 2.1</t>
  </si>
  <si>
    <t>Površinski izkop plodne zemljine – 1. kategorije – strojno z odrivom do 50 m</t>
  </si>
  <si>
    <r>
      <t>m</t>
    </r>
    <r>
      <rPr>
        <vertAlign val="superscript"/>
        <sz val="10"/>
        <rFont val="Arial"/>
        <family val="2"/>
      </rPr>
      <t>3</t>
    </r>
  </si>
  <si>
    <t>Izkop vezljive zemljine/zrnate kamnine – 3. kategorije za  kanalske rove  širine do 1,2 m in globine 1,1 do 2,0 m – ročno, planiranje dna ročno</t>
  </si>
  <si>
    <t>Izkop vezljive zemljine/zrnate kamnine – 3. kategorije za  kanalske rove  širine do 1,2 m in globine 1,1 do 2,0 m – strojno, planiranje dna ročno</t>
  </si>
  <si>
    <t>Široki izkop vezljive zemljine – 3. kategorije – strojno z nakladanjem-</t>
  </si>
  <si>
    <t>Široki izkop vezljive zemljine – 3. kategorije – ročno z nakladanjem</t>
  </si>
  <si>
    <t>2.6</t>
  </si>
  <si>
    <t xml:space="preserve">Razpiranje sten izkopanega kanalskega rova globine od 0,0 do 2,0 m v lahki  zemljini </t>
  </si>
  <si>
    <t>Ureditev planuma temeljnih tal vezljive zemljine – 3. kategorije - dno kanala</t>
  </si>
  <si>
    <r>
      <t>m</t>
    </r>
    <r>
      <rPr>
        <vertAlign val="superscript"/>
        <sz val="10"/>
        <rFont val="Arial"/>
        <family val="2"/>
      </rPr>
      <t>2</t>
    </r>
  </si>
  <si>
    <t>Dobava in vgrajevanje peska granulacije 0-4 mm (okrogla zrnca) za posteljico ob cevi in nad cevmi</t>
  </si>
  <si>
    <t>Zasip  kanala z izkopano zemljino – 3. kategorije  s komprimiranjem v slojih</t>
  </si>
  <si>
    <t>2.10</t>
  </si>
  <si>
    <t>Utrditev in uvaljanje zaključnega sloja makadamskega cestišča do 95% trdnosti po standardenm Proctorjevem postopku.</t>
  </si>
  <si>
    <r>
      <t>m</t>
    </r>
    <r>
      <rPr>
        <vertAlign val="superscript"/>
        <sz val="10"/>
        <rFont val="Arial"/>
        <family val="2"/>
        <charset val="238"/>
      </rPr>
      <t>2</t>
    </r>
  </si>
  <si>
    <t>Zasip z zrnato kamnino – 3. kategorije z dobavo iz gramoznice (zasip kanala)</t>
  </si>
  <si>
    <t>2.11</t>
  </si>
  <si>
    <t>Prevoz materiala na ustrezno deponijo</t>
  </si>
  <si>
    <t>2.12</t>
  </si>
  <si>
    <t xml:space="preserve">Razplaniranje odvečne zemljine na deponiji </t>
  </si>
  <si>
    <t>2.13</t>
  </si>
  <si>
    <t>Zatravitev s semenom</t>
  </si>
  <si>
    <t>2.14</t>
  </si>
  <si>
    <t>Rezanje asfaltne plasti s talno diamantno žago, debele 6 do 10 cm</t>
  </si>
  <si>
    <r>
      <t>m</t>
    </r>
    <r>
      <rPr>
        <vertAlign val="superscript"/>
        <sz val="10"/>
        <rFont val="Arial"/>
        <family val="2"/>
      </rPr>
      <t>1</t>
    </r>
  </si>
  <si>
    <t>2.15</t>
  </si>
  <si>
    <t xml:space="preserve">Porušitev in odstranitev asfaltne plasti v debelini 6 do 10 cm </t>
  </si>
  <si>
    <t>2.16</t>
  </si>
  <si>
    <t>Izdelava obrabne in zaporne plasti bitumenskega betona BB 11s iz zmesi zrn iz silikatnih kamnin in cestogradbenega bitumna v debelini 40 mm (AC11 surf B50/70 A3)</t>
  </si>
  <si>
    <t>2.17</t>
  </si>
  <si>
    <t>Izdelava zgornje nosilne plasti bituminiziranega drobljenca zrnavosti 0/22 mm v debelini 8 cm  (AC 22base B50/70, A3)</t>
  </si>
  <si>
    <t>2.18</t>
  </si>
  <si>
    <t>Izdelava obrabne in zaporne ali zaščitne plasti bitumenskega betona BB 8k iz zmesi zrn iz karbonatnih kamnin in cestogradbenega bitumna v debelini 40 mm-pločnik Predanovci</t>
  </si>
  <si>
    <t>2.19</t>
  </si>
  <si>
    <t xml:space="preserve">Odlaganje odpadnga asfalta z odvozom na urejeno deponijo </t>
  </si>
  <si>
    <t>t</t>
  </si>
  <si>
    <t>2.20</t>
  </si>
  <si>
    <t xml:space="preserve">Izdelava bankine iz drobljenca, široke 0,51 do 0,75 m, poprečne debeline 10 cm </t>
  </si>
  <si>
    <t>2.21</t>
  </si>
  <si>
    <t xml:space="preserve">Podvrtavanje regionalne ceste, v ceno zajeti vsa  potrebna dela, priprava gradbene jame, razpiranje sten, globine do 2,0 m, črpanje vode,  vgrajevanje  vodovodne cevi   ter zaščitne cevi z drsnimi obroči in gumi manšetami </t>
  </si>
  <si>
    <t>NL DN 63  v zašč. cevi DN 100 (1x)</t>
  </si>
  <si>
    <t>2.22</t>
  </si>
  <si>
    <t>NL DN 110  v zašč. cevi DN 200 (2x)</t>
  </si>
  <si>
    <t>2.23</t>
  </si>
  <si>
    <t>NL DN 300  v zašč. cevi DN 500 (1x)</t>
  </si>
  <si>
    <t>Dobava in vgrajevanje zaščitnih cevi z obbetoniranjem pod vodotoki (možnost izvedbe z vodenim podvrtavanjem), v ceno zajeti vsa  potrebna dela, priprava gradbene jame, razpiranje sten, globine do 2,0 m, črpanje vode,  vgrajevanje  vodovodne cevi   ter zaščitne cevi z drsnimi obroči in gumi manšetami (5x), zaščitna cev DN500</t>
  </si>
  <si>
    <t>2.24</t>
  </si>
  <si>
    <t>2.25</t>
  </si>
  <si>
    <t>Obbetoniranje cestnih kap MB30 v obsegu 15cm okoli cestne kape in v njeni celotni višini</t>
  </si>
  <si>
    <t>2.26</t>
  </si>
  <si>
    <t xml:space="preserve">Dobava in vgrajevanje podložnega betona jaška MB 15, debeline 10 cm </t>
  </si>
  <si>
    <t>2.27</t>
  </si>
  <si>
    <t>2.28</t>
  </si>
  <si>
    <t>2.29</t>
  </si>
  <si>
    <t>2.30</t>
  </si>
  <si>
    <t>2.31</t>
  </si>
  <si>
    <t xml:space="preserve">Rušenje in vspostavitev v prvotno obliko dovozov k hišam in ulicam, zajeti rezanje obstoječega tlaka ali asfalta, rušenje istega z odvozom ruševin na stalno deponijo, zasip z gramozom v deb. 40 cm,  naprava asfalta v izvedbi 5 + 3 cm, betoniranje ali tlakovci </t>
  </si>
  <si>
    <t>2.32</t>
  </si>
  <si>
    <t xml:space="preserve">Porušitev in odstranitev robnika iz cementnega betona </t>
  </si>
  <si>
    <t>2.33</t>
  </si>
  <si>
    <t>Dobava in vgraditev predfabriciranega pogreznjenega robnika iz cementnega betona  s prerezom 15/25 cm</t>
  </si>
  <si>
    <t>2.34</t>
  </si>
  <si>
    <t xml:space="preserve">Porušitev in odstranitev obstoječega jaška </t>
  </si>
  <si>
    <t>NL DN 300 C40 / 6m, sidrni razstavljivi spoj</t>
  </si>
  <si>
    <t>NL DN 300 C40 / 6m, nesidrni spoj</t>
  </si>
  <si>
    <t>NL DN 200 C50 / 6m, sidrni razstavljivi spoj</t>
  </si>
  <si>
    <t>NL DN 200 C50 / 6m, nesidrni spoj</t>
  </si>
  <si>
    <r>
      <t xml:space="preserve">PE 100 PN 16 </t>
    </r>
    <r>
      <rPr>
        <sz val="10"/>
        <rFont val="Arial"/>
        <family val="2"/>
      </rPr>
      <t>Ø</t>
    </r>
    <r>
      <rPr>
        <sz val="10"/>
        <color indexed="8"/>
        <rFont val="Arial"/>
        <family val="2"/>
      </rPr>
      <t>110 RC PROTECT SDR11 PN16</t>
    </r>
  </si>
  <si>
    <r>
      <t xml:space="preserve">PE 100 PN 16 </t>
    </r>
    <r>
      <rPr>
        <sz val="10"/>
        <rFont val="Arial"/>
        <family val="2"/>
      </rPr>
      <t>Ø</t>
    </r>
    <r>
      <rPr>
        <sz val="10"/>
        <color indexed="8"/>
        <rFont val="Arial"/>
        <family val="2"/>
      </rPr>
      <t>110 RC PROTECT SDR11 PN16                 z dodanim aluminijastim slojem</t>
    </r>
  </si>
  <si>
    <r>
      <t xml:space="preserve">PE 100 PN 16 </t>
    </r>
    <r>
      <rPr>
        <sz val="10"/>
        <rFont val="Arial"/>
        <family val="2"/>
      </rPr>
      <t>Ø63</t>
    </r>
    <r>
      <rPr>
        <sz val="10"/>
        <color indexed="8"/>
        <rFont val="Arial"/>
        <family val="2"/>
      </rPr>
      <t xml:space="preserve"> RC PROTECT SDR11 PN16</t>
    </r>
  </si>
  <si>
    <r>
      <t xml:space="preserve">PE 100 PN 16 </t>
    </r>
    <r>
      <rPr>
        <sz val="10"/>
        <rFont val="Arial"/>
        <family val="2"/>
      </rPr>
      <t>Ø63</t>
    </r>
    <r>
      <rPr>
        <sz val="10"/>
        <color indexed="8"/>
        <rFont val="Arial"/>
        <family val="2"/>
      </rPr>
      <t xml:space="preserve"> RC PROTECT SDR11 PN16           z dodanim aluminijastim slojem</t>
    </r>
  </si>
  <si>
    <r>
      <t xml:space="preserve">PE 100 PN 16 </t>
    </r>
    <r>
      <rPr>
        <sz val="10"/>
        <rFont val="Arial"/>
        <family val="2"/>
      </rPr>
      <t>Ø40</t>
    </r>
    <r>
      <rPr>
        <sz val="10"/>
        <color indexed="8"/>
        <rFont val="Arial"/>
        <family val="2"/>
      </rPr>
      <t xml:space="preserve"> RC PROTECT SDR11</t>
    </r>
  </si>
  <si>
    <r>
      <t xml:space="preserve">PE 100 PN 16 </t>
    </r>
    <r>
      <rPr>
        <sz val="10"/>
        <rFont val="Arial"/>
        <family val="2"/>
      </rPr>
      <t>Ø40</t>
    </r>
    <r>
      <rPr>
        <sz val="10"/>
        <color indexed="8"/>
        <rFont val="Arial"/>
        <family val="2"/>
      </rPr>
      <t xml:space="preserve"> RC PROTECT SDR11 PN16           z dodanim aluminijastim slojem</t>
    </r>
  </si>
  <si>
    <r>
      <t xml:space="preserve">PE 100 PN 16 </t>
    </r>
    <r>
      <rPr>
        <sz val="10"/>
        <rFont val="Arial"/>
        <family val="2"/>
      </rPr>
      <t>Ø</t>
    </r>
    <r>
      <rPr>
        <sz val="10"/>
        <color indexed="8"/>
        <rFont val="Arial"/>
        <family val="2"/>
      </rPr>
      <t>32 RC PROTECT SDR11</t>
    </r>
  </si>
  <si>
    <r>
      <t xml:space="preserve">PE 100 PN 16 </t>
    </r>
    <r>
      <rPr>
        <sz val="10"/>
        <rFont val="Arial"/>
        <family val="2"/>
      </rPr>
      <t>Ø</t>
    </r>
    <r>
      <rPr>
        <sz val="10"/>
        <color indexed="8"/>
        <rFont val="Arial"/>
        <family val="2"/>
      </rPr>
      <t>32 RC PROTECT SDR11 PN16           z dodanim aluminijastim slojem</t>
    </r>
  </si>
  <si>
    <t>3.2.1</t>
  </si>
  <si>
    <t>Vozlišče C2:</t>
  </si>
  <si>
    <t>sidrna objemka DN300 bajonetna</t>
  </si>
  <si>
    <t>3.2.2</t>
  </si>
  <si>
    <t>Vozlišče C10:</t>
  </si>
  <si>
    <t>3.2.4</t>
  </si>
  <si>
    <t>3.2.5</t>
  </si>
  <si>
    <t>Vozlišče C31:</t>
  </si>
  <si>
    <t>3.2.6</t>
  </si>
  <si>
    <t>3.2.7</t>
  </si>
  <si>
    <t>3.2.8</t>
  </si>
  <si>
    <t>3.2.9</t>
  </si>
  <si>
    <t>ZRAČNIK DN200 dvofunkcijski</t>
  </si>
  <si>
    <t>ZASUN DN200 + kolo</t>
  </si>
  <si>
    <t>3.2.11</t>
  </si>
  <si>
    <t>E-kos DN300 sidrni razstavljivi spoj</t>
  </si>
  <si>
    <t>F-kos DN300 sidrni razstavljivi spoj</t>
  </si>
  <si>
    <t xml:space="preserve">FF  DN300/800 INOKS+nav. slepa prirob. v steni jaška </t>
  </si>
  <si>
    <t>T DN300/200</t>
  </si>
  <si>
    <t>MDK DN300</t>
  </si>
  <si>
    <t>FF DN300/400 INOKS z odcepom DN25-ZN</t>
  </si>
  <si>
    <t>krogelni ventil ND25 + čep</t>
  </si>
  <si>
    <r>
      <t xml:space="preserve">ozn. tablica + poc.steber </t>
    </r>
    <r>
      <rPr>
        <sz val="10"/>
        <color indexed="8"/>
        <rFont val="Calibri"/>
        <family val="2"/>
        <charset val="238"/>
      </rPr>
      <t>Ø</t>
    </r>
    <r>
      <rPr>
        <sz val="10"/>
        <color indexed="8"/>
        <rFont val="Arial"/>
        <family val="2"/>
        <charset val="238"/>
      </rPr>
      <t>48 + poc.sidro stebra</t>
    </r>
  </si>
  <si>
    <t>MMB DN 300/80 bajonetni</t>
  </si>
  <si>
    <t>ZASUN HSM DN300 bajonetni + tel.vgradna,grt.</t>
  </si>
  <si>
    <t>S-kos DN 80-K bajonetni</t>
  </si>
  <si>
    <t>3.2.12</t>
  </si>
  <si>
    <t>3.2.14</t>
  </si>
  <si>
    <t>3.2.15</t>
  </si>
  <si>
    <t>3.2.16</t>
  </si>
  <si>
    <t>3.2.17</t>
  </si>
  <si>
    <t>3.2.18</t>
  </si>
  <si>
    <t>Vozlišče V14:</t>
  </si>
  <si>
    <t>3.2.19</t>
  </si>
  <si>
    <t>3.2.20</t>
  </si>
  <si>
    <t>3.2.21</t>
  </si>
  <si>
    <t>3.2.22</t>
  </si>
  <si>
    <t>3.2.23</t>
  </si>
  <si>
    <t>3.2.24</t>
  </si>
  <si>
    <t>3.2.25</t>
  </si>
  <si>
    <t>3.2.26</t>
  </si>
  <si>
    <t>3.2.27</t>
  </si>
  <si>
    <t>Vozlišče V16- PH na PE110:</t>
  </si>
  <si>
    <t>3.2.28</t>
  </si>
  <si>
    <t>3.2.29</t>
  </si>
  <si>
    <t>3.2.30</t>
  </si>
  <si>
    <t>3.2.31</t>
  </si>
  <si>
    <t>3.2.32</t>
  </si>
  <si>
    <t>3.2.33</t>
  </si>
  <si>
    <t>3.2.34</t>
  </si>
  <si>
    <t>3.2.35</t>
  </si>
  <si>
    <t>3.2.36</t>
  </si>
  <si>
    <t>3.2.37</t>
  </si>
  <si>
    <t>POPIS ELEKTRO DEL - Električne inštlacije in el. oprema za jaške</t>
  </si>
  <si>
    <t>Opomba:</t>
  </si>
  <si>
    <t>Pri izvedbi mora izvajalec upoštevati veljavne tehnične standarde in  Smernice  za energetiko, lokalno avtomatiko in telemetrični sistem TRC, ki se uporabljajo na VODOVODU SISTEMA B.</t>
  </si>
  <si>
    <t>Vsa ponujena oprema mora biti kompatibilna z obstoječo opremo! Opremo potrdi upravljavec vodovoda.</t>
  </si>
  <si>
    <t>V ceni vsake posamezne postavke je zajeta nabava, prenosi in transporti, pripravljalna dela, zarisovanje, montaža, preizkusi, regulacija ter vsa drobna dela.</t>
  </si>
  <si>
    <t>Dela izvajati v skladu z veljavnimi tehničnimi predpisi, normativi in upoštevati predpise iz varnosti in zdravja pri delu.</t>
  </si>
  <si>
    <t>V postavkah je všteta izdelava prebojev za elektro instalacije, odvoz ruševin zaradi izdelave prebojev na trajno deponijo, skladno z zakonom in predpisi. Izvedba prebojev na način, da ne pride do poškodb konstrukcije objekta</t>
  </si>
  <si>
    <t>V cenah morajo biti vključena vsa nepredvidena dela</t>
  </si>
  <si>
    <t>a) Električne inštlacije in el. oprema jaške PREDANOVCI</t>
  </si>
  <si>
    <t>Naziv in opis</t>
  </si>
  <si>
    <t>Enota</t>
  </si>
  <si>
    <t>Količina</t>
  </si>
  <si>
    <t>Cena/enoto</t>
  </si>
  <si>
    <t>Cena</t>
  </si>
  <si>
    <t>1.</t>
  </si>
  <si>
    <r>
      <t xml:space="preserve">Dobava, montaža in vezava električnmega razdelilnika  </t>
    </r>
    <r>
      <rPr>
        <b/>
        <sz val="11"/>
        <rFont val="Arial"/>
        <family val="2"/>
        <charset val="238"/>
      </rPr>
      <t>R-JAŠEK PREDANOVCI.</t>
    </r>
  </si>
  <si>
    <t>Dimenzij (v x š x g) 1600 x 1200 x 400 mm z dvojnimi vrati v kompletu z montažno ploščo,  stopnja zaščite minimalno IP 66, IK10. Narejen iz INOX pločevine. Montažna plošča narejena iz pocinkane jeklene pločevine.V kompletu z AB podstavkom višine 400 mm.Tovarniški izdelek. SCHRACK  ali enakovredno.</t>
  </si>
  <si>
    <t>Opremljen z električno opremo:</t>
  </si>
  <si>
    <t>-</t>
  </si>
  <si>
    <t>Preklopno stikalo 1- 0 -2  4-polno / 32A / 15kW za montažo na montažno ploščo z prigrajenimi pomožnimi signalnimi kontakti ter ročico za upravljanje; ročica je montirana direktno na stikalo (pod vrati el. razdelilnika). SCHRACK ali enakovredno.</t>
  </si>
  <si>
    <t>Zaščitno tokovno stikalo na direfenčni tok 40/0,3A 4p, selektivno [s] občutljivo na pulzirajoče tokove (klasa A) in z prigrajenim pomožnimi kontakti za signalizacijo položaja. SCHRACK ali enakovredno.</t>
  </si>
  <si>
    <t>Naprava za avtomatski ponovni vklop; 230 V AC. Tip: FSA - SCHRACK ali enakovredno.</t>
  </si>
  <si>
    <t>Prenapetostna zaščita RAZREDA II za TN sistem z prigrajenimi signalnimi kontakti in premostitvenimi tuljavami. Montaža pod vrati el. razdelilnika. SCHRACK ali enakovredno.</t>
  </si>
  <si>
    <t xml:space="preserve">Odklopnik z nazivnim tokom 32 A  3-polni za montažo na montažno ploščo, prekritjem sponk, pomožnimi kontskti za signalizacijo položaja, ter z prigrajenim kratkostilčnim in pretokovnim zaščitnim modulom. Tip: Serija MC1 - SCHRACK ali enakovredno. </t>
  </si>
  <si>
    <t xml:space="preserve">Ročica za upravljanje odklopnika; ročica je montirana direktno na stikalo (pod vrati el. razdelilnika). Ročica rumene barve ter plošča rdeče barve. Tip: Serija MC1 - SCHRACK ali enakovredno. </t>
  </si>
  <si>
    <t xml:space="preserve">Podnapetostni sprožnik za odklopnik, z nazivno napetostjo 230 V AC. Tip: Serija MC1 - SCHRACK ali enakovredno. </t>
  </si>
  <si>
    <t>Ttrifazni vtikač za priklop mobilnega DEA  za montažo na starnico el. razdelilnika 3P+N+PE, 400V, 32A, IP65, 6h.</t>
  </si>
  <si>
    <r>
      <rPr>
        <b/>
        <sz val="9"/>
        <rFont val="Arial"/>
        <family val="2"/>
        <charset val="238"/>
      </rPr>
      <t>Merilni inštrument - multimeter</t>
    </r>
    <r>
      <rPr>
        <sz val="9"/>
        <rFont val="Arial"/>
        <family val="2"/>
        <charset val="238"/>
      </rPr>
      <t xml:space="preserve">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r>
  </si>
  <si>
    <t xml:space="preserve">Tokovni merilni transformator 40/5 A. SCHRACK ali enakovredno. 
  </t>
  </si>
  <si>
    <t xml:space="preserve">Fazno nadzorni rele. Tip: UR5P3011 SCHRACK ali enakovredno.  
  </t>
  </si>
  <si>
    <t xml:space="preserve">Grelec 150W, montaža na letev. SCHRACK ali enakovrendno 
  </t>
  </si>
  <si>
    <t>Termostat 0-50°C za ogrevanje, 1x odpiralni kontakt, montaža na letev. SCHRACK ali enakovredno</t>
  </si>
  <si>
    <t>Ventilator za hlajenje električnega razdelilnika 19 W / 82 m3/h, 230 V, 50 Hz, v kompletu z filtrom dimenzije 202 x 202 mm v stopnji mehanske zaščite IP54. SCHRACK ali enakovredno.</t>
  </si>
  <si>
    <t>Termostat 0-50°C za hlajenje, 1x zapiralni kontakt, montaža na letev. SCHRACK ali enakovredno.</t>
  </si>
  <si>
    <t>Izhodni filter dimenzije 202 x 202 mm   v stopnji mehanske zaščite IP54. SCHRACK ali enakovredno.</t>
  </si>
  <si>
    <t>Končno stikalo za vrata v razdelilniku. SCHRACK ali enakovredno</t>
  </si>
  <si>
    <t>Servisna luč v razdelilniku z vtičnico. SCHRACK ali enakovredno</t>
  </si>
  <si>
    <t>Vtičnica 400V / 16A / 5p / 6h ;  za motažo na montažno ploščo el. razdelilnika, komplet</t>
  </si>
  <si>
    <t>Vtičnica 230V / 16A za montažo na montažno ploščo el. razdelilnika, komplet</t>
  </si>
  <si>
    <t>Zaščitno tokovno stikalo na direfenčni tok 25/0,03A 4p občutljivo na pulzirajoče tokove (klasa A). SCHRACK ali enakovredno.</t>
  </si>
  <si>
    <t>Stikalo za preizkus varnostne razsvetljave 1-polno / 10A / položaj 1 - 0 za montažo na DIN letev. SCHRACK ali enakovredno.</t>
  </si>
  <si>
    <t>Vtičnica 230V, 16A montaža na DIN letev. SCKRACK ali enakovredno.</t>
  </si>
  <si>
    <t xml:space="preserve">Ločilni transformator 230 / 230V 1000 VA.   SCHRACK ali  enakovredno. </t>
  </si>
  <si>
    <t>ON-Line naprava za neprekinjeno napajanje z električno energijo 1000 VA, 230 V, 50Hz, 60 min avtonomija SCHRACK ali  enakovredno.</t>
  </si>
  <si>
    <t>Napajalnik 230 V AC / 24 V DC, 6,3 A TIP: DR-75-24. Mean Well ali enakovredno.</t>
  </si>
  <si>
    <t>Galvanska ločitev tokovne merilne zanke DC/DC 4-20/4-20mA. Weidmueller ali enakovredno.</t>
  </si>
  <si>
    <t>Štecev komulative pretoka [m3] z nazivno napajno napetostjo 24 V DC.</t>
  </si>
  <si>
    <t>Močnostni kontaktor 4kW / 9A  AC3. Napetost tuljave 24V DC. SCHRACK ali enakovredno</t>
  </si>
  <si>
    <t>Pomožni delovni kontakt za močnostni kontaktor. SCHRACK ali enakovredno</t>
  </si>
  <si>
    <t>Pomožni mirovni kontakt za močnostni kontaktor. SCHRACK ali enakovredno</t>
  </si>
  <si>
    <t>Zaščitno motorsko stikalo v tokovnem območju 0,63 - 1,00 A.  SCHRACK ali enakovredno</t>
  </si>
  <si>
    <t>Zaščitno motorsko stikalo v tokovnem območju 6,3 - 10,0 A.  SCHRACK ali enakovredno</t>
  </si>
  <si>
    <t>Pomožni kontakti za zaščitno motorsko stikalo, montaža z strani- 1x delovni kontakt in 1x mirovni kontakt. SHRACK ali enakovredno</t>
  </si>
  <si>
    <t>Avtomatski inštalacijski odklopnik 16A AC; karakteristike C, 3-polni, 10 kA. SCHRACK ali enakovredno.</t>
  </si>
  <si>
    <t>Avtomatski inštalacijski odklopnik 16A AC; karakteristike C, 1-polni, 10 kA. SCHRACK ali enakovredno.</t>
  </si>
  <si>
    <t>Avtomatski inštalacijski odklopnik 10A AC; karakteristike C, 1-polni, 10 kA. SCHRACK ali enakovredno.</t>
  </si>
  <si>
    <t>Avtomatski inštalacijski odklopnik 10A AC; karakteristike C, 1-polni, 10 kA z prigrajenimi pomožnimi kontakti. SCHRACK ali enakovredno.</t>
  </si>
  <si>
    <t>Avtomatski inštalacijski odklopnik 10A AC; karakteristike C, 2-polni, 10 kA z prigrajenimi pomožnimi kontakti. SCHRACK ali enakovredno.</t>
  </si>
  <si>
    <t>Avtomatski inštalacijski odklopnik 6A AC; karakteristike C, 2-polni, 10 kA. SCHRACK ali enakovredno.</t>
  </si>
  <si>
    <t>Avtomatski inštalacijski odklopnik 16A AC; karakteristike B, 1-polni, 10 kA. SCHRACK ali enakovredno.</t>
  </si>
  <si>
    <t>Avtomatski inštalacijski odklopnik 10A AC; karakteristike B, 3-polni, 10 kA. SCHRACK ali enakovredno.</t>
  </si>
  <si>
    <t>Avtomatski inštalacijski odklopnik 10A AC; karakteristike B, 2-polni, 10 kA z prigrajenimi pomožnimi kontakti. SCHRACK ali enakovredno.</t>
  </si>
  <si>
    <t>Avtomatski inštalacijski odklopnik 6A AC; karakteristike B, 1-polni, 10 kA. SCHRACK ali enakovredno.</t>
  </si>
  <si>
    <t>Avtomatski inštalacijski odklopnik 6A DC; karakteristike B, 2-polni, 6 kA. SCHRACK ali enakovredno.</t>
  </si>
  <si>
    <t>Varovalčni ločilnik za cilindrične varavalke - 2. polni. Tip Schrack 10x38 mm. SCHRACK ali enakovredno.</t>
  </si>
  <si>
    <t>Celindrični talilni vložek za varovalčni ločilnik 10x38 mm, karateristike gG z nazivnim tokm 1 A. SCHRACK ali enakovredno.</t>
  </si>
  <si>
    <t>Celindrični talilni vložek za varovalčni ločilnik 10x38 mm, karateristike gG z nazivnim tokm 2 A. SCHRACK ali enakovredno.</t>
  </si>
  <si>
    <t>Celindrični talilni vložek za varovalčni ločilnik 10x38 mm, karateristike gG z nazivnim tokm 4 A. SCHRACK ali enakovredno.</t>
  </si>
  <si>
    <t>Tipka gobasta,  zaskočna, rdeča. Tip RMQ Titan - SCHRACK ali enakovredno.</t>
  </si>
  <si>
    <t>Tipka, trenutni kontakt, črna. Tip RMQ Titan -  SCHRACK ali enakovredno.</t>
  </si>
  <si>
    <t>Tipka, trenutni kontakt, rdeča. Tip RMQ Titan -  SCHRACK ali enakovredno.</t>
  </si>
  <si>
    <t>Signalna svetilka zelena. Tip RMQ Titan -  SCHRACK ali enakovredno.</t>
  </si>
  <si>
    <t>Signalna svetilka oranžna. Tip RMQ Titan -  SCHRACK ali enakovredno.</t>
  </si>
  <si>
    <t>Signalna svetilka rdeča. Tip RMQ Titan -  SCHRACK ali enakovredno.</t>
  </si>
  <si>
    <t>Led mudul za signalno svetilko 24 V DC -  zelen. Tip RMQ Titan -  SCHRACK ali enakovredno.</t>
  </si>
  <si>
    <t>Led mudul za signalno svetilko 24 V DC -  rdeč. Tip RMQ Titan -  SCHRACK ali enakovredno.</t>
  </si>
  <si>
    <t>Led mudul za signalno svetilko 24 V DC -  beli. Tip RMQ Titan -  SCHRACK ali enakovredno.</t>
  </si>
  <si>
    <t>Nosilec kontaktnega elementa. Tip RMQ Titan -  SCHRACK ali enakovredno.</t>
  </si>
  <si>
    <t>Adapter za montažo tipke oz. signalne svetilke na DIN letev. Tip RMQ Titan -  SCHRACK ali enakovredno.</t>
  </si>
  <si>
    <t>Kontaktni element -  delovni kontakt, sprednja montaža. Tip RMQ Titan -  SCHRACK ali enakovredno.</t>
  </si>
  <si>
    <t>Kontaktni element -  mirovni kontakt, sprednja montaža. Tip RMQ Titan -  SCHRACK ali enakovredno.</t>
  </si>
  <si>
    <t xml:space="preserve">Rele 24V DC, s tremi preklopnimi kontakti 10A. Tip: PT miniaturni rele SCHRACK ali enakovredno. </t>
  </si>
  <si>
    <t xml:space="preserve">Rele 220V AC, s tremi preklopnimi kontakti 10A. Tip: PT miniaturni rele SCHRACK ali enakovredno. </t>
  </si>
  <si>
    <t>Podnožje za  PT miniaturni rele 3-polno 10A. SCHRACK ali enakovredno.</t>
  </si>
  <si>
    <t>Oznaka releja - PT miniaturni rele 3-polni 10A. SCHRACK ali enakovredno.</t>
  </si>
  <si>
    <t>Nadometni javljalnik gibanja 360°
TIP: Infra Garde 360, proizvajalec: Zublin ali enakovredeno
javljalnik se veže na krmilnik za potrebe proženja alarma v primeru gibanja
napajanje: 230 V
relejski izhod
notranja uporaba
zaščita vsaj IP44
kot pokritosti: 360°</t>
  </si>
  <si>
    <t>Palična LED svetilka IP65 , 6000lum, 4000K, montažo ter priklopom.</t>
  </si>
  <si>
    <t>LED modul zelen z ničelno diodo 24 V DC za PT podnožje.  SCHRACK ali enakovredno.</t>
  </si>
  <si>
    <t>LED modul zelen 220 V AC za PT podnožje. SCHRACK ali enakovredno.</t>
  </si>
  <si>
    <t>Stikalo 2-polno / 10A / položaj 1 - 0 - 2; za montažo na DIN letev. SCHRACK ali enakovredno.</t>
  </si>
  <si>
    <t>Vezava krmilnika po popisu</t>
  </si>
  <si>
    <t>Vezava centrale tehnilnega varovanja po popisu</t>
  </si>
  <si>
    <t>Vrstne sponke  za montažo na DIN letev, za priključek enožilnega vodnika do 0,5-6 mm2, siva - povezalni shemi.  SCHRACK ali enakovredno.</t>
  </si>
  <si>
    <t>Ostala nespecificirana spojna in montažna oprema (nosilci, PVC kanali, PVC zaščita zbiralk, PF vodniki ustreznih premerov in barv za notranje ožičenje, izolirani tulci in ostali spojni in pritrdilni material)</t>
  </si>
  <si>
    <t>2.</t>
  </si>
  <si>
    <t>Dobava, montaža, priklop, parametriranje in preizkus delovanja elemetov za izvedbo tehničnega varovanja objekta v naslednji sestavi:</t>
  </si>
  <si>
    <t>Sirena 24V / 68mA za zunanjo montažo z bliskavico (rdeča), 110dB - cooper, IP65. Tip 640003FULL-0238X ali enakovredno</t>
  </si>
  <si>
    <t>3.</t>
  </si>
  <si>
    <t xml:space="preserve">Dobava, montaža, vezava in preizkus delovanja prostoprogramirnega sistema z možnostjo daljinskega nadzora v kompletu. Progranmiranje  in preiskus izdelane aplikacije z naslednjimi lastnostmi:   </t>
  </si>
  <si>
    <t>Programibilni logični krmilnik (PLC) z možnostjo daljinskega dostopa, nadzora, programiranja z ustrezno SD spominsko kartico.
Tip: Modicon M241, TM241CE24R, proizvajalec: Schneider ali enakovredno
Dodatne specifikacije v PRILOGI PLC</t>
  </si>
  <si>
    <t>Krmilnik je modularne izvedbe in ima  naslednjo konfiguracijo:</t>
  </si>
  <si>
    <r>
      <t xml:space="preserve">Razširitveni digitalni vhodni modul
</t>
    </r>
    <r>
      <rPr>
        <sz val="10"/>
        <rFont val="Cambria"/>
        <family val="2"/>
      </rPr>
      <t>Tip: TM3DI16, Proizvajalec: Schneider ali enakovredno z naslednjimi lastnostmi:</t>
    </r>
    <r>
      <rPr>
        <b/>
        <sz val="10"/>
        <rFont val="Cambria"/>
        <family val="2"/>
      </rPr>
      <t xml:space="preserve">
</t>
    </r>
    <r>
      <rPr>
        <sz val="10"/>
        <rFont val="Cambria"/>
        <family val="2"/>
      </rPr>
      <t>število vhodov 16, 24 V DC</t>
    </r>
    <r>
      <rPr>
        <b/>
        <sz val="10"/>
        <rFont val="Cambria"/>
        <family val="2"/>
      </rPr>
      <t xml:space="preserve"> </t>
    </r>
    <r>
      <rPr>
        <sz val="10"/>
        <rFont val="Cambria"/>
        <family val="2"/>
      </rPr>
      <t>sink/source</t>
    </r>
  </si>
  <si>
    <r>
      <t xml:space="preserve">Razširitveni digitalni izhodni modul
</t>
    </r>
    <r>
      <rPr>
        <sz val="10"/>
        <rFont val="Cambria"/>
        <family val="2"/>
      </rPr>
      <t>Tip: TM3DQ16R, Proizvajalec: Schneider ali enakovredno z naslednjimi lastnostmi:</t>
    </r>
    <r>
      <rPr>
        <b/>
        <sz val="10"/>
        <rFont val="Cambria"/>
        <family val="2"/>
      </rPr>
      <t xml:space="preserve">
</t>
    </r>
    <r>
      <rPr>
        <sz val="10"/>
        <rFont val="Cambria"/>
        <family val="2"/>
      </rPr>
      <t>število izhodov 16,  rele 2 A, vijačni</t>
    </r>
  </si>
  <si>
    <r>
      <t xml:space="preserve">Razširitveni analogni vhodni modul
</t>
    </r>
    <r>
      <rPr>
        <sz val="10"/>
        <rFont val="Cambria"/>
        <family val="2"/>
      </rPr>
      <t>Tip: TM3AI8, Proizvajalec: Schneider ali enakovredno z naslednjimi lastnostmi:
število vhodov vsaj 8, 4 - 20 mA, 
8 AI, -10...10 V / 0…10 V / 0...20 mA / 4...20 mA, 12 bit</t>
    </r>
  </si>
  <si>
    <t>Industrijski 4G/LTE mobilni usmerjevalnik z Wifi dostopno točko
tip: RUT955, Proizvajalec: Teltonika ali enakovredno
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</si>
  <si>
    <t>Zunanja antena 4G / 3G / GPRS / GSM / LTE / WCDMA / HSPA+
tip: WB 16, prozvajalec: Wittenberg ali enakovredno 
z ustreznim SMA priključkom na usmerjevalnik in zadostno dolžino kabla
zaščita IP67</t>
  </si>
  <si>
    <t>Dobava, montaža, vezava in preizkus delovanja  4 potrnega ethernet switch-a industrijske izvedbe z naslednjimi lastnostmi:</t>
  </si>
  <si>
    <t xml:space="preserve">kpl </t>
  </si>
  <si>
    <t>• WiFi dostopna točka (2.4GHz 802.11b/g/n)
• integriran spletni strežnik
• dvosmerna HSUPA komunikacija na 50 / 900 / 1900 / 2100 MHz 
• integriran DHCP strežnik
• DB9  port, SSH, Telnet, in Web konfiguracija
• NTP sinhronizacija
• nadzor podatkovnega prometa
• vgrajen VPN-usmerjevalnik  (IPSec/SSL/GRE/L2TP/PPTP)
• vgrajen datalogger požarnega zidu
• vgrajen datalogger za shranjevanje podatkov (FTP posredovanje)
• NAT
• Virtual COM,Mobus RTU,Modbus TCP
• možnost daljinske nadgradnje firmware preko interneta
• mehanska stopnja zaščite IP40
• centralni management
• delovna območje (-20 do + 70 °C)</t>
  </si>
  <si>
    <t>ETHERNET SWITCH Proizvajalca Siemens ( ali enakovreden)</t>
  </si>
  <si>
    <r>
      <rPr>
        <b/>
        <sz val="10"/>
        <color indexed="8"/>
        <rFont val="Cambria"/>
        <family val="2"/>
        <charset val="238"/>
      </rPr>
      <t>Dobava, namestitev, razširitev in izdelava kompletne potrebne programske in strojne opreme, z optimizacijo:</t>
    </r>
    <r>
      <rPr>
        <sz val="10"/>
        <color indexed="8"/>
        <rFont val="Cambria"/>
        <family val="2"/>
        <charset val="238"/>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</si>
  <si>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Dobava, montaža in vezava omarice za izenačenje potencialov GIP, nadgradne izvedbe, stopnja zaščite IP44. Montirana na steni v jašku. Narejena iz nerjaveče pločevine (AISI 304 Wnr. 1.4301). V kompletu z zbiralko 2 x M8, 10 x M6, 10 x M5 in priključkom za valjavec FeZn 25x4mm. Vključno z označevanjem priklopnega mesta vodnika.</t>
  </si>
  <si>
    <t>Dobava in montaža kabelske police INOX PK 100/50/2 v kompletu (police, pokrov, sojnice, spojni vijačni pribor, stenske konzole, siderni in vijačni (dolgi pribor).</t>
  </si>
  <si>
    <t>Dobava in montaža kabelske police INOX PK 50/50/2 v kompletu (police, pokrov, sojnice, spojni vijačni pribor, stenske konzole, siderni in vijačni (dolgi pribor).</t>
  </si>
  <si>
    <t>Dobava in montaža zaščitne PN cevi do Φ 36 mm,  v  kompletu  s  patentnimi skobami,  sidrni  in vijačni (dolgi) pribor, ali PVC  instalacijskih  kanalov.</t>
  </si>
  <si>
    <t>Dobava in montaža  EUROFLEX gibljive zaščitne cevi  do Φ 36 mm.</t>
  </si>
  <si>
    <t>Dobava, montaža, priklop, preiskus, zagon električnega radiatorja 2 kW, s kompletnim materialom in opremo, za montažo, preiskus, zagon, komplet.</t>
  </si>
  <si>
    <t>Dobava, montaža in vezava sobnega termostata.</t>
  </si>
  <si>
    <t>Dobava in montaža stikalnega materiala za n/o montažo</t>
  </si>
  <si>
    <t>○</t>
  </si>
  <si>
    <t>vtičnica 230V</t>
  </si>
  <si>
    <t>Dobava in montažata in preizkus nadgradnih (n/o) svetil, stopnja zaščite IP 65:</t>
  </si>
  <si>
    <t>Svetilo iz ojačanega poliestra, kapa iz strukturiranega polimetilmetakrilata, fluo svetilne cevi T26, 2 x 36 W z vgrajenim modulom za zasilno razsvetljavo z lastnim akomulatorjem avtonomije 1h. Tip Siteco ali enakovredno.</t>
  </si>
  <si>
    <t>Svetilo iz ojačanega poliestra, kapa iz strukturiranega polimetilmetakrilata, fluo svetilne cevi T26, 1 x 36 W z vgrajenim modulom za zasilno razsvetljavo z lastnim akomulatorjem avtonomije 1h. Tip Siteco ali enakovredno.</t>
  </si>
  <si>
    <t>Namensko svetilo zasilne razsvetljave 8 W, v lokalno pripravnem stiku, avtonomije 1 uro z ustreznim piktogramom.  Tip  Beghelli ali enakovredno.</t>
  </si>
  <si>
    <t>Izvedba priključkov opreme moči do 3kW.</t>
  </si>
  <si>
    <t>Izvedba priključkov opreme moči nad 3kW.</t>
  </si>
  <si>
    <t>Nadometna razdelina doza 100 x 100mm, stopnja žaščite minimalno IP 55 v kompletu z uvodnicami in pritdilnim materialom.</t>
  </si>
  <si>
    <t>Dobava in polaganje kablov. Polaganje delno v kabelsko polico, delno uvlečeni v zaščitne cevi:</t>
  </si>
  <si>
    <r>
      <t>kabel NYY-J, 3 x 6,0 mm</t>
    </r>
    <r>
      <rPr>
        <vertAlign val="superscript"/>
        <sz val="11"/>
        <rFont val="Arial"/>
        <family val="2"/>
        <charset val="238"/>
      </rPr>
      <t>2</t>
    </r>
  </si>
  <si>
    <r>
      <t>kabel NYY-J, 3 x 2,5 mm</t>
    </r>
    <r>
      <rPr>
        <vertAlign val="superscript"/>
        <sz val="11"/>
        <rFont val="Arial"/>
        <family val="2"/>
        <charset val="238"/>
      </rPr>
      <t>2</t>
    </r>
  </si>
  <si>
    <r>
      <t>kabel NYY-J, 5 x 1,5 mm</t>
    </r>
    <r>
      <rPr>
        <vertAlign val="superscript"/>
        <sz val="11"/>
        <rFont val="Arial"/>
        <family val="2"/>
        <charset val="238"/>
      </rPr>
      <t>2</t>
    </r>
  </si>
  <si>
    <r>
      <t>kabel NYY-J, 3 x 1,5 mm</t>
    </r>
    <r>
      <rPr>
        <vertAlign val="superscript"/>
        <sz val="11"/>
        <rFont val="Arial"/>
        <family val="2"/>
        <charset val="238"/>
      </rPr>
      <t>5</t>
    </r>
    <r>
      <rPr>
        <sz val="11"/>
        <color indexed="8"/>
        <rFont val="Calibri"/>
        <family val="2"/>
        <charset val="238"/>
      </rPr>
      <t/>
    </r>
  </si>
  <si>
    <r>
      <t>kabel OLFLEX CLASSIC 110  5 G 1,5 mm</t>
    </r>
    <r>
      <rPr>
        <vertAlign val="superscript"/>
        <sz val="11"/>
        <rFont val="Arial"/>
        <family val="2"/>
        <charset val="238"/>
      </rPr>
      <t>2</t>
    </r>
  </si>
  <si>
    <r>
      <t>kabel OLFLEX CLASSIC 110  4 G 1,5 mm</t>
    </r>
    <r>
      <rPr>
        <vertAlign val="superscript"/>
        <sz val="11"/>
        <rFont val="Arial"/>
        <family val="2"/>
        <charset val="238"/>
      </rPr>
      <t>2</t>
    </r>
  </si>
  <si>
    <r>
      <t>kabel OLFLEX CLASSIC 110  3 G 1,5 mm</t>
    </r>
    <r>
      <rPr>
        <vertAlign val="superscript"/>
        <sz val="11"/>
        <rFont val="Arial"/>
        <family val="2"/>
        <charset val="238"/>
      </rPr>
      <t>2</t>
    </r>
  </si>
  <si>
    <r>
      <t>kabel OLFLEX CLASSIC 110  12 G 0,75 mm</t>
    </r>
    <r>
      <rPr>
        <vertAlign val="superscript"/>
        <sz val="11"/>
        <rFont val="Arial"/>
        <family val="2"/>
        <charset val="238"/>
      </rPr>
      <t>2</t>
    </r>
  </si>
  <si>
    <r>
      <t>kabel OLFLEX OLFLEX UNITRONIC LiYCY 3 x 0,75  mm</t>
    </r>
    <r>
      <rPr>
        <vertAlign val="superscript"/>
        <sz val="11"/>
        <rFont val="Arial"/>
        <family val="2"/>
        <charset val="238"/>
      </rPr>
      <t>2</t>
    </r>
  </si>
  <si>
    <r>
      <t>kabel OLFLEX OLFLEX UNITRONIC LiYCY 5 x 0,75 mm</t>
    </r>
    <r>
      <rPr>
        <vertAlign val="superscript"/>
        <sz val="11"/>
        <rFont val="Arial"/>
        <family val="2"/>
        <charset val="238"/>
      </rPr>
      <t>2</t>
    </r>
  </si>
  <si>
    <r>
      <t>kabel OLFLEX OLFLEX UNITRONIC LiYCY TP 3 x 2 x 1mm</t>
    </r>
    <r>
      <rPr>
        <vertAlign val="superscript"/>
        <sz val="11"/>
        <rFont val="Arial"/>
        <family val="2"/>
        <charset val="238"/>
      </rPr>
      <t>2</t>
    </r>
  </si>
  <si>
    <t>Zemljska dela potrebna za izvedbo električnih inštalacij  objekta:</t>
  </si>
  <si>
    <t xml:space="preserve">Kombinirani strojno - ročni  izkop jarka globine 0.65 m in širine 0,3 m v teren III. - IV. ktg., položitev INOX traku 30 x 3,5 mm, zasip INOX traka s fino zemljo, ostalo pa izkopanim materialom jarka s sprotnim utrjevanjem, utrditev. </t>
  </si>
  <si>
    <t>Strojno nakladanje viška materiala na kamion, odvoz v deponijo do 3,0 km, v ceni je zajet tudi strošek deponije.</t>
  </si>
  <si>
    <t>Dobava in polaganje INOX traku 30 x 3,5 mm,  v zemljo na globini 0,6 m, v kompletu z zemeljskimi deli.</t>
  </si>
  <si>
    <t>Dobava in polaganje INOX žice ϕ8 mm, položen nadometno na zidne nosilce, delno na strešne in slemenske nosilce vključno z nosilci.</t>
  </si>
  <si>
    <t>Dobava in polaganje INOX paličnega ozemljila višine 3 m in premera 20 mm.</t>
  </si>
  <si>
    <t>Dobava in montaža INOX križne sponke trak-trak.</t>
  </si>
  <si>
    <t>Dobava in montaža INOX križne sponke trak-žica.</t>
  </si>
  <si>
    <r>
      <t>Dobava in montaža objemke z križno sponka za cev  (</t>
    </r>
    <r>
      <rPr>
        <sz val="11"/>
        <rFont val="Symbol"/>
        <family val="1"/>
        <charset val="2"/>
      </rPr>
      <t xml:space="preserve">f </t>
    </r>
    <r>
      <rPr>
        <sz val="11"/>
        <rFont val="Arial"/>
        <family val="2"/>
        <charset val="238"/>
      </rPr>
      <t>cevi glej v načrt)</t>
    </r>
  </si>
  <si>
    <t>Izvedba vijačnega ali varjenega stika.</t>
  </si>
  <si>
    <t>Dobava in montaža premostitvenega stika na cevovodih z Cu pletenico l = 0,5 m v kompletu z ustreznimi kabelskimi končnicami.</t>
  </si>
  <si>
    <t>Izvedba zaščite valjanca - stika z bitumenskim premazom.</t>
  </si>
  <si>
    <t>kg</t>
  </si>
  <si>
    <t>Dobava in položitev vodnika P/F 6mm2.</t>
  </si>
  <si>
    <t>Dobava in položitev vodnika P/F 16mm2.</t>
  </si>
  <si>
    <t>Izvedba izenačitev potencialov kovinskih mas</t>
  </si>
  <si>
    <t>Dobava, montaža, priklop, preizkus, zagon elementov tehnične zaščite objekta v sestavi:   -  induktivno stikalo 24 V DC, 4-žična variata, komplet z nosilcem, komplet z pritrdilnim materialom.</t>
  </si>
  <si>
    <r>
      <rPr>
        <b/>
        <sz val="10"/>
        <rFont val="Cambria"/>
        <family val="2"/>
        <charset val="238"/>
      </rPr>
      <t xml:space="preserve">Merilnik temperature zraka v prostoru
</t>
    </r>
    <r>
      <rPr>
        <sz val="10"/>
        <rFont val="Cambria"/>
        <family val="2"/>
        <charset val="238"/>
      </rPr>
      <t>komunikacijski priključek RS485 MODBUS RTU, merilno območje -30 do 40°C, vključno s celotnim montažno pritrdilnim materialom.
Tip:  TTP 311, proizvajalec: Eltratec ali enakovredno</t>
    </r>
  </si>
  <si>
    <r>
      <rPr>
        <b/>
        <sz val="10"/>
        <rFont val="Cambria"/>
        <family val="2"/>
      </rPr>
      <t xml:space="preserve">Merilnik tlaka v cevovodu
</t>
    </r>
    <r>
      <rPr>
        <sz val="10"/>
        <rFont val="Cambria"/>
        <family val="2"/>
      </rPr>
      <t>medij: voda, komunikacijski priključek RS485 ModBUS RTU, merilno območje 0-16 bar, zaščita IP68, cevni priključek R1/2, vključno s celotnim montažno pritrdilnim materialom.  
 Tip: PPI 140, proizvajlec: Eltratec ali enakovredno.</t>
    </r>
  </si>
  <si>
    <r>
      <t>Priklop in preizkus delovanja pogona elektromotorne lopute oz. električnega ventila.</t>
    </r>
    <r>
      <rPr>
        <b/>
        <sz val="11"/>
        <rFont val="Arial"/>
        <family val="2"/>
        <charset val="238"/>
      </rPr>
      <t xml:space="preserve"> Pogon se dobavi skupaj z opremo in je zajet v strojni opremi objekta</t>
    </r>
    <r>
      <rPr>
        <sz val="11"/>
        <rFont val="Arial"/>
        <family val="2"/>
        <charset val="238"/>
      </rPr>
      <t xml:space="preserve">. </t>
    </r>
  </si>
  <si>
    <t xml:space="preserve">Dobava, montaža in preikus delovanja zasilnega izklopa montiranega na steno v jašku. Zasilni izklop je sestavljen iz: </t>
  </si>
  <si>
    <t xml:space="preserve"> -</t>
  </si>
  <si>
    <t>tipka gobasta,  zaskočna, rdeča. RMQ TITAN ali enakovredno</t>
  </si>
  <si>
    <t>kontaktni element -  mirovni kontakt. RMQ TITAN ali enakovredno</t>
  </si>
  <si>
    <t>ohišje tipke za zasilni izklop, rumene barve v kompletu z uvodnico in pritrdilnim materilaom.</t>
  </si>
  <si>
    <r>
      <rPr>
        <b/>
        <sz val="10"/>
        <rFont val="Cambria"/>
        <family val="2"/>
        <charset val="238"/>
      </rPr>
      <t>Testiranje in dokumentiranje programske in strojne opreme in delovanja:</t>
    </r>
    <r>
      <rPr>
        <sz val="10"/>
        <rFont val="Cambria"/>
        <family val="2"/>
        <charset val="238"/>
      </rPr>
      <t xml:space="preserve">
na nivoju objekta za redno in izredno delovanje
na nivoju objekt-objekt (odvisna objekta) za redno in izredno delovanje
na nivoju CNS za redno in izredno delovanje</t>
    </r>
  </si>
  <si>
    <r>
      <rPr>
        <b/>
        <sz val="10"/>
        <rFont val="Cambria"/>
        <family val="2"/>
        <charset val="238"/>
      </rPr>
      <t>Predaja vseh izvornih kod, licenc, konfiguracijskih datotek in administrativnih gesel</t>
    </r>
    <r>
      <rPr>
        <sz val="10"/>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</si>
  <si>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10"/>
        <rFont val="Cambria"/>
        <family val="2"/>
        <charset val="238"/>
      </rPr>
      <t>Izdelava tehnične dokumentacije v slovenskem jeziku</t>
    </r>
    <r>
      <rPr>
        <sz val="10"/>
        <rFont val="Cambria"/>
        <family val="2"/>
        <charset val="238"/>
      </rPr>
      <t xml:space="preserve">
v kompletu (PID) projekt izvedenega stanja.
Garancijske izjave.
Izdaja navodil o uporabi, obratovanju in vzdrževanju.</t>
    </r>
  </si>
  <si>
    <r>
      <rPr>
        <b/>
        <sz val="10"/>
        <rFont val="Cambria"/>
        <family val="2"/>
        <charset val="238"/>
      </rPr>
      <t>Izvedba instalacijskih meritev</t>
    </r>
    <r>
      <rPr>
        <sz val="10"/>
        <rFont val="Cambria"/>
        <family val="2"/>
        <charset val="238"/>
      </rPr>
      <t xml:space="preserve">
električne instalacije ter izdaja merilnih protokolov o uspešno opravljenih meritvah.</t>
    </r>
  </si>
  <si>
    <r>
      <rPr>
        <b/>
        <sz val="9"/>
        <rFont val="Cambria"/>
        <family val="2"/>
        <charset val="238"/>
      </rPr>
      <t>Zagon, testiranje in optimizacija objekta</t>
    </r>
    <r>
      <rPr>
        <sz val="9"/>
        <rFont val="Cambria"/>
        <family val="2"/>
        <charset val="238"/>
      </rPr>
      <t xml:space="preserve">
Spuščanje v pogon, test delovanja in nastavitve parametrov (v PLC-ju, zaščitnih napravah, merilnikih …)</t>
    </r>
  </si>
  <si>
    <r>
      <rPr>
        <b/>
        <sz val="9"/>
        <rFont val="Cambria"/>
        <family val="2"/>
        <charset val="238"/>
      </rPr>
      <t xml:space="preserve">Izobraževanje uporabnika 
</t>
    </r>
    <r>
      <rPr>
        <sz val="9"/>
        <rFont val="Cambria"/>
        <family val="2"/>
        <charset val="238"/>
      </rPr>
      <t>v slovenskem jeziku na sedežu podjetja upravljavca sistema B.
Nastavitve, upravljanje sistema</t>
    </r>
  </si>
  <si>
    <t>Sodelovanje z ostalimi izvajalci na objektu.</t>
  </si>
  <si>
    <t>Drobni in vezni material</t>
  </si>
  <si>
    <r>
      <t xml:space="preserve">Dobava, montaža in vezava električnmega razdelilnika  </t>
    </r>
    <r>
      <rPr>
        <b/>
        <sz val="11"/>
        <rFont val="Arial"/>
        <family val="2"/>
        <charset val="238"/>
      </rPr>
      <t>R-JAŠEK LEMERJE.</t>
    </r>
  </si>
  <si>
    <t>Merilni inštrument - multimeter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</si>
  <si>
    <r>
      <t xml:space="preserve">Razširitveni digitalni vhodni modul
</t>
    </r>
    <r>
      <rPr>
        <sz val="9"/>
        <rFont val="Cambria"/>
        <family val="2"/>
      </rPr>
      <t>Tip: TM3DI16, Proizvajalec: Schneider ali enakovredno z naslednjimi lastnostmi:</t>
    </r>
    <r>
      <rPr>
        <b/>
        <sz val="9"/>
        <rFont val="Cambria"/>
        <family val="2"/>
      </rPr>
      <t xml:space="preserve">
</t>
    </r>
    <r>
      <rPr>
        <sz val="9"/>
        <rFont val="Cambria"/>
        <family val="2"/>
      </rPr>
      <t>število vhodov 16, 24 V DC</t>
    </r>
    <r>
      <rPr>
        <b/>
        <sz val="9"/>
        <rFont val="Cambria"/>
        <family val="2"/>
      </rPr>
      <t xml:space="preserve"> </t>
    </r>
    <r>
      <rPr>
        <sz val="9"/>
        <rFont val="Cambria"/>
        <family val="2"/>
        <charset val="238"/>
      </rPr>
      <t>sink/source</t>
    </r>
  </si>
  <si>
    <r>
      <t xml:space="preserve">Razširitveni digitalni izhodni modul
</t>
    </r>
    <r>
      <rPr>
        <sz val="9"/>
        <rFont val="Cambria"/>
        <family val="2"/>
      </rPr>
      <t>Tip: TM3DQ16R, Proizvajalec: Schneider ali enakovredno z naslednjimi lastnostmi:</t>
    </r>
    <r>
      <rPr>
        <b/>
        <sz val="9"/>
        <rFont val="Cambria"/>
        <family val="2"/>
      </rPr>
      <t xml:space="preserve">
</t>
    </r>
    <r>
      <rPr>
        <sz val="9"/>
        <rFont val="Cambria"/>
        <family val="2"/>
      </rPr>
      <t>število izhodov 16,  rele 2 A, vijačni</t>
    </r>
  </si>
  <si>
    <r>
      <t xml:space="preserve">Razširitveni analogni vhodni modul
</t>
    </r>
    <r>
      <rPr>
        <sz val="9"/>
        <rFont val="Cambria"/>
        <family val="2"/>
      </rPr>
      <t>Tip: TM3AI8, Proizvajalec: Schneider ali enakovredno z naslednjimi lastnostmi:
število vhodov vsaj 8, 4 - 20 mA, 
8 AI, -10...10 V / 0…10 V / 0...20 mA / 4...20 mA, 12 bit</t>
    </r>
  </si>
  <si>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</si>
  <si>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Cambria"/>
        <family val="2"/>
        <charset val="238"/>
      </rPr>
      <t>tip: WB 16, prozvajalec: Wittenberg ali enakovredno</t>
    </r>
    <r>
      <rPr>
        <b/>
        <sz val="9"/>
        <rFont val="Cambria"/>
        <family val="2"/>
      </rPr>
      <t xml:space="preserve"> 
</t>
    </r>
    <r>
      <rPr>
        <sz val="9"/>
        <rFont val="Cambria"/>
        <family val="2"/>
      </rPr>
      <t>z ustreznim SMA priključkom na usmerjevalnik in zadostno dolžino kabla
zaščita IP67</t>
    </r>
  </si>
  <si>
    <r>
      <rPr>
        <b/>
        <sz val="9"/>
        <color indexed="8"/>
        <rFont val="Cambria"/>
        <family val="2"/>
        <charset val="238"/>
      </rPr>
      <t>Dobava, namestitev, razširitev in izdelava kompletne potrebne programske in strojne opreme, z optimizacijo:</t>
    </r>
    <r>
      <rPr>
        <sz val="9"/>
        <color indexed="8"/>
        <rFont val="Cambria"/>
        <family val="2"/>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mbria"/>
        <family val="2"/>
        <charset val="238"/>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</si>
  <si>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r>
      <rPr>
        <b/>
        <sz val="9"/>
        <rFont val="Cambria"/>
        <family val="2"/>
        <charset val="238"/>
      </rPr>
      <t xml:space="preserve">Merilnik temperature zraka v prostoru
</t>
    </r>
    <r>
      <rPr>
        <sz val="9"/>
        <rFont val="Cambria"/>
        <family val="2"/>
        <charset val="238"/>
      </rPr>
      <t>komunikacijski priključek RS485 MODBUS RTU, merilno območje -30 do 40°C, vključno s celotnim montažno pritrdilnim materialom.
Tip:  TTP 311, proizvajalec: Eltratec ali enakovredno</t>
    </r>
  </si>
  <si>
    <r>
      <rPr>
        <b/>
        <sz val="9"/>
        <rFont val="Cambria"/>
        <family val="2"/>
      </rPr>
      <t xml:space="preserve">Merilnik tlaka v cevovodu
</t>
    </r>
    <r>
      <rPr>
        <sz val="9"/>
        <rFont val="Cambria"/>
        <family val="2"/>
      </rPr>
      <t>medij: voda, komunikacijski priključek RS485 ModBUS RTU, merilno območje 0-16 bar, zaščita IP68, cevni priključek R1/2, vključno s celotnim montažno pritrdilnim materialom.  
 Tip: PPI 140, proizvajlec: Eltratec ali enakovredno.</t>
    </r>
  </si>
  <si>
    <r>
      <rPr>
        <b/>
        <sz val="9"/>
        <rFont val="Cambria"/>
        <family val="2"/>
        <charset val="238"/>
      </rPr>
      <t>Testiranje in dokumentiranje programske in strojne opreme in delovanja:</t>
    </r>
    <r>
      <rPr>
        <sz val="9"/>
        <rFont val="Cambria"/>
        <family val="2"/>
        <charset val="238"/>
      </rPr>
      <t xml:space="preserve">
na nivoju objekta za redno in izredno delovanje
na nivoju objekt-objekt (odvisna objekta) za redno in izredno delovanje
na nivoju CNS za redno in izredno delovanje</t>
    </r>
  </si>
  <si>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</si>
  <si>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mbria"/>
        <family val="2"/>
        <charset val="238"/>
      </rPr>
      <t>Izdelava tehnične dokumentacije v slovenskem jeziku</t>
    </r>
    <r>
      <rPr>
        <sz val="9"/>
        <rFont val="Cambria"/>
        <family val="2"/>
        <charset val="238"/>
      </rPr>
      <t xml:space="preserve">
v kompletu (PID) projekt izvedenega stanja.
Garancijske izjave.
Izdaja navodil o uporabi, obratovanju in vzdrževanju.</t>
    </r>
  </si>
  <si>
    <r>
      <rPr>
        <b/>
        <sz val="9"/>
        <rFont val="Cambria"/>
        <family val="2"/>
        <charset val="238"/>
      </rPr>
      <t>Izvedba instalacijskih meritev</t>
    </r>
    <r>
      <rPr>
        <sz val="9"/>
        <rFont val="Cambria"/>
        <family val="2"/>
        <charset val="238"/>
      </rPr>
      <t xml:space="preserve">
električne instalacije ter izdaja merilnih protokolov o uspešno opravljenih meritvah.</t>
    </r>
  </si>
  <si>
    <r>
      <t xml:space="preserve">Dobava, montaža in vezava električnmega razdelilnika  </t>
    </r>
    <r>
      <rPr>
        <b/>
        <sz val="11"/>
        <rFont val="Arial"/>
        <family val="2"/>
        <charset val="238"/>
      </rPr>
      <t>R-JAŠEK STRUKOVCI.</t>
    </r>
  </si>
  <si>
    <t>◊</t>
  </si>
  <si>
    <t>5.</t>
  </si>
  <si>
    <t>Dobava, montaža, vezava in preizkus delovanja GSM / GPRS komunikacijskega modema v kompletu z vrgajenim 5 potrnim ethernet switch-em industrijske izvedbe z naslednjimi lastnostmi:</t>
  </si>
  <si>
    <t>PRIPRAVLJALNA DELA</t>
  </si>
  <si>
    <t>1.1.</t>
  </si>
  <si>
    <t>Priprava delovišča in materiala</t>
  </si>
  <si>
    <t>1.2.</t>
  </si>
  <si>
    <t>Zakoličba trase kablovoda</t>
  </si>
  <si>
    <t>1.3.</t>
  </si>
  <si>
    <t>Zakoličba vseh ostalih obstoječih komunalnih vodov (ocenjeno)</t>
  </si>
  <si>
    <t>1.4.</t>
  </si>
  <si>
    <t>Izvedba stikalnih manipulacij, preizkus breznapetostnega stanja in zagotovitev varnega dela</t>
  </si>
  <si>
    <t>ZEMELJSKA DELA</t>
  </si>
  <si>
    <t>2.1.</t>
  </si>
  <si>
    <t xml:space="preserve">Ročni izkop kabelskega jarka globine 0.9 m in širine 0,4 m v teren III. - IV. ktg., izdelava mivčne blazinice, položitev opozorilnega traku, zasip jarka s sprotnim utrjevanjem, utrditev, odvoz dvečnega materjala na urejeno deponijo in planiranje </t>
  </si>
  <si>
    <t>2.2.</t>
  </si>
  <si>
    <t xml:space="preserve">Strojni izkop kabelskega jarka globine 0.9 m in širine 0,4 m v teren III. - IV. ktg., izdelava mivčne blazinice, položitev opozorilnega traku, zasip jarka s sprotnim utrjevanjem, utrditev, odvoz dvečnega materjala na urejeno deponijo in planiranje </t>
  </si>
  <si>
    <t>2.3.</t>
  </si>
  <si>
    <t xml:space="preserve">Strojni izkop oz. razširitev skupnega komunalnega jarka (cevod in NN kabel zaščitna cev za optični kabel) globine 0.9 m v teren III. - IV. ktg., izdelava mivčne blazinice, položitev opozorilnega traku, zasip jarka s sprotnim utrjevanjem, utrditev, odvoz dvečnega materjala na urejeno deponijo in planiranje </t>
  </si>
  <si>
    <t>2.4.</t>
  </si>
  <si>
    <t xml:space="preserve">Strojni izkop jame v terenu III. - IV ktg., za kabelski jašek ϕ100 cm, izdelava nasutja, podložnega betona, zasip jame, planiranj in odvoz odvečnega materiala na urejeno deponijo </t>
  </si>
  <si>
    <t>2.5.</t>
  </si>
  <si>
    <t>Kompletna izvedba z montažo armirano betonskega jaška  ϕ100 cm, globine 100 cm, stene debline 10 cm. Z odprtino za odvod vode v najnižji točki, z armirano betonsko ploščo z odprtino za pokrov. Zaščitnim kovinskim okvirjem in z povoznim pokrovom &gt;250kN (razred C), dimenzij 60 x 60 cm.  Z nastavkom 2x PVC DN110 mm, 2x PVC DN110 mm.</t>
  </si>
  <si>
    <t>2.6.</t>
  </si>
  <si>
    <t>3.1.</t>
  </si>
  <si>
    <r>
      <t>Dobava kabla NAYY-J 4x35 + 2,5 mm</t>
    </r>
    <r>
      <rPr>
        <vertAlign val="superscript"/>
        <sz val="11"/>
        <rFont val="Arial"/>
        <family val="2"/>
        <charset val="238"/>
      </rPr>
      <t xml:space="preserve">2 </t>
    </r>
  </si>
  <si>
    <t>3.2.</t>
  </si>
  <si>
    <r>
      <t>Uvleka kabla NAYY-J 4x35 + 2,5 mm</t>
    </r>
    <r>
      <rPr>
        <vertAlign val="superscript"/>
        <sz val="11"/>
        <rFont val="Arial"/>
        <family val="2"/>
        <charset val="238"/>
      </rPr>
      <t>2</t>
    </r>
    <r>
      <rPr>
        <sz val="11"/>
        <rFont val="Arial"/>
        <family val="2"/>
        <charset val="238"/>
      </rPr>
      <t xml:space="preserve"> v zaščitno cev 
</t>
    </r>
  </si>
  <si>
    <t>3.3.</t>
  </si>
  <si>
    <t>Montaža kabelske glave, kabelskih končnikov in priklop kabla NAYY-J 4x35 + 2,5 mm2 v +RČPR PREDANOVCI.</t>
  </si>
  <si>
    <t>3.4.</t>
  </si>
  <si>
    <t>Montaža kabelske glave, kabelskih končnikov in priklop kabla NAYY-J 4x35 + 2,5 mm2 v +R-JAŠEK PREDANOVCI</t>
  </si>
  <si>
    <t>3.5.</t>
  </si>
  <si>
    <t>Dobava in polaganje opozorilnega traku " POZOR ENERGETSKI KABEL "</t>
  </si>
  <si>
    <t>3.6.</t>
  </si>
  <si>
    <t>Dobava in polaganje "GAL" platičnega ščitnika.</t>
  </si>
  <si>
    <t>3.7.</t>
  </si>
  <si>
    <t>Dobava in montaža križnih sponk za INOX trak</t>
  </si>
  <si>
    <t>3.8.</t>
  </si>
  <si>
    <t xml:space="preserve">Dobava in položitev ozemljitvenega INOX valjanca 30x3,5mm v izkopani jarek.
</t>
  </si>
  <si>
    <t>3.9.</t>
  </si>
  <si>
    <t>Dobava in polaganje gibljive zaščitne cevi Φ 110 mm v kabelski jarek oz. skupni jarek z cevovodom.</t>
  </si>
  <si>
    <t>3.10.</t>
  </si>
  <si>
    <t>Prevoz materiala in nepredvidena montažna dela</t>
  </si>
  <si>
    <t>4.</t>
  </si>
  <si>
    <t>ZAKLJUČNA DELA</t>
  </si>
  <si>
    <t>4.1.</t>
  </si>
  <si>
    <t>Geodetski posnetek in vris kabelske trase v kataster</t>
  </si>
  <si>
    <t>4.2.</t>
  </si>
  <si>
    <t>Izvedba kompletnih meritev, izdaja potrebnih listin za tehnični prevzem objekta</t>
  </si>
  <si>
    <t>4.3.</t>
  </si>
  <si>
    <t>Pregled kablovoda in NN omrežja ter vključitev v NN omrežje</t>
  </si>
  <si>
    <t>4.4.</t>
  </si>
  <si>
    <t>Sodelovanje pri tehničnem pregledu</t>
  </si>
  <si>
    <t>4.5.</t>
  </si>
  <si>
    <t>Vnašanje sprememb med gradnjo v risbe faze PZI in priprava tehnične dokumantacije PID</t>
  </si>
  <si>
    <t>4.6.</t>
  </si>
  <si>
    <t>Izdelava tehnične dokumentacije PID ter navodil za obratovanje in vzdževanje.</t>
  </si>
  <si>
    <t>4.7.</t>
  </si>
  <si>
    <t>Ostala nepopisana, dodatna in naknadna dela proti vpisu v gradbeni dnevnik in podpisu nadzornega organa</t>
  </si>
  <si>
    <t xml:space="preserve"> So upoštevana v poglavju a) - točka 2!!</t>
  </si>
  <si>
    <t>Dobava in polaganje zaščitne cevi 2x Φ 50 mm v zaščito optičnega kabla. Cev se po celotni trasi polaga v skupni jarek z vodovodom in NN kablovodom.</t>
  </si>
  <si>
    <t xml:space="preserve">Dobava in polaganje z vpihovanjem optičnega kabla SINGLE MODE 8 vlaken 9/125 μm. Kabel moa biti odporen na vodo in glodalce. 
</t>
  </si>
  <si>
    <t>Zaključitev optičnega kabla v električne razdelilniku črpališča Predanovci v kompletu z vsem potrebnim materialom (optična kateseta, konektorji, patch kabli in potrošni material).</t>
  </si>
  <si>
    <t>Zaključitev optičnega kabla v električne razdelilniku jaška Predanovci v kompletu z vsem potrebnim materialom (optična kateseta, konektorji, patch kabli in potrošni material).</t>
  </si>
  <si>
    <t xml:space="preserve">Dobava, montaža, vezava in preizkus delovanja pretvornika iz Optike na Ethernert industrijske izvedba. Programiranje, preizkus delovanja in optimiranje prenosa podatkov.  V kompletu z napajalnikom za napajalno napetost 24V DC.  </t>
  </si>
  <si>
    <t>Dobava in polaganje opozorilnega traku " POZOR TK KABEL "</t>
  </si>
  <si>
    <t xml:space="preserve">Strojni izkop jame v terenu III. - IV ktg., za podstavek PMO, obbetoniranje postavka zasip jame, planiranj in odvoz odvečnega materiala na urejeno deponijo. </t>
  </si>
  <si>
    <t xml:space="preserve">Strojni izkop jame v terenu III. - IV ktg., za izvedbo podvrtavanja regionalne ceste R3-715/5645, Murska Sobota- Skakovci v km 9.5+300.  </t>
  </si>
  <si>
    <r>
      <t xml:space="preserve">Kompletna izvedba podvrtavanja regionalne ceste R3-715/5645, Murska Sobota- Skakovci v km 9.5+300, v kompletu z vstavitvijo zaščitne cevi DN 200. </t>
    </r>
    <r>
      <rPr>
        <b/>
        <sz val="11"/>
        <rFont val="Arial"/>
        <family val="2"/>
        <charset val="238"/>
      </rPr>
      <t xml:space="preserve">Dolžina podvrtavanja je 10 m! </t>
    </r>
    <r>
      <rPr>
        <sz val="11"/>
        <rFont val="Arial"/>
        <family val="2"/>
        <charset val="238"/>
      </rPr>
      <t xml:space="preserve"> </t>
    </r>
  </si>
  <si>
    <t>2.7.</t>
  </si>
  <si>
    <r>
      <t>Dobava kabla NAYY-J 4x70 + 2,5 mm</t>
    </r>
    <r>
      <rPr>
        <vertAlign val="superscript"/>
        <sz val="11"/>
        <rFont val="Arial"/>
        <family val="2"/>
        <charset val="238"/>
      </rPr>
      <t xml:space="preserve">2 </t>
    </r>
  </si>
  <si>
    <r>
      <t>Uvleka kabla NAYY-J 4x70 + 2,5 mm</t>
    </r>
    <r>
      <rPr>
        <vertAlign val="superscript"/>
        <sz val="11"/>
        <rFont val="Arial"/>
        <family val="2"/>
        <charset val="238"/>
      </rPr>
      <t>2</t>
    </r>
    <r>
      <rPr>
        <sz val="11"/>
        <rFont val="Arial"/>
        <family val="2"/>
        <charset val="238"/>
      </rPr>
      <t xml:space="preserve"> v zaščitno cev 
</t>
    </r>
  </si>
  <si>
    <t>Montaža kabla NAYY-J 4x70 + 2,5 mm2 po obstoječem drogu, vključno z mehsko zaščito kabla do višine 2 m.</t>
  </si>
  <si>
    <t>Montaža kabelske glave, kabelskih končnikov in priklop kabla NAYY-J 4x70 + 2,5 mm2 v +PS-PRMO LEMERJE</t>
  </si>
  <si>
    <t>Dobava in montaža PS-PRMO sestavljene iz:</t>
  </si>
  <si>
    <r>
      <t xml:space="preserve">Stikalni blok dimenzij  (v x š x g) 940 x 600 x 190 mm z dvojnimi vrati in z odprtim dnom ter zračno režo pod streho in na dnu omare . Stopnja mehanske žaščite IP54.  Narejen iz vroče stisnjenega poliestra, ojačanega s steklenimi vlakni. </t>
    </r>
    <r>
      <rPr>
        <b/>
        <sz val="11"/>
        <rFont val="Arial"/>
        <family val="2"/>
        <charset val="238"/>
      </rPr>
      <t xml:space="preserve"> </t>
    </r>
    <r>
      <rPr>
        <sz val="11"/>
        <rFont val="Arial"/>
        <family val="2"/>
        <charset val="238"/>
      </rPr>
      <t xml:space="preserve">Barva siva RAL 7032.
Ločena vrata za varovalčni in števčni del. Vrata varovalčnega dela morajo imeti 3 točkovno zapiranje. Vrata števčnega dela morajo imeti 3 okna.
V števčnem delu morajo biti vgrajeni 3 podstavki za montažo števcev.  
Tovarniški izdelek </t>
    </r>
    <r>
      <rPr>
        <i/>
        <sz val="11"/>
        <rFont val="Arial"/>
        <family val="2"/>
        <charset val="238"/>
      </rPr>
      <t>PREBIL PLAST</t>
    </r>
    <r>
      <rPr>
        <sz val="11"/>
        <rFont val="Arial"/>
        <family val="2"/>
        <charset val="238"/>
      </rPr>
      <t xml:space="preserve"> ali enakovredno.  </t>
    </r>
  </si>
  <si>
    <r>
      <t xml:space="preserve">Podstavek za omaro dimenzij (v x š x g) 1000 x 600 x 190 mm  Narejen iz vroče stisnjenega poliestra, ojačanega s steklenimi vlakni. Višina podstavka 1000 mm, primeren za vgradnjo v betonski temelj. Barva siva RAL 7032. Tovarniški izdelek </t>
    </r>
    <r>
      <rPr>
        <i/>
        <sz val="11"/>
        <rFont val="Arial"/>
        <family val="2"/>
        <charset val="238"/>
      </rPr>
      <t>PREBIL PLAST</t>
    </r>
    <r>
      <rPr>
        <sz val="11"/>
        <rFont val="Arial"/>
        <family val="2"/>
        <charset val="238"/>
      </rPr>
      <t xml:space="preserve"> ali enakovredno. </t>
    </r>
  </si>
  <si>
    <t>Dobava in montaža opreme:</t>
  </si>
  <si>
    <t xml:space="preserve">Varovalčni ločilnik velikosti 0 (do 160 A) v kompletu z 3x 20A varovalke, karakteristike gG-gL </t>
  </si>
  <si>
    <t>Tarifne varovalke 20 A, karakteristike gG-gL žigosone z strani distributerja el. energije na tem območju (Elektro Maribor)</t>
  </si>
  <si>
    <t>Ničelna oz. PEN zbiralka N 470</t>
  </si>
  <si>
    <t>večfunkcijski elektronski trifazni števec, direktne vezave - tip štecva definiran v soglasju za pikljiučitev distributerja električne energije.</t>
  </si>
  <si>
    <t>Prenapetostni odvodniki za TN-S sistem napajanja razreda I.</t>
  </si>
  <si>
    <t>Vrstne sponke, ožičenje, enopolna shema in nalepke s funkcionalnimi napisi in delo</t>
  </si>
  <si>
    <t>3.11.</t>
  </si>
  <si>
    <t>Pridobitev elektronergetskega soglasja za 3x 25 A in pogodbe za priključitev na distribucijsko omrežje</t>
  </si>
  <si>
    <t>Strojni izkop jame v terenu III. - IV ktg., za izvedbo podvrtavanja regionalne ceste R3-715/5645, Murska Sobota - Skakovci v km 12.0+165.</t>
  </si>
  <si>
    <r>
      <t xml:space="preserve">Kompletna izvedba podvrtavanja regionalne ceste R3-715/5645, Murska Sobota - Skakovci v km 12.0+165, v kompletu z vstavitvijo zaščitne cevi DN 200. </t>
    </r>
    <r>
      <rPr>
        <b/>
        <sz val="11"/>
        <rFont val="Arial"/>
        <family val="2"/>
        <charset val="238"/>
      </rPr>
      <t xml:space="preserve">Dolžina podvrtavanja je 10 m! </t>
    </r>
    <r>
      <rPr>
        <sz val="11"/>
        <rFont val="Arial"/>
        <family val="2"/>
        <charset val="238"/>
      </rPr>
      <t xml:space="preserve"> </t>
    </r>
  </si>
  <si>
    <t>Montaža kabelske glave, kabelskih končnikov in priklop kabla NAYY-J 4x35 + 2,5 mm2 v obstoječi +PS-PRMO</t>
  </si>
  <si>
    <t>Montaža kabelske glave, kabelskih končnikov in priklop kabla NAYY-J 4x35 + 2,5 mm2 v +PS-PMO STRUKOVCI</t>
  </si>
  <si>
    <r>
      <t xml:space="preserve">Stikalni blok dimenzij  (v x š x g) 940 x 450 x 190 mm z dvojnimi vrati in z odprtim dnom ter zračno režo pod streho in na dnu omare . Stopnja mehanske žaščite IP54.  Narejen iz vroče stisnjenega poliestra, ojačanega s steklenimi vlakni. </t>
    </r>
    <r>
      <rPr>
        <b/>
        <sz val="11"/>
        <rFont val="Arial"/>
        <family val="2"/>
        <charset val="238"/>
      </rPr>
      <t xml:space="preserve"> </t>
    </r>
    <r>
      <rPr>
        <sz val="11"/>
        <rFont val="Arial"/>
        <family val="2"/>
        <charset val="238"/>
      </rPr>
      <t xml:space="preserve">Barva siva RAL 7032.
Ločena vrata za varovalčni in števčni del. Vrata varovalčnega dela morajo imeti 3 točkovno zapiranje. Vrata števčnega dela morajo imeti 2 okna.
V števčnem delu morajo biti vgrajeni 2 podstavka za montažo števcev.  
Tovarniški izdelek </t>
    </r>
    <r>
      <rPr>
        <i/>
        <sz val="11"/>
        <rFont val="Arial"/>
        <family val="2"/>
        <charset val="238"/>
      </rPr>
      <t>PREBIL PLAST</t>
    </r>
    <r>
      <rPr>
        <sz val="11"/>
        <rFont val="Arial"/>
        <family val="2"/>
        <charset val="238"/>
      </rPr>
      <t xml:space="preserve"> ali enakovredno.  </t>
    </r>
  </si>
  <si>
    <r>
      <t xml:space="preserve">Podstavek za omaro dimenzij (v x š x g) 1000 x 450 x 190 mm  Narejen iz vroče stisnjenega poliestra, ojačanega s steklenimi vlakni. Višina podstavka 1000 mm, primeren za vgradnjo v betonski temelj. Barva </t>
    </r>
    <r>
      <rPr>
        <i/>
        <sz val="11"/>
        <rFont val="Arial"/>
        <family val="2"/>
        <charset val="238"/>
      </rPr>
      <t xml:space="preserve">siva RAL 7032. Tovarniški izdelek </t>
    </r>
    <r>
      <rPr>
        <sz val="11"/>
        <rFont val="Arial"/>
        <family val="2"/>
        <charset val="238"/>
      </rPr>
      <t xml:space="preserve">PREBIL PLAST ali enakovredno. </t>
    </r>
  </si>
  <si>
    <t>Vodovod Puconci – Sebeborci (VPUS)</t>
  </si>
  <si>
    <t>m'</t>
  </si>
  <si>
    <t>Sekanje in odstranjevanje grmičevja in dreves (deb. do 10 cm), odvoz v deponijo do 1 km in sežig.</t>
  </si>
  <si>
    <t>Sekanje in odstranjevanje dreves (deb. nad 10 cm), odvoz v deponijo do 1 km in sežig.</t>
  </si>
  <si>
    <t>Strojno rezanje asfalta; dožina enojnega reza</t>
  </si>
  <si>
    <t>Strojni izkop humusa v primeru poteka trase vodovoda v travniku oz njivi. Globina izkopa 0,2 m in deponiranje v razdlaji 1 m od gradbene jame oz. odvoz na začasno deponijo v razdalji do 5 km, ter ponovno nakladanje, prevoz na gradbišče in vgradnjo humusa po terenu. Izkop izvršiti skladno s predpisi o varstvu pri delu.</t>
  </si>
  <si>
    <t>Strojni izkop jarka do določene nivelete s točnostjo ±10cm, z odmetom materiala 1.0 m od roba jarka oz. odvozom materiala na stalno deponijo, kjer trasa poteka v cesti oz njenem robu;  globina izkopa po podatkih vzdolžnega profila. Izkop izvršiti skladno s predpisi o varstvu pri delu.</t>
  </si>
  <si>
    <t>Izkop v zemlji III. ktg, ocena 50 % izkopa</t>
  </si>
  <si>
    <t>Izkop v zemlji IV. ktg, ocena 40 % izkopa</t>
  </si>
  <si>
    <t>Izkop v zemlji V. ktg, ocena 10% izkopa</t>
  </si>
  <si>
    <t xml:space="preserve">Ročni izkop jarka do določene nivelete s točnostjo ±10cm, odmetom materiala 1.0 m od roba jarka;  globina izkopa po podatkih vzdolžnega profila. Izkop izvršiti skladno s predpisi o varstvu pri delu. </t>
  </si>
  <si>
    <t>Izkop v zemlji V. ktg, ocena 10 % izkopa</t>
  </si>
  <si>
    <t>Strojno nakladanje ob izkopu, transport izkopnega materiala na stalno deponijo gradbenega materiala v oddaljenosti do 20km, razkladanje in razgrinjanje s plačilom vseh taks za deponiranje.</t>
  </si>
  <si>
    <t>Razpiranje jarkov na mestih, kjer nastopa možnost zrušenja bokov pri močnejšem zemeljskem pritisku, glede na stabilnost brežin, globino jarka in bližino prometne obtežbe. Razpirati je potrebno povsod, kjer to zahtevajo predpisi o varstvu pri delu.</t>
  </si>
  <si>
    <t>Ročno planiranje dna jarka s točnostjo ± 3cm po predvidenem nagibu.</t>
  </si>
  <si>
    <t>Komplet izdelava peščene posteljice iz nekoherentnega materiala do deb. 10cm, v kateri si cev sama izoblikuje ležišče. (pesek/gramoz z zrnom do max 8mm brez ostrih robov). Izdelati poglobitev pod spojkami.</t>
  </si>
  <si>
    <t xml:space="preserve">Strojno zasipavanje v coni cevovoda z nekoherentnim (gramoznim) materialom z peščenim materialom - pesek z zrni brez ostrih robov premera od 8 do 16 mm, s komprimacijo bokov z lahkimi komprimacijskimi sredstvi (v plasteh po 20 cm), do 30cm nad teme cevovoda do ustrezne zbitosti za zagotovitev nosilnosti po projektu.
</t>
  </si>
  <si>
    <t>Dobava in vgraditev peska / lomljenec 0÷63 mm v območju poteka trase v makadamski cesti ali  ob robu asfaltnega cestišča do kote terena, strojno nabijanje v plasteh po 20 cm, v asfaltni cesti do globine cca 50cm pod koto ureditve.</t>
  </si>
  <si>
    <t>Komplet priprava in vgradnja  nevezane nosilne podlage za asfaltiranje iz kamnitega materiala; tampona iz peska 0÷16 mm, debelina sloja 40 cm (Ev2&gt;=100MPa). Niveleto robov prilagoditi obstoječim objektom (vhodi, dovozi,…)!</t>
  </si>
  <si>
    <t>Izdelava finega planuma v debelini 3 - 5 cm v predvidenih naklonih pred polaganjem asfalta</t>
  </si>
  <si>
    <t>Izdelava obrabnozaporne plasti bitumenskega betona AC8 surf  50/70 A5  v debelini do 4 cm (pločnik).</t>
  </si>
  <si>
    <t>Pobrizg tamponskega planuma z bitumensko emulzijo 0,5 kg/m2</t>
  </si>
  <si>
    <t>Strojno zasipavanje jarka v travniku z mešanico materiala iz izkopa in gramoza 0/64mm, strojno nabijanje v plasteh po 20cm, do nosilnosti Ev2&gt;60MPa na planumu tampona do kote terena oz kote razplaniranja humusa. Upoštevano razmerje 40/60% izkop/gramoz. Ustreznost uporabe izkopanega materiala odobri geomehanski nadzor.</t>
  </si>
  <si>
    <t>Razsip in zasutje z izkopanim humusom na mestih, kjer je bil humus izkopan v debelini 20cm</t>
  </si>
  <si>
    <t>Cev rebrast PVC fi100 za zaščito obstoječih tangiranih vodov,komplet z manšetami, po navodilih pooblaščenega upravljalca voda, projektnih pogojih. Dolžina cevi je ocenjena</t>
  </si>
  <si>
    <t>Izvedba meritev nosilnosti in zgoščenosti nosilnega tampona z izdajo atesta (povozne površine). Št. meritev</t>
  </si>
  <si>
    <t>Začasna zaščita izkopa pred ugrezanjem zemljine v gradbeno jamo s podprtimi lesenimi zaščitnimi koriti v primeru vzporednega poteka projektiranega cevovoda s TK kablovodom ; obračun po dejanskih stroških - predvideno</t>
  </si>
  <si>
    <t>Izvedba zaščite struge vodotokov s kamnitim tlakovanjem struge po detajlu prečkanja vodotoka. Kamnito tlakovanje s kamnom debeline fi 20 do 30cm</t>
  </si>
  <si>
    <t>Izvedba zaščite struge vodotokov s kamnitim tlakovanjem struge po detajlu prečkanja vodotoka. Kamnito tlakovanje s kamnom debeline fi 30 do 50cm</t>
  </si>
  <si>
    <t>Izvedba zaščite dna struge s kamnito peto fi 60cm. Izvedba zaščite po detajlu prečkanja vodotokov</t>
  </si>
  <si>
    <t>Dobava in vgraditev betoske stabilizacije  C8/10 v območju okomito prekopa cestišča.</t>
  </si>
  <si>
    <t>Dobava in vgraditev betona C16/20 do visine obst.asfalta v območju okomito prekopa cestišča.</t>
  </si>
  <si>
    <t>ČRPALIŠČE KRAJNA</t>
  </si>
  <si>
    <t>9</t>
  </si>
  <si>
    <t>10</t>
  </si>
  <si>
    <t>11</t>
  </si>
  <si>
    <t>Tišina</t>
  </si>
  <si>
    <t>VTK</t>
  </si>
  <si>
    <t xml:space="preserve">VTK vključuje še trase: VTK_V0, VTK_V1, KR_V1.1 in KR_V1.2 </t>
  </si>
  <si>
    <t>Zakoličba  komunalnih vodov ki tangirajo gradnjo vodovoda (telekomunikacije, elektrika, kanalizacija).</t>
  </si>
  <si>
    <t>ZEMELJSKA in GRADBENA DELA</t>
  </si>
  <si>
    <t>ROČNI izkop vezljive zemljine/zrnate kamnine – 3.kategorije za  kanalske rove  širine do 1,0m in globine 1,1 do 2,0m (pločnik Tišina - Petanjci)</t>
  </si>
  <si>
    <t>STROJNI izkop vezljive zemljine/zrnate kamnine – 3.kategorije za  kanalske rove  širine do 1,0m in globine 1,1 do 2,0m  (pločnik Tišina - Petanjci).</t>
  </si>
  <si>
    <r>
      <t xml:space="preserve">Dobava in vgrajevanje tamponskega drobljenca TD32 v debelini min 40 cm, komprimiranje do zbitosti 100 Mpa        - </t>
    </r>
    <r>
      <rPr>
        <u/>
        <sz val="9"/>
        <rFont val="Arial"/>
        <family val="2"/>
        <charset val="238"/>
      </rPr>
      <t>vozišče in dostopne poti.</t>
    </r>
  </si>
  <si>
    <t>Dobava in vgrajevanje tamponskega drobljenca TD32 v debelini min 25 cm, komprimiranje do zbitosti 60 Mpa           - hodniki.</t>
  </si>
  <si>
    <t>Rezanje asfaltne plasti s talno diamantno žago, debele do 6 cm (pločnik Tišina, Petanjci in dovozi)</t>
  </si>
  <si>
    <t>Rezkanje asfaltne plasti v debelini do 6 cm na pločniku Tišina - Petanjci, JP Gederovci in JP Krajna.</t>
  </si>
  <si>
    <t>Rezkanje asfaltne plasti v debelini do 4 cm na regionalni cesti, v širini polovice vozišča (3 m)</t>
  </si>
  <si>
    <t>Izdelava obrabne in zaporne plasti bituminizirane zmesi AC 8 surf B 50/70 A5 v debelini 4 cm, vključno s čiščenjem in premazom stikov z bitumensko emulzijo - hodniki in kolesarske steze.</t>
  </si>
  <si>
    <t>Izdelava obrabne in zaporne ter nosilne plasti bituminizirane zmesi AC 16 surf B 50/70 A4, v debelini 6 cm - enoslojni asfalt, vključno s čiščenjem in premazom stikov z bitumensko emulzijo - vozišče JP in nekategorizirane ceste</t>
  </si>
  <si>
    <t>Izdelava obrabne in zaporne plasti bituminizirane zmesi AC 11 surf PmB 45/80-65 A2 v debelini 4 cm, vključno s čiščenjem in premazom stikov z bitumensko emulzijo ter pobrizg očiščenega asfalta z bitumensko emulzijo 0,5 kg/m2 - vozišče RC.</t>
  </si>
  <si>
    <t xml:space="preserve">Podvrtavanje ceste (21 kom) ali vodotoka (5 kom), komplet, v ceno zajeto:  izkop in zasip ustrezne gradbene jame, podvrtavanje, zaščitna cev, pripadajoči drsni obroči in zaključne gumi manšete. </t>
  </si>
  <si>
    <r>
      <t xml:space="preserve">zaščitna cev Ø110 za PE </t>
    </r>
    <r>
      <rPr>
        <sz val="9"/>
        <rFont val="Calibri"/>
        <family val="2"/>
        <charset val="238"/>
      </rPr>
      <t>Ø</t>
    </r>
    <r>
      <rPr>
        <sz val="9"/>
        <rFont val="Arial"/>
        <family val="2"/>
        <charset val="238"/>
      </rPr>
      <t xml:space="preserve">63 </t>
    </r>
  </si>
  <si>
    <r>
      <t xml:space="preserve">PE 100 PN 16 </t>
    </r>
    <r>
      <rPr>
        <sz val="9"/>
        <rFont val="Arial"/>
        <family val="2"/>
        <charset val="238"/>
      </rPr>
      <t>Ø</t>
    </r>
    <r>
      <rPr>
        <sz val="9"/>
        <color indexed="8"/>
        <rFont val="Arial"/>
        <family val="2"/>
        <charset val="238"/>
      </rPr>
      <t>110 RC PROTECT SDR11 PN16         z dodanim aluminijastim slojem</t>
    </r>
  </si>
  <si>
    <t>MMK 30° DN150 bajonetni</t>
  </si>
  <si>
    <t>VOZLIŠČA - ODCEPI - PREHOD</t>
  </si>
  <si>
    <t>VOZLIŠČE na NL DN150 - ODCEP NL DN150</t>
  </si>
  <si>
    <t>VOZLIŠČE na NL DN150 - ODCEP  PE Ø63</t>
  </si>
  <si>
    <t>PRIKLJUČEK  NL DN150 NA OBST. VOD NL DN200</t>
  </si>
  <si>
    <r>
      <t xml:space="preserve">ozn. tablica + poc.steber </t>
    </r>
    <r>
      <rPr>
        <sz val="9"/>
        <color indexed="8"/>
        <rFont val="Calibri"/>
        <family val="2"/>
        <charset val="238"/>
      </rPr>
      <t>Ø</t>
    </r>
    <r>
      <rPr>
        <sz val="9"/>
        <color indexed="8"/>
        <rFont val="Arial"/>
        <family val="2"/>
        <charset val="238"/>
      </rPr>
      <t>48 + poc.sidro stebra + čep na cevi PE Ø32</t>
    </r>
  </si>
  <si>
    <t>čep za PEHD cev d32</t>
  </si>
  <si>
    <t>B.1</t>
  </si>
  <si>
    <t>B.2</t>
  </si>
  <si>
    <t>ARMIRANO BETONSKA DELA</t>
  </si>
  <si>
    <t>B.3</t>
  </si>
  <si>
    <t>TESARSKA DELA</t>
  </si>
  <si>
    <t>B.4</t>
  </si>
  <si>
    <t>ZIDARSKA DELA</t>
  </si>
  <si>
    <t>OBRTNIŠKA DELA</t>
  </si>
  <si>
    <t>C.1</t>
  </si>
  <si>
    <t>KROVSKO KLEPARSKA DELA</t>
  </si>
  <si>
    <t>C.2</t>
  </si>
  <si>
    <t>FASADA</t>
  </si>
  <si>
    <t>C.3</t>
  </si>
  <si>
    <t>C.4</t>
  </si>
  <si>
    <t>SLIKOPLESKARSKA DELA</t>
  </si>
  <si>
    <t>C.5</t>
  </si>
  <si>
    <t>C.6</t>
  </si>
  <si>
    <t>OKNA, VRATA</t>
  </si>
  <si>
    <t>C.7</t>
  </si>
  <si>
    <t>KLJUČAVNIČARSKA DELA</t>
  </si>
  <si>
    <t>C.8</t>
  </si>
  <si>
    <t>ZUNANJA UREDITEV</t>
  </si>
  <si>
    <t>D</t>
  </si>
  <si>
    <t>E</t>
  </si>
  <si>
    <t>ELEKTRO DELA</t>
  </si>
  <si>
    <t>Vsa dela morajo biti izvedena kvalitetno iz materialov z zahtevanimi lastnostmi in atesti.</t>
  </si>
  <si>
    <t>Vsako opisano delo vsebuje osnovni in pomožni material, prevoz materiala in orodja na objekt, notranje transporte, vse delo, zaključno čiščenje in odstranitev odpadkov po dovršenem delu.</t>
  </si>
  <si>
    <t>Vsa pripravljalna, spremna in zaključna dela, potrebni montažni in tesnilni material ter podkonstrukcije so del posameznih postavk. Dela je potrebno izvajati po predloženi dokumentaciji, detajlih in navodilih nadzora.</t>
  </si>
  <si>
    <t>Tehnični opis, arhitekturne risbe, detajli in sheme elementov (obvezno glej sheme) so del vsebine postavk gradbeno obrtniških del. Specifikacije in zahteve navedene v tehničnem popisu se ne smejo upoštevati kot omejitve. 
Ponudnik je dolžan v okviru enotne cene upoštevati in dobaviti oz. izvesti tudi vse elemente konstrukcij, opreme oz. proizvodov, vsa dela in storitve, ki v dokumentaciji niso precizno navedeni, so pa bistvenega pomena za funkcionalnost in skladnost s predpisi ter kontinuirano, zanesljivo in varno izvedbo del in storitev, uporabo in obratovanje opreme.</t>
  </si>
  <si>
    <t>Glavni načrt je načrt gradbeništva črpališča. Na morebitna neskladja med načrti je potrebno predhodno opozoriti in jih pravočasno uskladiti s projektantom. Za vse vidne elemente je potrebna predhodna uskladitev obdelav, barv in materialov z investitorjem in odgovornim projektantom. V določenih postavkah popisa so navedeni proizvajalci in/ali tipi posameznih sistemov, materialov, opreme…  s čemer so natančno opredeljene zahtevane tehnične lastnosti. Ponudnik lahko ponudi nadomesten sistem, material ali opremo drugega proizvajalca in tipa, pri čemer morajo biti tehnične lastnosti ponujenega sistema, materiala, opreme enakovredne ali boljše od tistih v popisu, kar mora dokazati z ustrezno dokumentacijo.
Vse morebitne posledice zaradi spremembe sistemov, materialov, opreme… , vključno z morebitnimi spremembami oz. dopolnitvami dokumentacije za izvedbo, stroškovno in časovno bremenijo ponudnika.  </t>
  </si>
  <si>
    <t xml:space="preserve">Zamenjavo, uporabo in končni izbor nadomestnih sistemov, materialov, proizvodov in opreme mora obvezno pisno potrditi odgovorni predstavnik naročnika in po potrebi odgovorni projektant gradbeništva. </t>
  </si>
  <si>
    <t>Eventualna navedba opreme v posameznih postavkah popisa vključuje tudi 
- dobavo oz. transport, 
- montažo, vključno s pomožnim montažnim materialom in navodili proizvajalca, 
- priključitev in nastavitve, vključno z morebitnim kalibriranjem, 
- zagon, testiranje in meritve, vključno s poročili, 
- šolanje uporabnikov oz. vzdrževalnega osebja, 
- navodila za obratovanje in vzdrževanje ter 
- vse potrebne certifikate, izjave o skladnosti oz. potrdila.</t>
  </si>
  <si>
    <t>Izvajalec je dolžan izvesti vsa pripravljalna dela, organizacijo gradbišča, ustrezno varnost in zaščito gradbišča, kar upošteva v ceni!</t>
  </si>
  <si>
    <t>V opaže armirano betonskih elementov je potrebno vgraditi vse instalacijske razvode in izdelati prehode razvidne iz načrtov instalacij, kar je upoštevati v enotnih cenah postavk. Vsi  odri morajo biti upoštevani v enotnih cenah navedenih postavk, razen tistih, ki so posebej navedeni.</t>
  </si>
  <si>
    <t>Dodatna, nepredvidena in več dela, ki niso zajeta v popisu se izvajajo po predhodnem dogovoru z nadzornim organom in investitorjem ter se obračunajo po dejanskih količinah, po predhodni odobritvi enotne cene s strani investitorja.
Pri izdelavi ponudbe je potrebno proučiti projekt in upoštevati kompletnost posamezne pozicije.
Vsako prekoračitev količin na posamezni postavki mora pred izvajanjem del odobriti nadzorni organ in po potrebi odg. projektant.</t>
  </si>
  <si>
    <t>Pri izdelavi kovinskih elementov in konstrukcij so pri vseh posameznih postavkah upoštevana tako nabava, kot montaža, vsa pripravljalna, spremna in zaključna dela. Vsa morebitna dodatna podkonstrukcija in potrebni montažni material so vključeni. Vsi zunanji elementi in konstrukcije, ki so lahko izpostavljeni atmosferskim in ostalim korozijskim vplivom, morajo biti ustrezno zaščiteni.</t>
  </si>
  <si>
    <t>Za vse nosilne jeklene konstrukcije in podkonstrukcije delavniško dokumentacijo izdela izvajalec, strošek izdelave delavniške dokumentacije upoštevav ponujenih cenah  se  obračuna posebej.</t>
  </si>
  <si>
    <t>Dimenzije obrtniških izdelkov in količine je potrebno pred naročanjem preveriti na objektu. Potrebna je uskladitev vseh elementov (kljuke, okovje, detajlne konstrukcije in obdelave) s predstavnikom naročnika in arhitektom.
Izvajalec je dolžan pred izdelavo predložiti projektantu v potrditev ustrezne delavniške načrte in detajle. Za serijske elemente je obvezna izdelava vzorčnega kosa, ki ga potrdi arhitekt. Obvezna je tudi preveritev dejanskih mer na licu mesta in posledična prilagoditev elementov in njihove montaže.Za vse večje jeklene dele se izdela, skladno s predpisi ustrezne ozemljitve, nevidno pritrjene in speljane na splošno ozemljitev objekta.</t>
  </si>
  <si>
    <t xml:space="preserve">Vsi potrebni  ukrepi za varno izvedbo rušenja so upoštevani v ceni rušenja in se ne upoštevajo posebej.
Obvezno upoštevati zaščitne mere. Ločevanje materialov: ruševine, izkop
Način rušenja je načeloma prepuščen izvajalcu s soglasjem naročnika in nadzora.. V ceni morajo biti upoštevani stroški organizacije gradbišča, stroški odvisni od izbrane tehnologije rušenja, stroški za zagotavljanje varstva pri delu, stroški za zmanjšanje vplivov na okolje, stroški prevoza na deponijo oddaljeno do 20 km, začasnega in trajnega deponiranja, vključno s plačilom taks na deponiji.
Ruševine se v celoti odstranijo in niso primerne za zasip. Obračun po dejanskih količinah.
</t>
  </si>
  <si>
    <t>Preboje za instalacije do fi 250 mm ali 25x25 cm izvaja izvajalec instalacij in morajo biti vključene v njegov obseg del.
Tesnenje prebojev skozi panelno steno se izvede s sistemom Doyma ali enakovredno.
Požarno tesnenje prebojev instalacij (strojno, elektro, tehnologija) je v obsegu dobave instalaterja in ni predmet tega popisa. Odobreni sistemi požarnega tesnenja so: Promat, Intumex, Hilti, Pirofix. Večje odprtine pred izvedbo požarnega in ex tesnenja do meje obdelave za izvedbo tesnjenja obdela /pozida gradbinec in mora biti upoštevano v ceni.</t>
  </si>
  <si>
    <t>~ koordinacija del z ostalimi izvajalci in investitorjem, izdelava načrta montaže z medsebojno uskladitvijo vseh izvajalcev del, potrjenega s strani vseh udeležencev gradnje, izdelava montažnih skic in postavljenih detajlov za izvedbo v dogovoru z vodjem del in investitorjem</t>
  </si>
  <si>
    <t>~ koordinacija del z ostalimi izvajalci in investitorjem pri organizaciji gradbišča in časovnem načrtu del, potrjenega s strani vseh udeležencev gradnje</t>
  </si>
  <si>
    <t>~ izvedba preizkusnega obratovanja: delovanje sistemov,</t>
  </si>
  <si>
    <t>~ sprotna beleženje vseh sprememb, nastalih med izvedbo z vrisovanjem v PZI načrt z izdelavo tekstualnega opisa sprememb. Obveščanje odgovornega projektanta o njih s pridobitvijo njegovega soglasij nanje</t>
  </si>
  <si>
    <t>~ pripravljalna in zaključna dela (zakoličbe, označevanje podzemnih vodov, postavljanje in vzdrževanje profilov, geodetski posnetki, vnosi tras v zbirno karto komunalnih vodov in vzdolžni profil, predaja naročniku v grafični in digitalni obliki, kot podlaga za izdelavo projekta izvedenih del,...)</t>
  </si>
  <si>
    <t>~ kompletna izvedba zaščite gradbišča: zeščitne ograje, opozorilne ograje,….</t>
  </si>
  <si>
    <t>~ preizkus vodotesnosti kanalizacije se izvede po standardu SIST EN 1610. Preizkus lahko izvaja le pooblaščena organizacija, ki o preizkusu izda pisno poročilo.</t>
  </si>
  <si>
    <t>Obnova in zavarovanje zakoličbe priključka na regionalno cesto v ravninskem terenu in dovoza ter platoja pred črpališčem.</t>
  </si>
  <si>
    <t>Zakoličba in zavarovanje uvoza, dostopne poti, objekta in platoja v ravninskem terenu ter izpusta meterone kanalizacije.</t>
  </si>
  <si>
    <t>Obnova in zavarovanje zakoličbe obstoječih komunalnih vodov - telekomunikacije (v bankini regionalne ceste) v ravninskem terenu.</t>
  </si>
  <si>
    <t>Čiščenje melioracijskega jarka na severu parcele v dolžini 50 m.</t>
  </si>
  <si>
    <t>Postavitev in demontaža PVC gradbiščne ograje višine 200 cm, ureditev gradbiščnega prostora.</t>
  </si>
  <si>
    <t>6.</t>
  </si>
  <si>
    <t xml:space="preserve">Čiščenje gradbišča in vzpostavitev gradbišča v prvotno stanje </t>
  </si>
  <si>
    <t>7.</t>
  </si>
  <si>
    <t>Postavitev in demontaža gradbiščne table.</t>
  </si>
  <si>
    <t>8.</t>
  </si>
  <si>
    <t>Dobava omarice za prvo pomoč</t>
  </si>
  <si>
    <t>9.</t>
  </si>
  <si>
    <t>Pripravljalna dela, ki vključujejo postavitev gradbiščnih kontejnerjev, tipska kemična WC kabina, shema ureditve gradbišča (pripravi izvajalec, potrdi naročnik).</t>
  </si>
  <si>
    <t>10.</t>
  </si>
  <si>
    <t>Izdelava TEE, vključno z detaljnim terminskim planom.</t>
  </si>
  <si>
    <t>11.</t>
  </si>
  <si>
    <t>Nadzor neodvisnih pooblaščenih institucij, z izdelavo vseh potrebnih analiz in meritev ter izdelavo vmesnih in končnih poročil za: betoni</t>
  </si>
  <si>
    <t>12.</t>
  </si>
  <si>
    <t>Izdelava kompletne dokumentacije Dokazilo o zanesljivosti objekta, z vso potrebnimi izkazi, meritvami in dokazi v 4 izvodih</t>
  </si>
  <si>
    <t>13.</t>
  </si>
  <si>
    <t>Izdelava geodetskega posnetka po končanih delih, ki je obvezni del PID dokumentacije in za pridobitev uporabnega dovoljenja objekta</t>
  </si>
  <si>
    <t>14.</t>
  </si>
  <si>
    <t>Izdelava Poročilo o gospodarjenju z gradbenimi odpadki, ki je sestavni del Dokazila o zanesljivosti objekta</t>
  </si>
  <si>
    <t>15.</t>
  </si>
  <si>
    <t>Geomehanski pregled tal vključno z izdelavo končnega poročila.</t>
  </si>
  <si>
    <t>PRIPRAVLJALNA IN ZAKLJUČNA DELA SKUPAJ:</t>
  </si>
  <si>
    <t>Površinski izkop  humusa - I. kategorije v deb 20 cm, strojno z odrivom do 50 m, na začasno gradbiščno deponijo za kasnejšo humusiranje zelenic.</t>
  </si>
  <si>
    <t>Strojni široki izkop v terenu III. kategorije za dosego ustrezne podlage in izvedbo pasovnih temeljev in jaška dvigala. Izkop v razsutem stanju.</t>
  </si>
  <si>
    <t>Opomba ! Pred izkopom obvezen pregled geomehanika.</t>
  </si>
  <si>
    <t>Strojni široki izkop v terenu III. kategorije za dosego ustrezne podlage pod uvozom v debelini 40 cm.</t>
  </si>
  <si>
    <t>Vgraditev nasipa iz vezljive zemljine - 3. kategorije na dostopni poti in platoju za doseg višinske ureditve, v povprečju debeline 75 cm.</t>
  </si>
  <si>
    <t>Strojno - ročni izkop za kanalske rove in jaške meteorne kanalizacije, širine do 1,00 m in globine do 0,80 m, z odlaganjem na rob jarka. Upoštevan izkop pod nivojem spodnjega ustroja ceste.</t>
  </si>
  <si>
    <t xml:space="preserve">Planum dna izkopa, planiranje, dosipavanje, uvaljanje. </t>
  </si>
  <si>
    <r>
      <t xml:space="preserve">Dobava in vgraditev geotekstila za ločilno plast, natezna trdnost </t>
    </r>
    <r>
      <rPr>
        <sz val="9"/>
        <color indexed="8"/>
        <rFont val="Arial"/>
        <family val="2"/>
        <charset val="238"/>
      </rPr>
      <t>≥ 15kN/m</t>
    </r>
    <r>
      <rPr>
        <vertAlign val="superscript"/>
        <sz val="9"/>
        <color indexed="8"/>
        <rFont val="Arial"/>
        <family val="2"/>
        <charset val="238"/>
      </rPr>
      <t xml:space="preserve">2  </t>
    </r>
  </si>
  <si>
    <t>Planiranje in nabijanje dna jarka kanalskega rova po izkopu do točnosti +-3 cm</t>
  </si>
  <si>
    <r>
      <t xml:space="preserve">Nasutje pod talno ploščo in za pasovnimi temelji v debelini do 40 cm oz. po geomehanski zahtevi.
Kompletna dobava in izdelava gramoznega nasutja pod talno ploščo in za temelji objekta v debelini do 40 cm iz drobljenca, z utrjevanjem do predpisane zbitosti, vključno z razstiranjem in planiranjem. </t>
    </r>
    <r>
      <rPr>
        <b/>
        <sz val="10"/>
        <color indexed="8"/>
        <rFont val="Arial"/>
        <family val="2"/>
        <charset val="238"/>
      </rPr>
      <t/>
    </r>
  </si>
  <si>
    <t>Zunanji zasip za objektom v plasteh po 20 cm.
Kompletna izvedba zasipa za temelji in stenami objekta z materialom iz izkopa, z utrditvijo do predpisane zbitosti, vgrajevanje v plasteh po 20 cm s planiranjem.</t>
  </si>
  <si>
    <t>Grobo in fino planiranje temeljnega planuma s točnostjo +- 3 cm.</t>
  </si>
  <si>
    <t>Odvoz  odvečnega izkopanega materiala na stalno deponijo,  vključno z nakladanjem na transportno sredstvo. V postavki zajeto tudi plačilo komunalne takse za stalno deponijo in pridobivanje evidenčnih listov.</t>
  </si>
  <si>
    <t>Izdelava posteljice iz drobljenih kamnitih zrn v debelini 40 cm pod uvozom, dostopno potjo in platojem.</t>
  </si>
  <si>
    <t>Izdelava posteljice in zasip kanalizacijskih cevi  s peščenim materialom 4/8 mm ter ročnim komprimiranje v plasteh po 15 cm do višine 30 cm nad temenom  cevi.</t>
  </si>
  <si>
    <t>Zasip meteorne kanalizacije z izkopanim materialom, komprimiranje  v plasteh po 20 cm, do spodnjega ustroja ceste.</t>
  </si>
  <si>
    <t>16.</t>
  </si>
  <si>
    <t>Zasip cevne drenaže z drenažnim drobljencem 8-16 mm.</t>
  </si>
  <si>
    <t>17.</t>
  </si>
  <si>
    <t>Humuziranje zelenice z valjanjem in zatravitev s semenom, v debelini do 20 cm - strojno</t>
  </si>
  <si>
    <t>ZEMELJSKA DELA SKUPAJ:</t>
  </si>
  <si>
    <t xml:space="preserve">OPOMBA: Pri izvajanju betonskih, armirano betonskih del je upoštevati vse pogoje, katere navaja in predpisuje Pravilnik o tehničnih normativih za beton in armirani beton in Projekt betona, katerega izdela izvajalec. Armatura se izdeluje v skladu s PZI projektom gradbenih konstrukcij; pri čemer je upoštevati vse pogoje in navodila za izdelavo iz vseh načrtov.  Posebej pa je treba še upoštevati: </t>
  </si>
  <si>
    <t xml:space="preserve">1. Opaži morajo biti čisti in v celoti pripravljeni za betoniranje (močenje), Črpni beton se ne sme vgrajevati z višine večje od 1m!. Betonirati se lahko začne šele po pregledu podlage, odrov, opažev in armature. Vse vezi, stebri in preklade pod ploščami se betonirajo skupaj s ploščo! Beton se ročno vgrajuje samo v predelne stene in v primerih kadar to dovoli nadzor. </t>
  </si>
  <si>
    <t>2. Armatura ne sme rjaveti, pred montažo  jo je potrebno očistiti od eventualnih nečistoč, upoštevati je debelino zaščitne plasti betona, postavljanje podložk in začasno vezanje armature k opažu. Izvajalec mora za vgradnjo armature upoštevati vsa pripadajoča montažna dela, ki so potrebna za montažo statične in konstruktivne armature.</t>
  </si>
  <si>
    <t>3. Pred naročilom je upoštevati navedene eurokode in oznake betona; po končanem betoniranju je vgrajen beton potrebno zaščititi in negovati v skladu s pravili stroke. Za izvajanje  betonskih del v predpisani kvaliteti po projektu z dodatki (vodotesnost ipd);  dodatki za betoniranje v zimskem času  in nego  betona  pri betoniranju v poletnem času je upoštevati v ponudbenih cenah.</t>
  </si>
  <si>
    <t xml:space="preserve">4.  Nadomestila za izvedbo elementov z naklonom  do 5 % od vodoravnosti se posebej ne priznava. Za vidne konstrukcije se smatrajo vse tiste konstrukcije, ki po končani izdelavi ostanejo neometane. </t>
  </si>
  <si>
    <t xml:space="preserve">5. Dopustna odstopanja za pravokotnost, dimenzije in ravnost posameznih betonskih ali armiranobetonskih konstrukcij so določena po določilih DIN 18202. </t>
  </si>
  <si>
    <t xml:space="preserve">6. Pred začetkom betonskih del morata biti opaž in armatura popolnoma pripravljena. Odprtine za instalacijske vode morajo biti nameščene na točno predvidenih lokacijah, nameščena morajo biti vsa sidra, podometna inštalacija in ostali podometni elementi. </t>
  </si>
  <si>
    <t xml:space="preserve">7. Vse vezi, stebri, nosilci in preklade se betonirajo strojno s črpnim betonom skupaj s ploščami ali posebej! Beton se lahko ročno vgrajuje samo v predelne stene in v primerih, kadar to dovoli nadzor ali je to predpisano v statičnem izračunu! </t>
  </si>
  <si>
    <t>8. Pred pričetkom gradnje mora izvajalec izdelati Projekt betona v skladu z veljavno zakonodajo in ga predložiti nadzoru in projektantu gradbenih konstrukcij v pregled in potrditev! Pripadajoči stroški morajo biti že vkalkulirani v ceno posamezne E.M. vgrajenega betona. Betoni so v celoti izdelani v skladu z SIST EN 206-1!</t>
  </si>
  <si>
    <t xml:space="preserve">9. Vsi vidni (opleskani) armiranobetonski elementi se izvedejo v razredu VB 2. </t>
  </si>
  <si>
    <t xml:space="preserve">Strojna izdelava in ročna montaža srednje zahtevne armature B500 B iz betonskega jekla različnih profilov in armaturnih mrež. V ceni je potrebno zajeti ves vezni, distančni in podložni material.
</t>
  </si>
  <si>
    <t>a.</t>
  </si>
  <si>
    <t>Rebrasta armatura do fi 12 mm</t>
  </si>
  <si>
    <t>b.</t>
  </si>
  <si>
    <t>Rebrasta armatura nad fi 12 mm</t>
  </si>
  <si>
    <t>c.</t>
  </si>
  <si>
    <t>Armaturne mreže</t>
  </si>
  <si>
    <t>Dobava in vgrajevanje betona C12/15  deb. 10 cm v nearmirane bet. konstrukcije - podložni beton temeljne plošče, pasovnih temeljev, vut,....</t>
  </si>
  <si>
    <t>Dobava in vgrajevanje betona C25/30 v armirane bet. konstrukcije v prereze do 0,40 m3/m2. Temeljna plošča.</t>
  </si>
  <si>
    <t>Dobava in vgrajevanje betona C25/30 v armirane bet. konstrukcije v prereze od 0,20 m3/m2 do 0,30 m3/m2. Pasovni temelji.</t>
  </si>
  <si>
    <t>Dobava in vgrajevanje betona C25/30 v armirane bet. konstrukcije v prereze od 0,30 m3/m2 do 0,40 m3/m2. AB stene.</t>
  </si>
  <si>
    <t>Dobava in vgrajevanje betona C25/30 v armirane bet. konstrukcije v prereze od 0,20 m3/m2 do 0,30 m3/m2. Vertikalne vezi</t>
  </si>
  <si>
    <t>Dobava in vgrajevanje betona C25/30 v armirane bet. konstrukcije v prereze od 0,20 m3/m2 do 0,30 m3/m2. Horizontalne vezi.</t>
  </si>
  <si>
    <t>Dobava in vgrajevanje betona C25/30 v armirane bet. konstrukcije v prereze od 0,20 m3/m2 do 0,30 m3/m2. Zatrepi in nosilci.</t>
  </si>
  <si>
    <t>Dobava in vgrajevanje betona C25/30 v armirane bet. konstrukcije v prereze od 0,20 m3/m2 do 0,30 m3/m2. poglobitveni jašek.</t>
  </si>
  <si>
    <t>Izdelava vodotesnega delovnega stika med AB ploščo in stenami z lepljenjem nabrekajočega traku ali kovinskega tesnilnega traku (kot npr. VIBA VB).</t>
  </si>
  <si>
    <t>ARMIRANO BETONSKA DELA SKUPAJ:</t>
  </si>
  <si>
    <r>
      <t>OPOMBA:</t>
    </r>
    <r>
      <rPr>
        <i/>
        <sz val="9"/>
        <rFont val="Arial"/>
        <family val="2"/>
        <charset val="238"/>
      </rPr>
      <t xml:space="preserve"> Pri izvajanju tesarskih del je upoštevati vsa pripravljalna dela pri opažih, razopaževanje in zlaganje lesa in opažev. Opaži morajo biti pred uporabo pravilno negovani s premazi in odstranitev premazov upoštevana v posameznih cenah E.M. Tesnost in stabilnost opažev mora biti brezpogojno zagotovljena. Opaži za vidne betone morajo biti pripravljeni tako, da so po razopaženju betonske ploskve brez deformacij, gladke oziroma v strukturi določeni s projektom in popolnoma zalite brez gnezd in iztekajočega betona. Hkrati je potrebno tudi upoštevati:</t>
    </r>
  </si>
  <si>
    <t>1. V ponudbeni ceni  je zajeti dela in ukrepe po določilih veljavnih predpisov varstva pri delu postavitev, premeščanje in odstranitev premičnih odrov, čiščenje prostorov in delovnih naprav po dovršenem delu in potrebnimi ukrepi za zagotavljanje varnega dela  in okolice, ki so potrebna za izvedbo del po posamezni postavki..</t>
  </si>
  <si>
    <t xml:space="preserve">2. Amortizacijsko stopnjo opažev in odrov ne glede na dobo za ves čas gradnje na objektu oziroma posamezne faze pri gradnji tudi takrat, kadar je  v posamezni postavki amortizacija določena. </t>
  </si>
  <si>
    <t xml:space="preserve">3. Stroške  za morebitne statične presoje stabilnosti, sidranja in preizkuse opažev, delovnih odrov, varovalnih ali pomičnih odrov je vkalkulirati v cene po enoti posameznih postavk. Izvajalec jamči za trdnost, varnost in stabilnost uporabljenih opažev, če ti niso preračunani v statičnem elaboratu . </t>
  </si>
  <si>
    <t>4.  Opaži morajo biti izdelani po merah iz projekta ali posameznih načrtov z vsemi potrebnimi podporami z vodoravno in diagonalno povezavo tako, da so stabilni in vzdržijo vse obtežbe; površine morajo biti čiste in ravne; Tesnost in stabilnost opažev mora biti brezpogojno zagotovljena. Opaži za vidne betone morajo biti pripravljeni tako, da so po razopaženju betonske ploskve brez deformacij, gladke oziroma v strukturi določeni s projektom in popolnoma zalite brez gnezd in iztekajočega betona. Vse notranje betonske površine morajo biti izvedene kot viden beton, brez zaglajevanja betonske površine. Opaž za vidni beton  sten in stropov mora biti izdelan iz ravnih plošč in stiki izdelani v kvaliteti da so betonske površine vidne; pri pleskarskih delih pa ne potrebujejo dodatnih del.</t>
  </si>
  <si>
    <t xml:space="preserve">5. Opaži armiranobetonskih sten in ostalih armiranobetonskih konstrukcij se zapirajo šele po montaži podometne inštalacije ali po montaži opažev za utore.  </t>
  </si>
  <si>
    <t>6. V vseh postavkah tesarskih del je v ceni za enoto mere opažev obvezno  zajeti potrebno opaževanje, razopaževanje, čiščenje in mazanje opažev ter zlaganje na primernih deponijah skupaj z vsemi transporti in pomožnimi deli.</t>
  </si>
  <si>
    <r>
      <t xml:space="preserve">7. Vsi vidni (opleskani) armiranobetonski elementi se izvedejo v razredu </t>
    </r>
    <r>
      <rPr>
        <b/>
        <i/>
        <sz val="9"/>
        <rFont val="Arial"/>
        <family val="2"/>
        <charset val="238"/>
      </rPr>
      <t>VB 2</t>
    </r>
    <r>
      <rPr>
        <i/>
        <sz val="9"/>
        <rFont val="Arial"/>
        <family val="2"/>
        <charset val="238"/>
      </rPr>
      <t xml:space="preserve">. </t>
    </r>
  </si>
  <si>
    <t>Naprava in odstranitev enostranskega ravnega opaža višine 10 cm. Opaž podbetona.</t>
  </si>
  <si>
    <t>ab pasovni temelji pete</t>
  </si>
  <si>
    <t xml:space="preserve">ab talna plošča </t>
  </si>
  <si>
    <t>Naprava in odstranitev enostranskega ravnega opaža višine do 40 cm. Opaž talne plošče dvigalnega jaška.</t>
  </si>
  <si>
    <t xml:space="preserve">Naprava in odstranitev enostranskega ravnega opaža višine do 20 cm. </t>
  </si>
  <si>
    <t>talna plošča spodnja</t>
  </si>
  <si>
    <t>talna plošča zgornja</t>
  </si>
  <si>
    <t>Naprava in odstranitev dvostranskega opaža pasovnih temeljev komplet z razopaženjemi, čiščenjem opaža, pom. deli in prenosi.</t>
  </si>
  <si>
    <t>temeljne pete</t>
  </si>
  <si>
    <t>Naprava in odstranitev dvostranskega opaža ab sten. Upoštevati: opaževanje, razopaževanje in čiščenje.</t>
  </si>
  <si>
    <t xml:space="preserve">opaž sten </t>
  </si>
  <si>
    <t>Naprava in odstranitev opaža za nosilce, preklade, horizontalne vezi in vertikalne vezi, vključno z delovnimi odri. Upoštevati: opaževanje, razopaževanje in čiščenje.</t>
  </si>
  <si>
    <t>vertikalne vezi</t>
  </si>
  <si>
    <t>zatrepi</t>
  </si>
  <si>
    <t>nosilci</t>
  </si>
  <si>
    <t>robni venec</t>
  </si>
  <si>
    <t>TESARSKA DELA SKUPAJ:</t>
  </si>
  <si>
    <r>
      <t>OPOMBA:</t>
    </r>
    <r>
      <rPr>
        <i/>
        <sz val="9"/>
        <rFont val="Arial"/>
        <family val="2"/>
        <charset val="238"/>
      </rPr>
      <t xml:space="preserve"> Čiščenje prostorov, celotne opreme in delovnih naprav po končanih posameznih fazah je vkalkulirati v e.m. in v cenah za enoto mere pri zidarskih delih še posebej upoštevati in vkalkulirati:</t>
    </r>
  </si>
  <si>
    <t>1. Dela in ukrepi po določilih veljavnih predpisov varstva pri delu. Postavitev, premeščanje in odstranitev premičnih odrov. V ponudbenih  cenah je zajeti tudi strošek zaščite izvedenih del.</t>
  </si>
  <si>
    <t>2. Izvajalec je pred pričetkom izvedbe estrihov dolžan predložiti projekt estrihov, v katerem bo prikazan način zagotavljanja kvalitete vgrajenih estrihov  ter njihovo negovanje do dosežene dokončne predpisane kvalitete. Stroške negovanja estrihov je vkalkulirati v ceno po enoti mere in pri sami izvedbi estrihov obvezno izvesti vsa dela po popisu vključno s potrebno  dobavo in polaganjem robnih trakov v višini celotne podne konstrukcije  + 2 cm. Višek trakov se odstrani po končanih delih odstrani. Nadomestila za izvedbo estrihov z naklonom  do 5 % od vodoravnosti se posebej ne priznava. V ceno enote mere izvedbe estriha je vkalkulirati tudi izvedbo morebitnih muld in grebenov; delovne stike in dilatacije.</t>
  </si>
  <si>
    <t xml:space="preserve">3. Pri  izdelavi tlakov in hidroizolacijskih delih je obračun po m2 tlorisne površine; vertikalne zavihke pri izvedbah  upoštevani posebej . </t>
  </si>
  <si>
    <t xml:space="preserve">4. Dopustna odstopanja za pravokotnost , površinsko ravnost in dimenzije gradbenih elementov veljajo določila DIN 18202. </t>
  </si>
  <si>
    <t xml:space="preserve">5. Vsa dela morajo biti izvedena na način, ki omogoča in zagotavlja predpisano varnost, stabilnost in funkcionalnost. </t>
  </si>
  <si>
    <t xml:space="preserve">6. V ponudbenih  cenah je zajeti tudi strošek zaščite izvedenih del med posameznimi fazami del (hidroizolacija , estrihi,  polaganje keramike/kamna ter drugih talnih in stenskih oblog) in pri izdelavi horizontalne in vertikalne hidroizolacije obvezno upoštevati in v e.m. vkalkulirati vsa predhodna dela: izdelava zaokrožnic na stikih vertikal in horizontal ipd... </t>
  </si>
  <si>
    <t xml:space="preserve">5. Ometane površine morajo biti vertikalno in horizontalno ravne z ostrimi robovi na stikih sten in na vogalih. Na mestih, kjer se stene oblagajo s keramično oblogo, se ometi namesto s podaljšano apneno malto izdelajo s podaljšano cementno malto in na željo investitorja lahko samo z grobim gladko zaribanim ometom, kar se upošteva pri obračunu. Ometi se izdelujejo v debelini do 20,00 mm. V ceni ometa po m2 je upoštevati tudi zametavanje utorov po izvedbi grobih instalacij. </t>
  </si>
  <si>
    <t xml:space="preserve">6. Vse zidarske odre je potrebno vkalkulirati v ceno za enoto mere. </t>
  </si>
  <si>
    <t>7. Zidovi morajo biti zidani ravno, s čistimi bloki, fuge morajo biti enakomernih debelin ter popolnoma horizontalne in vertikalne. Stiki in fuge morajo biti z veznim sredstvom popolnoma zapolnjeni.</t>
  </si>
  <si>
    <t xml:space="preserve">8. Pri izdelavi horizontalne in vertikalne hidroizolacije je upoštevati vsa predhodna dela na izdelavi zaokrožnic na stikih vertikal in horizontal. </t>
  </si>
  <si>
    <t>Izvedba hladnega bitumenskega premaza pred izvedbo hidroizolacije iz bitumenskega traku. Poraba 0,3 kg/m2.</t>
  </si>
  <si>
    <t xml:space="preserve">Kompletna izvedba enojne horizontalne hidroizolacije AB talne plošče z bitumenskimi trakovi kot npr IZOTEKT T4 PLUS. Dela izvesti po navodilih proizvajalca. Trakove je potrebno toplotno variti po celotni površini ne samo preklopih, ki so min 10 cm!
</t>
  </si>
  <si>
    <t xml:space="preserve">Kompletna izvedba enojne vertikalne hidroizolacije AB talne plošče z bitumenskimi trakovi kot npr IZOTEKT T4 PLUS. Dela izvesti po navodilih proizvajalca. Trakove je potrebno toplotno variti po celotni površini ne samo preklopih, ki so min 10 cm!
</t>
  </si>
  <si>
    <t xml:space="preserve">Kompletna izvedba enojne vertikalne hidroizolacije AB talne plošče z bitumenskimi trakovi kot npr IZOTEKT V4. Dela izvesti po navodilih proizvajalca. Trakove je potrebno toplotno variti po celotni površini ne samo preklopih, ki so min 10 cm!
</t>
  </si>
  <si>
    <t xml:space="preserve">Nabava, dobava in vgradnja toplotne vertikalne izolacije ekstrudiran polistiren debeline 10,0 cm, kot zaščita vertikalne hidroizolacije, tlačna trdnost: min. 300 kN / m2, plošče lepljene točkovno na hidroizol s poliuretanskim lepilom. </t>
  </si>
  <si>
    <t>Izvedba mikroarmiran betonski estrih  C16/20, v debelini 4,5 do 6,0 cm, dilatiran, zajeti obrobni izolacijski trak. Debelino estriha prilagoditi debelini izbrane talne obloge in načinu polaganja le-te.</t>
  </si>
  <si>
    <t>Izvedba strojnega glajenja spodnje temeljne ploče po betoniranju. Padce plošče izvesti na poglobitveni jašek!</t>
  </si>
  <si>
    <t xml:space="preserve">Zidanje zunanjega zidu deb. 29 cm iz modularne opeke dimenzije 19x19x29 cm, v podaljšani cementni malti 1:3:9, naprava malte, prenosi in vsa pomožna dela na objektu. </t>
  </si>
  <si>
    <t>Dobava in montaža tipskih opečnih prednapetih preklad dolžine od 125 do 175cm.</t>
  </si>
  <si>
    <t>širine 14 cm</t>
  </si>
  <si>
    <t>Naprava strojnega apneno-mavčnega ometa na opečne zidove, delno tudi na betonske konstrukcije (vertikalne vezi, nosilci...). Kompletno s predhodno izvedbo rabiciranja stikov z armirno mrežico.</t>
  </si>
  <si>
    <t>Zidarska obdelava in popravila špalet oken in vrat, razna krpanja na stikih elementov staro novo,…</t>
  </si>
  <si>
    <t>Dobava in vgradnja montažnega poliuretanskega pene, za potrebne tesnenja pri opaževanju AB elementov, stopniščne rame,..</t>
  </si>
  <si>
    <t>Gradbena izvedba in obdelava vseh prebojev skozi  stene in stropove za potrebe inštalacijskih del velikosti do 0,5 m2.</t>
  </si>
  <si>
    <t>Samo vgradnja inštalacijskih elementov brez dobave , s pripadajočim materialom (vgradne omarice,...).</t>
  </si>
  <si>
    <t>Dobava in vgradnja INOX ventilacijskih rešetk dim 30/30 cm s pomičnimi aluminijastimi plastificiranimi lamelami in zaščitno mrežico.</t>
  </si>
  <si>
    <t>Dolbljenje reg v betonskih in opečnih stenah različnih presekov za električne in strojne inštalacije, kompletno z zazidavo oziroma zametavanjem z malto. Količina je ocenjena.</t>
  </si>
  <si>
    <t>Izvedba vodotesnega tesnenja prebojev velikosti do 0,5 m2 na prehodih inštalacij skozi ab elemente. V postavki ni zajeta dobava eventuelnih tesnilnih inox obročev z gumami. Zajeto je le zalivanje z vodotesno maso in dobavo in lepljenjem vodotesnih nabrekajočih tesnilnih trakov kot npr sika swell ali podobno v dolžini do 2,5 m na preboj.</t>
  </si>
  <si>
    <t>18.</t>
  </si>
  <si>
    <t>Dobava in vgradnja sider iz navojnih palic M16 za sidranje kapne in slemenske lege.</t>
  </si>
  <si>
    <t>19.</t>
  </si>
  <si>
    <t>Razna dela, obračunana po dejansko porabljenem času.
KV ur</t>
  </si>
  <si>
    <t>20.</t>
  </si>
  <si>
    <t>Razna dela, obračunana po dejansko porabljenem času.
PV ur</t>
  </si>
  <si>
    <t>21.</t>
  </si>
  <si>
    <t>Razna dela, obračunana po dejansko porabljenem času.
NV ur</t>
  </si>
  <si>
    <t>22.</t>
  </si>
  <si>
    <t xml:space="preserve">Sprotno grobo čiščenje objekta oz. gradbišča v času gradnje. </t>
  </si>
  <si>
    <t>23.</t>
  </si>
  <si>
    <t xml:space="preserve">Finalno čiščenje objekta pred predajo objekta. </t>
  </si>
  <si>
    <t>24.</t>
  </si>
  <si>
    <t xml:space="preserve">Sprotno in finalno (obojestransko!) čiščenje vertikalnih površin pred predajo objekta (zunanja okna, notranje steklene stene, kovinska vrata,...). </t>
  </si>
  <si>
    <t>ZIDARSKA DELA SKUPAJ:</t>
  </si>
  <si>
    <r>
      <t>OPOMBA:</t>
    </r>
    <r>
      <rPr>
        <i/>
        <sz val="8"/>
        <rFont val="Calibri"/>
        <family val="2"/>
        <charset val="238"/>
        <scheme val="minor"/>
      </rPr>
      <t xml:space="preserve"> Pri izvajanju krovsko tesarsko kleparskih del je upoštevati vsa pripravljalna dela, pomožna dela zaključna dela in opraviti ogled na obstoječem objektu. Hkrati je potrebno tudi upoštevati:</t>
    </r>
  </si>
  <si>
    <t>1. Krovci, kleparji in drugi delavci na strehi morajo biti zavarovani v skladu z predpisi in zakonom o Varstvo pri delu (vsa varovala, ki služijo za uporabo osebne zaščitne opreme v skladu z SIST EN 354, SIST EN 355, SIST EN 360, SIST EN 362 in Zakonom o varstvu in zdravju pri delu).</t>
  </si>
  <si>
    <t>2. Za morebitno spremembo sestav je potrebno predhodno potrdilo projektanta! Pri izvajanju del je strikno upoštevati navodila proizvajalca kritine, njegove detajle in obrobe ter zaključke, ki so potrebni za garancijo in predpisano kvaliteto, katero pogojujejo izvajalčevi parametri in sledeči standardi: DIN 52611 in DIN 4108 (toplotna prevodnost), DIN 4102-2 in EN 13501 (razred ognjeodpornosti), DIN 4102 (gorljivost in DIN 52210 (zvočna izolativnost). Izolacija mora ustrezati sledečim standardom: SIST EN 12667 (toplotna prevodnost), SIST EN 13501 (odziv na ogenj), SIST EN 1609 in 12087 (vodovpojnost), SIT EN 12086 (difuzijska upornost vodni pari) in DIN 4102/T17 (tališče).</t>
  </si>
  <si>
    <t>3. Navedeni sestavi v popisu so izdelani v skladu z DIN standardi. Izvedba detajlov je določena v skladu s tehničnimi pravili VDD združenja.</t>
  </si>
  <si>
    <t xml:space="preserve">4. Obložene površine morajo biti vertikalno in horizontalno ravne z finalno obdelanimi robovi na stikih sten in na vogalih. </t>
  </si>
  <si>
    <t xml:space="preserve">5. Stroške  za morebitne statične presoje stabilnosti, sidranja in preizkuse opažev, delovnih odrov, varovalnih ali pomičnih odrov je vkalkulirati v cene po enoti posameznih postavk.  </t>
  </si>
  <si>
    <t xml:space="preserve">6. Les za vgradnjo mora biti suh, ostrorobno rezan, očiščen od lubja in ustrezati evropskim standardom EN. </t>
  </si>
  <si>
    <t>7.  Eventualno postavitev, premeščanje in odstranitev  premičnih odrov  je upoštevati v cenah za enoto posamezne postavke, pred pričetkom del se opravi snemanje potrebnih izmer in profilov na mestu samem. V ceno je potrebno upoštevati tudi stroške za izdelavo poda in profila.</t>
  </si>
  <si>
    <t>8. Celoten les za nosilne in ostale lesene konstrukcije mora biti obvezno sušen v sušilnici s sledečimi parametri:les srednjega kakovostnega razreda Q, z minimalnimi razpokami, ki ne smejo presegati 2mm širine in 50 mm dolžine; fuge ne smejo presegati 2% površine celotnega lesa po razviti površini. Povprečna vlažnost lesa: (u – 0,2*u) £ u £ (u + 0,2*u), z vlažnostnim gradiebntom (u1/2 – u1/6) &lt; u*0,3: v kolikor nadzor to zahteva, mora izvajalec to dokazati z ustreznim poročilom pooblaščene organizacije.</t>
  </si>
  <si>
    <t>9. Priporočeno da vse sklope strehe izvaja en izvajalec.</t>
  </si>
  <si>
    <t xml:space="preserve">10. Pri hidroizolacijskih delih se obračunava izolirana površina po površini tlorisa . Vsi preklopi se upoštevajo v cenah po enoti izolirane površine , tudi pri stiku horizontalne in vertikalne površine. Vertikalni zavihki horizontalne izolacije do višine 50 cm se obračunajo skupaj s horizontalno izolacijo z dodatkom na težavnost. </t>
  </si>
  <si>
    <t>11. Cena mora vključevati vse zaključne elemente strehe, vse pomožni, tipski in sidrni material po specifikaciji in navodilih izbranega proizvajalca strešnega sistema. Vse tudi izdelano po navodilih in detajlih izbranega proizvajalca strešnega sistema.</t>
  </si>
  <si>
    <t>12. Vse finalne obdelave pred izvedbo potrdi avtor arhitekture na podlagi prinešenih vzorcev.</t>
  </si>
  <si>
    <t>13. Izvajalec je dolžan preveriti mere na objektu pred izvedbo, prav tako je pred izvedbo izvajalec dolžan pripraviti delavniško dokumentacijo katero mora obvezno potrditi odgovorni inženir.</t>
  </si>
  <si>
    <t xml:space="preserve">Izdelava srednje zahtevne dvostrane lesene C24 strešne konstrukcije (trikotno vešalo) v naklonu 30 stopinj, poraba lesa 0,04 do 0,05 m3/m2, komplet s sidranjem, prenosi in vsa pomožna dela, lesena konstrukcija zaščitena z insekticidnim premazom, obračun po kvadratnem metru tlorisne projekcije.
Konstrukcija sestavljena iz:
- kapna lega 16/16 cm
- slemenska lega 16/22 cm
- soha 16/16 cm
- ročica 14/14 cm
- špirovec 10/14 cm
- poveznik 16/20
</t>
  </si>
  <si>
    <t>Letvanje strešne konstrukcije z letvami 8/5 cm za pokrivanje s trapezno pločevino, komplet s pritrdilnim materialom in insekticidnim premazom. Obračun po tlorisni projekciji!</t>
  </si>
  <si>
    <t>Hoblanje in finalna obdela vidnih delov lesene strešne konstrukcije (lege+ krajni špirovci) vključno z 2x impregnacijskim in 2x finalnim lazurnim premazom v barvi po izboru naročnika .</t>
  </si>
  <si>
    <t>Dobava in izvedba strešne kritine iz trapezne pločevine in  izolacijo kot npr TRIMO SNV 150. Barva  po izboru naročnika!</t>
  </si>
  <si>
    <t>Pokrivanje slemena strehe s tipsko slemensko pločevino iz pocinkane barvaea pločevine debeline 0,6 mm r.š. 50 cm, zajeto : slemenjak, slemenski ventilacijski element, letev, pritrdilni in tesnilni material, prenosi, pomožna dela na objektu, obračun po tekočem metru;</t>
  </si>
  <si>
    <t>Dobava in montaža linijskih tipskih snegobranov namenjenih predvideni kritini.</t>
  </si>
  <si>
    <t>Dobava in montaža odkapne pocinkane barvane pločevine debeline 0,6 mm  r.š. 40 cm vključno z vsem pritrdilnim in tesnilnim materialom. Barva  v RALU-u kot kritina!</t>
  </si>
  <si>
    <t>Dobava in montažaa vetrne obrobe iz  pocinkane barvane pločevine debeline 0,6 mm  r.š. 40 cm vključno z vsem pritrdilnim in tesnilnim materialom. Barva  v RALU-u kot kritina!</t>
  </si>
  <si>
    <t>Dobava in montaža strešnih odtočnih pravokotnih žlebov iz pocinkane barvane pločevine debeline 0,6 mm , skupaj z kljukami za pritrditev, obračun po tekočem metru. Barva  v RALU-u kot streha!</t>
  </si>
  <si>
    <t>Dobava in montaža strešnih odtočnih cevi fi 12 cm iz pocinkane barvane pločevine debeline 0,6 mm , skupaj z objemkami za pritrditev, obračun po tekočem metru. Barva  v RALU-u kot streha!</t>
  </si>
  <si>
    <t>Dobava in montaža strešnih kotličkov  iz pocinkane barvane pločevine debeline 0,6 mm , skupaj z objemkami za pritrditev, obračun po tekočem metru. Barva  v RALU-u kot obstoječa!</t>
  </si>
  <si>
    <t>Dobava in montaža kolen  iz pocinkane barvane pločevine debeline 0,6 mm , skupaj z objemkami za pritrditev, obračun po tekočem metru. Barva  v RALU-u kot obstoječa!</t>
  </si>
  <si>
    <t>Uporaba avtodvigalo za dvigovanje materiala in odstranjevanje demontiranega materiala ter raznega odpadnega materiala, katerega ostanki so na strehi. Obračun po dejansko porabljenih urah.</t>
  </si>
  <si>
    <t>Razna režijska ure pri krovsko kleparskih delih</t>
  </si>
  <si>
    <t>KROVSKO KLEPARSKA DELA SKUPAJ:</t>
  </si>
  <si>
    <t>OPOMBA:  Za dopustna odstopanja za pravokotnost in površinsko ravnost fasade veljajo določila po DIN 18202. V ceni upoštevati vse zaključke  na obodnih zidovih in stikih različnih materialov ter vse potrebne kotnike, odkapne robove, bandaže in dodatne ojačitve pri odprtinah.</t>
  </si>
  <si>
    <t xml:space="preserve">1. Pri izvajanju fasaderskih del je strikno upoštevati navodila proizvajalca fasadnih elementov, njegove detajle in obrobe ter zaključke, ki so potrebni za garancijo in predpisano kvaliteto, katero pogojujejo izvajalčevi parametri in sledeči standardi: DIN 52611 in DIN 4108 (toplotna prevodnost), DIN 4102-2 in EN 13501 (razred ognjeodpornosti), DIN 4102 (gorljivost in DIN 52210 (zvočna izolativnost).   </t>
  </si>
  <si>
    <t xml:space="preserve">2. Izvajalec pred pričetkom del preveri ravnost površine in njeno tolerančno območje, stanje površine (vlažnost, čistost, homogenost podlage, mastni madeži…) ter napake pred pričetkom del odpraviti. Natezna trdnost podlage mora znašati najmanj 0,08 N/mm2. </t>
  </si>
  <si>
    <t>3. Izolacija fasade mora ustrezati sledečim parametrom in standardom: SIST EN 12667 (toplotna prevodnost), SIST EN 13501 (odziv na ogenj), SIST EN 1609 in 12087 (vodovpojnost), SIT EN 12086 (difuzijska upornost vodni pari) in DIN 4102/T17 (tališče). Pred pričetkom mora izvajalec uskladiti detajle pritrjevanja odkapnih obrob, prirjevanje ograj na okenskih odprtinah in ostale preboje na fasadi. Zrnavost, strukturo in barvo določi projektant ali nadzor z investitojem.</t>
  </si>
  <si>
    <t>4. Vgrajeni material mora ustrezati veljavnim normativom in  standardom, ter ustrezati predpisani kvaliteti določeni s projektom , kar se dokaže z izvidi in atesti.</t>
  </si>
  <si>
    <t>5. V ponudbeni ceni  je zajeti  ves potreben material in delo vključno s nosilno podkonstrukcijo ,  vsemi zaključki ob oknih in vrati, stikih med posameznimi materiali fasade, na mestih prezračevanja fasade  montirati mrežice za preprečevanje proti mrčesu,  ter  transporti, pomožnimi deli  in varovalnimi deli , ki so potrebna za izvedbo del po posamezni postavki.</t>
  </si>
  <si>
    <t xml:space="preserve">6. Ob okenskih in vratnih odprtinah je izvesti toplotno izolacijo v debelini predpisani s projektom  in zaključni sloj. </t>
  </si>
  <si>
    <t xml:space="preserve">7.V ceni upoštevati vse zaključke  na obodnih zidovih in stikih različnih materialov. </t>
  </si>
  <si>
    <t>8. Vse finalne obdelave pred izvedbo potrdi avtor arhitekture na podlagi prinešenih vzorcev.</t>
  </si>
  <si>
    <t>9. Izvajalec je dolžan preveriti mere na objektu pred izvedbo, prav tako je pred izvedbo izvajalec dolžan pripraviti delavniško dokumentacijo katero mora obvezno potrditi odgovorni inženir.</t>
  </si>
  <si>
    <t>Naprava kompletne tankoslojne kontaktne fasade na novih zidanih stenah z 10cm toplotno izolacijo stiropor EPS F - fasadni z zaključnim slojem kot npr. BAUMIT  (2x HAFTMOERTEL 0,3cm in EDELPUTZ SPECIAL 0,2CM), s potrebnimi zaključki, alu profili ob odprtinah in vogalih. Izvedba po navodilih proizvajalca fasade. barva po izboru naročnika.</t>
  </si>
  <si>
    <t xml:space="preserve">Naprava kompletne tankoslojne kontaktne fasade podstavka viš 30 cm na novih zidanih stenah z 10cm toplotno izolacijo stiropor XPS - fasadni z zaključnim slojem kot npr. BAUMIT  (2x HAFTMOERTEL 0,3cm in EDELPUTZ SPECIAL 0,2CM), s potrebnimi zaključki, alu profili ob odprtinah in vogalih. Izvedba po navodilih proizvajalca fasade. </t>
  </si>
  <si>
    <t>Izvedba špalet  iz termoizolacije deb. 2cm šir. cca 20cm ter zaključnega sloja iz gladko zaglajenega ometa z zaključnim mineralnim slojem, s pritrjevanjem izolacijskih plošč, rabiciranjem z mrežico, vključno z vsemi fazami dela, z vsem dodatnim materialom, deli in transporti. Barvo določi projektant.</t>
  </si>
  <si>
    <t>Razna režijske ure pri fasaderskih delih</t>
  </si>
  <si>
    <t>FASADA SKUPAJ:</t>
  </si>
  <si>
    <t>KERAMIČARSKA in KAMNOSEŠKA DELA</t>
  </si>
  <si>
    <t>OPOMBA: Pri izvajanju keramičarskih del je upoštevati vsa pripravljalna dela, pomožna dela zaključna dela. Hkrati je potrebno tudi upoštevati:</t>
  </si>
  <si>
    <t>1. Pred polaganjem  keramike na stene  je predhodno pregledati stene in izvesti potrebna preddela; betonske stene  očistiti  emulzij  od premazov opažev, pregledati vertikalnost sten. Pred polaganjem talne keramike v cementno  malto je preveriti stanje talne hidroizolacije, pri polaganju pa dela izvajati tako, da se le-ta ne poškoduje.</t>
  </si>
  <si>
    <t>2. Polaganje keramike ob vodovodnih  in elektro priključkih izvesti , tako da so stiki pokriti s rozetami .</t>
  </si>
  <si>
    <t>3. Pred polaganjem izvajalec skupaj z nadzorom pregleda površine oblaganje in določi lokacije oblaganja sten in tlaka. Površine odprtin do 0,50 m2 , ki se ne oblagajo, ampak se oblaganje vrši ob  odprtinah, se ne odbijajo. Okenske odprtine do 1m2 se ne odbijajo, špalete se ne obračunajo posebej, vratne odprtine se odbijejo nad 1m2. Pri polaganju talne keramike na estrihe z lepljenjem  - preveriti , če so potrebni nakloni proti sifonom in višino vgrajenega praga. Pred polaganjem talne keramike v cementno  malto je preveriti stanje talne hidroizolacije , pri polaganju pa dela izvajati tako , da se le-ta  ne poškoduje.</t>
  </si>
  <si>
    <t>4. Pred polaganjem obloge izvajalec obvezno z projektantom določi način, smer in vzorec polaganja. Pred polaganjem keramike je posamezno površino razmeriti glede na velikost ploščic, tako da  ne pride do zelo ozkih pasov na stiku z drugo ploskvijo.</t>
  </si>
  <si>
    <t>5. Vgrajene  sanitarne elemente , kadi  in pisoarje je potrebno zaščititi pred mehanskimi poškodbami.</t>
  </si>
  <si>
    <t>6. Stike sanitarnih elemenov in AB stena kitati s trajnoelastičnim kitom.</t>
  </si>
  <si>
    <t xml:space="preserve">7. Pri večjih površinah  polaganja je v ceno vkalkulirati tudi dilatacije. </t>
  </si>
  <si>
    <t>8. Po končanih delih je prostore očistiti, kompletno z odvozom odpadnega materiala na stalno deponijo. Čiščenje orodja  od malte in  lepila ter  ostanke lepila ni dovoljeno vlivati v kanalizacijo.  Embalažo in ostanke keramike je izvajalec dolžan  odstraniti iz gradbišča.</t>
  </si>
  <si>
    <t>9. Prostore v katerih se izvaja delo (tudi po fugiranju) potrebno vidno označiti , da ne pride do poškodb izvedenih del.</t>
  </si>
  <si>
    <t>10. Vse tipe keramike katere niso tipsko določene, mora pred vgradnjo potrditi odgovorni inženir.</t>
  </si>
  <si>
    <t>11. Vse finalne obdelave pred izvedbo potrdi avtor arhitekture na podlagi prinešenih vzorcev.</t>
  </si>
  <si>
    <t>12. Izvajalec je dolžan preveriti mere na objektu pred izvedbo, prav tako je pred izvedbo izvajalec dolžan pripraviti delavniško dokumentacijo katero mora obvezno potrditi odgovorni inženir.</t>
  </si>
  <si>
    <t>Dobava in lepljenje talnih nedrsečih gres keramičnih ploščic na pripravljeno podlago.  Ploščice so položene na 2mm stik in zastičene s fugirno maso. Stik med talno in stensko oblogo je zatesnjen s trajnoelastičnim kitom. Ploščice so položene po navodilih arhitekta, srednji cenovni razred.</t>
  </si>
  <si>
    <t>Naprava nizkostenske obloge viš. 10cm v enaki izvedbi kot so tla, z zatesnitvijo stika pri tleh s silikonskim kitom.</t>
  </si>
  <si>
    <t xml:space="preserve">Dobava in izdelava horizontalne in vertikalne hidroizolacije debeline 0,3 mm. Dvokomponentni fleksibilni tesnilni sistem na osnovi cementa in sintetičnih smol kot npr.: Hidrostop Elastik ali Mapei Mapelastic, z nanašanjem v dveh slojih. Armirano s stekleno mrežico, skupaj z gumiranimi poliestrskimi trakovi oz. manšetami z robno tkanino kot npr. Kemaband ali Mapei Mapeband + tesnilna masa Mapei Mapeflex GB1, izvedeno na cementni estrih in na zid v kopalnicah.  </t>
  </si>
  <si>
    <t>Razna režijske ure pri keramičarskih delih</t>
  </si>
  <si>
    <t>KERAMIČARSKA in KAMNOSEŠKA  DELA SKUPAJ:</t>
  </si>
  <si>
    <t>OPOMBA: Pri izvajanju slikopleskarskih del je upoštevati vsa pripravljalna dela, pomožna in zaključna dela. Hkrati je potrebno tudi upoštevati:</t>
  </si>
  <si>
    <t xml:space="preserve">1. Na  opleskanih površinah se ne smejo poznati sledovi od slikopleskarskega orodja  in ton mora biti enoten. </t>
  </si>
  <si>
    <t>2. Pred pričetkom je predhodno pregledati delovno površino in izvesti potrebna preddela; površine očistiti od emulzij, premazov opažev in mastnih deležev, pregledati niveleto površin in pomeriti stopnjo vlage. Vse našteto mora biti zajeto v E.M. posamezne postavke.</t>
  </si>
  <si>
    <t>3. V ceno je upoštevati vse zaščite pri slikanju ali pleskanju med posameznimi različnimi nanosi barv: bandažni trak, začasno odstranjevanje in ponovno nameščanje, zaščito lesenih ograj, zidnih površin, ipd…</t>
  </si>
  <si>
    <t>4. Na  opleskanih površinah se ne smejo poznati sledovi od slikopleskarskega orodja  in ton mora biti enoten.</t>
  </si>
  <si>
    <t xml:space="preserve">5. Stikovanje  med posameznimi ploščami mora biti ravno  in  gladko. </t>
  </si>
  <si>
    <t xml:space="preserve">6. Prehodi med  vrstami materiala morajo biti ostri in pod pravim kotom, razen če ni s projektom drugače določeno.      </t>
  </si>
  <si>
    <t>7. Pri izdelavi ponudbe obvezno pregledati vso projektno dokumentacijo.</t>
  </si>
  <si>
    <t>8. Vse finalne obdelave pred izvedbo potrdi inženir na podlagi prinešenih vzorcev.</t>
  </si>
  <si>
    <t>Izdelava prednamaza z emulzijo, dvakratno kitanje in brušenje MK stropov. Min. 2 x oplesk z belo poldisperzijsko barvo; kompletno po predpisih in navodilih proizvajalca, z vsemi pomožnimi deli, odri in transporti.</t>
  </si>
  <si>
    <t>Izdelava prednamaza z emulzijo, dvakratno kitanje in brušenje sten ometane stene. Min. 2 x oplesk z barvo po izbiri naročnika; kompletno po predpisih in navodilih proizvajalca, z vsemi pomožnimi deli, odri in transporti.</t>
  </si>
  <si>
    <t>Izvedba stika z akrilnim kitom med steno in mavčnokartoskimi stropom.</t>
  </si>
  <si>
    <t>Popravilo opleskov sten in stropov po končanih obrtniških in instalacijskih delih. Količina je ocenjena</t>
  </si>
  <si>
    <t>Razna režijske ure pri slikopleskarskih delih</t>
  </si>
  <si>
    <t>SLIKOPLESKARSKA DELA SKUPAJ:</t>
  </si>
  <si>
    <t>Razna režijska ure pri delu spuščenih stropov</t>
  </si>
  <si>
    <t>MAVČNO KARTONSKA DELA  SKUPAJ:</t>
  </si>
  <si>
    <r>
      <t>OPOMBA:</t>
    </r>
    <r>
      <rPr>
        <i/>
        <sz val="8"/>
        <rFont val="Arial"/>
        <family val="2"/>
        <charset val="238"/>
      </rPr>
      <t xml:space="preserve"> Pri izvajanju del je upoštevati vsa pripravljalna dela, pomožna in zaključna dela. Hkrati je potrebno tudi poštevati:</t>
    </r>
  </si>
  <si>
    <t>Sestavni del popisa so sheme vrat in oken.</t>
  </si>
  <si>
    <t xml:space="preserve">1. V cenah vrat in oken upoštevati podboje po opisu iz posamezne postavke vključno s finalno obdelavo.  </t>
  </si>
  <si>
    <t>2. Pri izdelavi ponudbe obvezno pregledati vso projektno dokumentacijo.</t>
  </si>
  <si>
    <t>3. Vse finalne obdelave pred izvedbo potrdi inženir na podlagi prinešenih vzorcev.</t>
  </si>
  <si>
    <t>4. Izvajalec je dolžan preveriti mere na objektu pred izvedbo, prav tako je pred izvedbo izvajalec dolžan pripraviti delavniško dokumentacijo katero mora obvezno potrditi odgovorni inženir.</t>
  </si>
  <si>
    <t>Dela morajo biti izvršena po določilih veljavnih normativo v soglasju z veljavnimi standardi za ta dela. Okna so iz PVCprofilov , zastekljena z troslojnim izolacijskim steklom polnjena s plinom toplotne prevodnosti Uw= 1,17W/m2K in opremljena z notranjo polico iz kamna ter zunanjo pločevinasto. Okovje je tipsko. Delitev in odpiranje po shemah.Pred pričetkom del je izvajalec dolžan preveriti mere in količine</t>
  </si>
  <si>
    <t>Zidarska mera: 210/255 cm</t>
  </si>
  <si>
    <t>Svetla mera: 205/250 cm</t>
  </si>
  <si>
    <t>Stena:opečna stena</t>
  </si>
  <si>
    <t>OKNA, VRATA SKUPAJ:</t>
  </si>
  <si>
    <t>Izdelava INOX dostopne lestve iz cevi fi48 mm in prečk iz cevi fi 20 mm. Vključno z izdelavo potrebnih nosilcev in prijemal za lažji sestop ter pritrjevanjem z INOX vijaki v AB steno. Lestev dolžine cca 2,7 m.</t>
  </si>
  <si>
    <t>Dobava in montaža INOX zaščitne ograje višine 110 cm. Stebrički iz cevi fi 48 mm in podstavkom za sidranje v beton in pokrivno rozeto. Kot držalo služi horizontalna cev iz cevi fi 48 mm. Vmes sta še vgrajeni horizontalni prečki iz cevi fi 25 mm. Ograja je vijačena v talno AB ploščo z INOX sidrnimi vijaki.</t>
  </si>
  <si>
    <t>KLJUČAVNIČARSKA DELA SKUPAJ:</t>
  </si>
  <si>
    <t>Izdelava nevezane nosilne plasti enakomerno zrnatega drobljenca iz kamnine v debelini min. 20 cm pod uvoz in min. 10 cm pod dostopno pot in plato.</t>
  </si>
  <si>
    <t>Valjanje tampona in izdelava finega planuma pred vgrajevanjem obrabno nosilnega sloja asfalta na uvozu.</t>
  </si>
  <si>
    <t>Izdelava obrabno nosilne plasti bituminizirane zmesi AC 16 surf B 50/7 A3  v debelini 7 cm na uvozu</t>
  </si>
  <si>
    <t>Izdelava bankine iz gramoza ali naravno zdrobljenega kamnitega materiala, širine od 1,00 do 0,50 m z uvaljanjem</t>
  </si>
  <si>
    <t>Dobava in polaganje vrtnih robnikov 5/20 cm, vključno z potrebnim obbetoniranjem in vsemi pomožnimi deli.</t>
  </si>
  <si>
    <t>Dobava in polaganje betonskih plošč 50x50 cm s filtrskim slojem.</t>
  </si>
  <si>
    <t>Izdelava drenaže, globine do 1.20 m, na planumu izkopa, z gibljivimi plastilčnimi cevmi premera 100 mm okrog objekta.</t>
  </si>
  <si>
    <t>Izdelava priključka drenažne cevi na meterorni jašek.</t>
  </si>
  <si>
    <t>Dobava in polaganje debelostenskih enoslojnih PVC kanalizacijskih cevi tip SN8 DN250</t>
  </si>
  <si>
    <t>Dobava in vgraditev PE jaška, krožnega prereza s premerom DN 625, globokega do 1,50 m, komplet z betonskim okvirjem.</t>
  </si>
  <si>
    <t xml:space="preserve">Dobava in montaža pokrova iz nodularne litine DN600mm, nosilnosti 125 kN. </t>
  </si>
  <si>
    <t>Komplet Izdelava iztočne glave na iztoku meteorne kanalizacije iz PVC DN250 v jarek, vključno z oblogo iz kamna.</t>
  </si>
  <si>
    <t>ZUNANJA UREDITEV SKUPAJ:</t>
  </si>
  <si>
    <t>Dobava in montaža črpalnih agregatov, črpalk, skupaj s spojnim, veznim in tesnilnim materialom:</t>
  </si>
  <si>
    <t>Dobava, montaža, zagon, preizkusno obratovanje potopne črpalke za iztok vode iz objekta
Potopna črpalka iz nerjavečega jekla za umazano vodo in drenažo objekta
vključno s celotnim montažno pritrdilnim materialom
tip: RXm3/20, proizvajalec: Pedrollo ali enakovredno
pretok vsaj 100l/min pri 5 m
višina črpanja vsaj 5 m
dolžina napajalnega kabla vsaj 5 m
prigrajeno plovno stikalo
prehodnost trdih delcev: vsaj 15 mm</t>
  </si>
  <si>
    <t>CEVOVOD NL DN150 (bypass)</t>
  </si>
  <si>
    <t>E-kos DN 150 sidrni razstavljivi spoj</t>
  </si>
  <si>
    <t>F-kos DN 150 sidrni razstavljivi spoj</t>
  </si>
  <si>
    <t xml:space="preserve">FF  DN150/800 INOKS+nav. slepa prirob. v steni jaška </t>
  </si>
  <si>
    <t xml:space="preserve">FF  DN150 INOKS+nav. prirob. </t>
  </si>
  <si>
    <t>ZASUN DN150 + kolo</t>
  </si>
  <si>
    <t xml:space="preserve">ZASUN DN150 + elektromotorni pogon + adapter za namestitev 
Elektro pogon 3-fazni 3x400 VAC,  s krmilno enoto Auma Automatic 01.2. ali enakovredno. </t>
  </si>
  <si>
    <t>T-kos DN150/100</t>
  </si>
  <si>
    <t>Prir. nepovratni ventil DN150</t>
  </si>
  <si>
    <t>Montažno - demontažni kos DN150</t>
  </si>
  <si>
    <t>SESALNI CEVOVOD NL DN100</t>
  </si>
  <si>
    <t xml:space="preserve">FF  DN100 INOKS+nav. prirob. </t>
  </si>
  <si>
    <t>FF  DN100 INOKS+nav. prirob.+nav. odcepom 1"</t>
  </si>
  <si>
    <t>T-kos DN100/100</t>
  </si>
  <si>
    <t>FFR-kos DN100/80</t>
  </si>
  <si>
    <t>Reducirni-kos DN100/80</t>
  </si>
  <si>
    <t>ZASUN DN80 + kolo</t>
  </si>
  <si>
    <t>ZASUN DN100 + kolo</t>
  </si>
  <si>
    <t>ZRAČNIK DN80 dvofunkcijski</t>
  </si>
  <si>
    <t>Q-kos DN100</t>
  </si>
  <si>
    <t>gumi kompenzator DN100</t>
  </si>
  <si>
    <t>Pretočna ratezna posoda V=100l komplet z vsem spojnim in regulacijskim materialom</t>
  </si>
  <si>
    <t>TLAČNI CEVOVOD NL DN100</t>
  </si>
  <si>
    <t>INDUKTIVNI MERILNIK PRETOKA DN100 
Elektro magnetni dvosmerni merilnik pretoka.
izhod tokovna zanka 4-20mA,  IP68
Montaža, priklop in preizkus ter zagon merilca pretoka. 
TIP: Promag 10W PN16 DN100 Proizvajalec Endress+Hauser ali enakovredeno</t>
  </si>
  <si>
    <t>Pretočna ratezna posoda V=150l komplet z vsem spojnim in regulacijskim materialom</t>
  </si>
  <si>
    <t>Prir. nepovratni ventil DN100</t>
  </si>
  <si>
    <t xml:space="preserve">ELEKTRO DELA </t>
  </si>
  <si>
    <t>NN oprema</t>
  </si>
  <si>
    <t xml:space="preserve"> </t>
  </si>
  <si>
    <t>Krmilna omara s strešico.  Dimenzije 1600 x 1800 x 400 mm . Omara je z vrati, s ključavnico, z montažno ploščo in/ali nosilci opreme, s predalom za načrte. Podstavek omare višine 100 mm.  Proizvajalec: HIMEL (ali enakovredno)</t>
  </si>
  <si>
    <t>komplet</t>
  </si>
  <si>
    <t>Tripolni odklopnik,  za nazivno napetost 690 V in tok 40 A, prekinitvene moči  25 kA, z  obešanko za zaklepanje v izklopljenem stanju, Vgradnja na letev, maska rumene barve in ročica rdeče  vgrajena direktno na stikalo. Odklopnik mora imeti vgrajen tudi napetostni sprožnik z izvedbo izklopa v sili. Proizvajalec: Schneider elecrtic  (ali enakovredno)</t>
  </si>
  <si>
    <t>Prenapetostna zaščita RAZREDA II. TIP VARTEC TII (4+0) za TN-S na napalni sistem Proizvajalec: Schrack  (ali enakovredno)</t>
  </si>
  <si>
    <t>Ventilator s filtrom 230V, 19W, 145x145x70mm, IP54, 44m3/h. Proizvajalec: RITTAL (ali enakovredno)</t>
  </si>
  <si>
    <t>Termostat za ventilator  z 1NO kontaktom 2A, 230V, nastavljiv 0-60°C. Proizvajalec: RITTAL (ali enakovredno)</t>
  </si>
  <si>
    <t>Termostat za grelec  z 1NO kontaktom 2A, 230V, nastavljiv 0-60°C. Proizvajalec: RITTAL (ali enakovredno)</t>
  </si>
  <si>
    <t>Grelec za omare 100W/130 °C, s priključno sponko. Proizvajalec: RITTAL (ali enakovredno)</t>
  </si>
  <si>
    <t xml:space="preserve">Servisna svetilka 15W,  stikalom za  vklop svetilke,  L+N+PE, 230V,16A vtičnico in originalnim kablom z vtičnico, TIP: PS4138, Proizvajalec: RITTAL (ali enakovredno)
</t>
  </si>
  <si>
    <t xml:space="preserve">Agregatska trifazna natičnica  za montažo na stranico omarice 3P+N+PE, 380-415V, 63A, IP65, 6h. TIP: PK Unika, Proizvajalec: Schneider elecrtic (ali enakovredno)  </t>
  </si>
  <si>
    <t>Preklopno stikalo 1- 0 -2 (mreža - 0 - agregat)  4-polno / 400 V AC / 40 A za montažo na DIN letev z prigrajenimi pomožnimi signalnimi kontakti. Maska stikala in ročica vgrajena na vrata omare. Schneider elecrtic (ali enakovredno)</t>
  </si>
  <si>
    <t xml:space="preserve">RCD diferenčno zaščitno stikalo, občutljivosti 300mA, 3P+N, 400V, 40A, primerno za obratovanje z frekvenčnimi pretvorniki, delovanje RCD časovno zakasnjeno. Proizvajalec: Schneider elecrtic (ali enakovredno)                                                                                 </t>
  </si>
  <si>
    <t>12</t>
  </si>
  <si>
    <t xml:space="preserve">Naprava za avtomatski ponovni vklop RCD stikala;napajanje 230 V AC. Proizvajalec: Schneider elecrtic (ali enakovredno)                                                                                 </t>
  </si>
  <si>
    <t>13</t>
  </si>
  <si>
    <t xml:space="preserve">RCD diferenčno zaščitno stikalo, občutljivosti 30mA, 3P+N, 400V, 25A, A-tip RCD stikala. Proizvajalec: Schneider elecrtic (ali enakovredno)                                                                                 </t>
  </si>
  <si>
    <t>14</t>
  </si>
  <si>
    <t>Merilni inštrument - multimeter 
tip: METSEPM3255, proizvajalec: Schneider ali enakovredno
Z naslednjmimi lastnostmi: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vrata el. razdelilnika</t>
  </si>
  <si>
    <t>15</t>
  </si>
  <si>
    <t xml:space="preserve">Galvanski ločilnik DC/DC 4 - 20 / 4-20 mA Proizvajalec: Weidmueller  (ali enakovredno) </t>
  </si>
  <si>
    <t>16</t>
  </si>
  <si>
    <t xml:space="preserve">Avtomatska varovalka Icu=10 kA, 3-polna 40 A, karakteristika "C" </t>
  </si>
  <si>
    <t>17</t>
  </si>
  <si>
    <t>Avtomatska varovalka Icu=10 kA, 3-polna 16 A, karakteristika "C"</t>
  </si>
  <si>
    <t>18</t>
  </si>
  <si>
    <t>Avtomatska varovalka Icu=10 kA, 2-polna 16 A, karakteristika "C"</t>
  </si>
  <si>
    <t>19</t>
  </si>
  <si>
    <t>Avtomatska varovalka Icu=10 kA, 1-polna 16 A, karakteristika "B"</t>
  </si>
  <si>
    <t>20</t>
  </si>
  <si>
    <t>Avtomatska varovalka Icu=10 kA, 2-polna 10 A, karakteristika "C"</t>
  </si>
  <si>
    <t>21</t>
  </si>
  <si>
    <t>Avtomatska varovalka Icu=10 kA, 1-polna 10 A, karakteristika "B"</t>
  </si>
  <si>
    <t>22</t>
  </si>
  <si>
    <t>Avtomatska varovalka Icu=10 kA, 3-polna   6 A, karakteristika "B"</t>
  </si>
  <si>
    <t>23</t>
  </si>
  <si>
    <t>Avtomatska varovalka Icu=10 kA, 2-polna     6 A, karakteristika "B"</t>
  </si>
  <si>
    <t>24</t>
  </si>
  <si>
    <t>Avtomatska varovalka Icu=10 kA, 1-polna   6 A, karakteristika "B"</t>
  </si>
  <si>
    <t>25</t>
  </si>
  <si>
    <t xml:space="preserve">Pomožni rele s 4 preklopnimi NOC kontakti, optično indikacijo vklopa, s tuljavo za 230 V AC in RC zaščito , TIP: RXN , Proizvajalec: Schneider elecrtic (ali enakovredno)
</t>
  </si>
  <si>
    <t xml:space="preserve">Pomožni rele s 4 preklopnimi NOC kontakti, optično indikacijo vklopa, s tuljavo za 24 VDC in zaščitno diodo , TIP: RXN , Proizvajalec: Schneider elecrtic (ali enakovredno)
</t>
  </si>
  <si>
    <t>27</t>
  </si>
  <si>
    <t xml:space="preserve">Tripolno izbirno stikalo 1_0_2, 10 A, 230 V , Montaža na letev. Proizvajalec: Schneider elecrtic   (ali enakovredno)
</t>
  </si>
  <si>
    <t>28</t>
  </si>
  <si>
    <t xml:space="preserve">Enopolno izbirno stikalo 1_0, 10 A, 230 V, montaža na letev,  Proizvajalec: Schneider elecrtic (ali enakovredno)
</t>
  </si>
  <si>
    <t>29</t>
  </si>
  <si>
    <t>Napajalnik 230VAC/24VDC, 5A TIP: DR-75-24 Proizvajalca: Mean Well (ali enakovredno)</t>
  </si>
  <si>
    <t>30</t>
  </si>
  <si>
    <t>ON-Line naprava za neprekinjeno napajanje z električno energijo (UPS) 1500VA, 230V, 50Hz</t>
  </si>
  <si>
    <t>31</t>
  </si>
  <si>
    <t>Fazni nadzorni rele za kontrolo nadziranja izpada faz Tip:LT3 SA00ED Proizvajalec: Schneider elecrtic (ali enakovredno)</t>
  </si>
  <si>
    <t>32</t>
  </si>
  <si>
    <t xml:space="preserve">Tripolni motorski odklopnik,  za nazivno napetost 690 V in tok 8,5 A, prekinitvene moči  50 kA, z zaščitno napravo za zaščito pred kratkim stikom in preobremenitvijo, I&gt;... 10 - 16 A , I&gt;&gt;...13*Ir  s pomožnimi kontakti signalizacije preobremenitve in kratkega stika  ter položaja odklopnika. Proizvajalec: Schneider elecrtic (ali enakovredno)
</t>
  </si>
  <si>
    <t>33</t>
  </si>
  <si>
    <t xml:space="preserve">Tripolni motorski odklopnik,  za nazivno napetost 690 V in tok 1,2 A, prekinitvene moči  50 kA, z zaščitno napravo za zaščito pred kratkim stikom in preobremenitvijo, I&gt;... 1,0 - 1,6 A , I&gt;&gt;...13*Ir  s pomožnimi kontakti signalizacije preobremenitve in kratkega stika  ter položaja odklopnika. Proizvajalec: Schneider elecrtic (ali enakovredno)
</t>
  </si>
  <si>
    <t>34</t>
  </si>
  <si>
    <t xml:space="preserve">Frekvenčni regulator 3x400V AC, 5,5 kW, IP20,z grafičnim panelomo, vgrajenim RFI filtrom razred A1/B, Modbus RTU . TIP: VLT Proizvajalec: Danfoss (ali enakovredno)                                                      </t>
  </si>
  <si>
    <t>35</t>
  </si>
  <si>
    <t>Vrstne sponke  za montažo na DIN letev 35 mm, za priključek enožilnega vodnika do 0,5 - 25 mm2, siva, modra oz. zeleno/rumena.  Proizvajalec: WAGO (ali enakovredno)</t>
  </si>
  <si>
    <t>36</t>
  </si>
  <si>
    <t>37</t>
  </si>
  <si>
    <t xml:space="preserve"> NN oprema</t>
  </si>
  <si>
    <t>1.2</t>
  </si>
  <si>
    <t xml:space="preserve"> Krmilna in komunikacijska oprema</t>
  </si>
  <si>
    <t>Dodatni vhodnoi izhodni moduli:</t>
  </si>
  <si>
    <r>
      <t xml:space="preserve">Razširitveni digitalni vhodni modul
</t>
    </r>
    <r>
      <rPr>
        <sz val="9"/>
        <rFont val="Arial"/>
        <family val="2"/>
        <charset val="238"/>
      </rPr>
      <t>Tip: TM3DI16, Proizvajalec: Schneider ali enakovredno z naslednjimi lastnostmi:</t>
    </r>
    <r>
      <rPr>
        <b/>
        <sz val="9"/>
        <rFont val="Arial"/>
        <family val="2"/>
        <charset val="238"/>
      </rPr>
      <t xml:space="preserve">
</t>
    </r>
    <r>
      <rPr>
        <sz val="9"/>
        <rFont val="Arial"/>
        <family val="2"/>
        <charset val="238"/>
      </rPr>
      <t>število vhodov 16, 24 V DC</t>
    </r>
    <r>
      <rPr>
        <b/>
        <sz val="9"/>
        <rFont val="Arial"/>
        <family val="2"/>
        <charset val="238"/>
      </rPr>
      <t xml:space="preserve"> </t>
    </r>
    <r>
      <rPr>
        <sz val="9"/>
        <rFont val="Arial"/>
        <family val="2"/>
        <charset val="238"/>
      </rPr>
      <t>sink/source</t>
    </r>
  </si>
  <si>
    <r>
      <t xml:space="preserve">Razširitveni relejski izhodni modul
</t>
    </r>
    <r>
      <rPr>
        <sz val="9"/>
        <rFont val="Arial"/>
        <family val="2"/>
        <charset val="238"/>
      </rPr>
      <t>Tip: TM3DQ8R, Proizvajalec: Schneider ali enakovredno z naslednjimi lastnostmi:
število relejskih izhodov 8,  24V DC, 2 A</t>
    </r>
  </si>
  <si>
    <r>
      <t xml:space="preserve">Razširitveni analogni vhodni modul
</t>
    </r>
    <r>
      <rPr>
        <sz val="9"/>
        <rFont val="Arial"/>
        <family val="2"/>
        <charset val="238"/>
      </rPr>
      <t>Tip: TM3AI8, Proizvajalec: Schneider ali enakovredno z naslednjimi lastnostmi:
število vhodov vsaj 8, 4 - 20 mA, 
8 AI, -10...10 V / 0…10 V / 0...20 mA / 4...20 mA, 12 bit</t>
    </r>
  </si>
  <si>
    <r>
      <rPr>
        <b/>
        <sz val="9"/>
        <color indexed="8"/>
        <rFont val="Arial"/>
        <family val="2"/>
        <charset val="238"/>
      </rPr>
      <t>Dobava, namestitev, razširitev in izdelava kompletne potrebne programske in strojne opreme, z optimizacijo:</t>
    </r>
    <r>
      <rPr>
        <sz val="9"/>
        <color indexed="8"/>
        <rFont val="Arial"/>
        <family val="2"/>
        <charset val="238"/>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</si>
  <si>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Komunikacijska oprema</t>
  </si>
  <si>
    <r>
      <t xml:space="preserve">Industrijski 4G/LTE mobilni usmerjevalnik z Wifi dostopno točko
</t>
    </r>
    <r>
      <rPr>
        <sz val="9"/>
        <rFont val="Arial"/>
        <family val="2"/>
        <charset val="238"/>
      </rPr>
      <t>tip: RUT955, Proizvajalec: Teltonika ali enakovredno</t>
    </r>
    <r>
      <rPr>
        <b/>
        <sz val="9"/>
        <rFont val="Arial"/>
        <family val="2"/>
        <charset val="238"/>
      </rPr>
      <t xml:space="preserve">
</t>
    </r>
    <r>
      <rPr>
        <sz val="9"/>
        <rFont val="Arial"/>
        <family val="2"/>
        <charset val="238"/>
      </rPr>
      <t>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</si>
  <si>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Arial"/>
        <family val="2"/>
        <charset val="238"/>
      </rPr>
      <t>tip: UNICOM P-30, prozvajalec: Iskra ali enakovredno</t>
    </r>
    <r>
      <rPr>
        <b/>
        <sz val="9"/>
        <rFont val="Arial"/>
        <family val="2"/>
        <charset val="238"/>
      </rPr>
      <t xml:space="preserve"> 
</t>
    </r>
    <r>
      <rPr>
        <sz val="9"/>
        <rFont val="Arial"/>
        <family val="2"/>
        <charset val="238"/>
      </rPr>
      <t>z ustreznim SMA priključkom na usmerjevalnik in zadostno dolžino kabla
zaščita IP67</t>
    </r>
  </si>
  <si>
    <r>
      <t xml:space="preserve">IP video nadzorna kamera
</t>
    </r>
    <r>
      <rPr>
        <sz val="9"/>
        <color indexed="8"/>
        <rFont val="Arial"/>
        <family val="2"/>
        <charset val="238"/>
      </rPr>
      <t>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r>
  </si>
  <si>
    <t>Ostali drobni in nespecificirani material</t>
  </si>
  <si>
    <t>Krmilna in komunikacijska oprema</t>
  </si>
  <si>
    <t>1.3</t>
  </si>
  <si>
    <t>Merina oprema</t>
  </si>
  <si>
    <r>
      <rPr>
        <b/>
        <sz val="9"/>
        <rFont val="Arial"/>
        <family val="2"/>
        <charset val="238"/>
      </rPr>
      <t xml:space="preserve">Merilnik temperature zraka v prostoru
</t>
    </r>
    <r>
      <rPr>
        <sz val="9"/>
        <rFont val="Arial"/>
        <family val="2"/>
        <charset val="238"/>
      </rPr>
      <t>komunikacijski priključek RS485 MODBUS RTU, merilno območje -30 do 40°C, vključno s celotnim montažno pritrdilnim materialom.
Tip:  TTP 311, proizvajalec: Eltratec (ali enakovredno)</t>
    </r>
  </si>
  <si>
    <r>
      <rPr>
        <b/>
        <sz val="9"/>
        <rFont val="Arial"/>
        <family val="2"/>
        <charset val="238"/>
      </rPr>
      <t xml:space="preserve">Merilnik nivoja vode v jašku črplaišča (odpadna voda),
</t>
    </r>
    <r>
      <rPr>
        <sz val="9"/>
        <rFont val="Arial"/>
        <family val="2"/>
        <charset val="238"/>
      </rPr>
      <t>kapacitivni merilnik nivoja MO 500mm  2x preklopni kontakt in tokovna zanka 4-20 mA, napajanje 18 - 30 V DC   Tip: KFI1-2-585-500 Proizvajalca Rechner Sensors (ali enakovredno)</t>
    </r>
  </si>
  <si>
    <r>
      <rPr>
        <b/>
        <sz val="9"/>
        <rFont val="Arial"/>
        <family val="2"/>
        <charset val="238"/>
      </rPr>
      <t xml:space="preserve">Merilnik tlaka v cevovodu
</t>
    </r>
    <r>
      <rPr>
        <sz val="9"/>
        <rFont val="Arial"/>
        <family val="2"/>
        <charset val="238"/>
      </rPr>
      <t>medij: voda, komunikacijski priključek RS485 ModBUS RTU, merilno območje 0-16 bar, zaščita IP56, cevni priključek R1/2, vključno s celotnim montažno pritrdilnim materialom.  
 Tip: PPI 140, proizvajlec: Eltratec (ali enakovredno)</t>
    </r>
  </si>
  <si>
    <t>Mehansko tlačno stikalo 1-5 bar TIP:PM/PT/PS Proizvajlec: Italtecnica (ali enakovredno)</t>
  </si>
  <si>
    <t>Mehansko tlačno stikalo 3-16 bar TIP:PM/PT/PS Proizvajlec: Italtecnica (ali enakovredno)</t>
  </si>
  <si>
    <t xml:space="preserve">Plovno stikalo, ki  mora delovati v območju 5 - 15 cm. Dobavi se skupaj z originalnim kablom v dolžnimi 10 m. </t>
  </si>
  <si>
    <t>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t>
  </si>
  <si>
    <t>Instalacijske cevi PVC DN 32 in DN 25, znotraj in zunaj polirane (PRAHER, ali enakovredno), z zapornimi ventili                    
- cevi s fitingi skupne dolžine 15 m                                                
Ventili so sestavljeni s PTFE sedežem in tesnili FPM
 - ventili 6 kosov</t>
  </si>
  <si>
    <t>Montaža, šolanje in zagon analizatorja prostega klora</t>
  </si>
  <si>
    <t>Ostali drobni in nespecificirani material.</t>
  </si>
  <si>
    <t xml:space="preserve"> Merina oprema</t>
  </si>
  <si>
    <t xml:space="preserve"> Instalacijski kabli</t>
  </si>
  <si>
    <t>Kabel NYY-J 5x 16 mm2</t>
  </si>
  <si>
    <t>ÖLFLEX CLASSIC CY 110  4G 2,5 mm2</t>
  </si>
  <si>
    <t>ÖLFLEX CLASSIC CY 110  3G 1,5 mm2</t>
  </si>
  <si>
    <t>ÖLFLEX CLASSIC 110 5G 1,5 mm2</t>
  </si>
  <si>
    <t>ÖLFLEX CLASSIC CY 110 18G 0,75 mm2</t>
  </si>
  <si>
    <t>ÖLFLEX CLASSIC 110 3G 1,5 mm2</t>
  </si>
  <si>
    <t>Unitronic LIYCY (TP) 2x2x1mm</t>
  </si>
  <si>
    <t>ethenet kabel cat. 6</t>
  </si>
  <si>
    <t>FTC ethenet patc kabel cat. 6 dolžine 2 m</t>
  </si>
  <si>
    <t>FTC ethenet patc kabel cat. 6 dolžine 1 m</t>
  </si>
  <si>
    <t>Kabel NYY-J 3x 1,5mm2</t>
  </si>
  <si>
    <t>Kabel NYY-J 3x 2,5mm2</t>
  </si>
  <si>
    <t>Kabel NYY-J 5x 2,5mm2</t>
  </si>
  <si>
    <t>Instalacijski kabli</t>
  </si>
  <si>
    <t>1.5</t>
  </si>
  <si>
    <t>Ozemljitev</t>
  </si>
  <si>
    <t>Finožični zaščitni vodnik H07V-K 6mm2</t>
  </si>
  <si>
    <t>Ozemljitvena bakrena zbiralka +GIP 25×5×500mm (vxgxd) za montažo na steno z nosilci in opremljena s pritrdilno opremo za kable (vijak, matica M8)</t>
  </si>
  <si>
    <t>Vezava tehnološke in ostale kovinske opreme  na ozemljitvene izvode skupaj z veznim materialom (vijačenje, varjenje)</t>
  </si>
  <si>
    <t>Valjanec FeZn 25 x 4 mm, položen v temelj objekta</t>
  </si>
  <si>
    <t>Valjanec INOX 30 x 3,5 mm, položen v temelj objekta  in v zemljo</t>
  </si>
  <si>
    <t xml:space="preserve">Križna spojka za trak - trak FeZn 25 x 4 mm </t>
  </si>
  <si>
    <t xml:space="preserve">Križna spojka za trak - trak INOX 30 x 3,5 mm </t>
  </si>
  <si>
    <t>Razni spoji na odtočnih ceveh in vgrajeni kovinski opremi</t>
  </si>
  <si>
    <t>Drobni material</t>
  </si>
  <si>
    <t>Zunanji sistem zaščite pred delovanjem strele</t>
  </si>
  <si>
    <t>Dobava in polaganje Al žice Ø 8 mm,  položena nadometno na zidne nosilce, strešne oz. slemenske nosilce</t>
  </si>
  <si>
    <t>Dobava in montaža INOX križne sponke trak-žica - tudi merilna sponka.</t>
  </si>
  <si>
    <t xml:space="preserve">Dobava in montaža INOX križne sponke -žica - žica </t>
  </si>
  <si>
    <t>Dobava in montaža INOX križne žlebne sponke</t>
  </si>
  <si>
    <t>Dobava in montaža zidnega nosilca INOX s križno sponko za INOX trak.</t>
  </si>
  <si>
    <t>Dobava in montaža zidnega nosilca INOX s križno sponko za Al žico Ø 8 mm.</t>
  </si>
  <si>
    <t>Dobava in montaža strešnega nosilca za Al žico Ø 8 mm.</t>
  </si>
  <si>
    <t>Dobava in montaža slemenskega nosilca nosilca za Al žico Ø 8 mm.</t>
  </si>
  <si>
    <t>Dobava in montaža mehanske zaščite glavnih odvodov.</t>
  </si>
  <si>
    <t xml:space="preserve">Instalacijska oprema </t>
  </si>
  <si>
    <t>Perforirana kabelska polica iz nerjavečega jekla 100×50mm s pokrovom, stensko ali stropno konzolo in pritrdilnim materialom</t>
  </si>
  <si>
    <t>Perforirana kabelska polica iz nerjavečega jekla 200×50mm s pokrovom, stensko ali stropno konzolo in pritrdilnim materialom</t>
  </si>
  <si>
    <t>Gibljive zaščitna cev EUROFLEX  raznih dimenzij</t>
  </si>
  <si>
    <t>PN cevi s pritrdilnim materialom ustreznih presekov</t>
  </si>
  <si>
    <t>Električni radiator 1500 W s termostatom</t>
  </si>
  <si>
    <t xml:space="preserve">Mehansko stikalo  6A, 230V z 1NO kontaktom za signalizacijo vstop v objekt, TIP: PS4127, Proizvajalec: RITTAL (ali enakovredno)
</t>
  </si>
  <si>
    <t>Nadometna vtičnica 400V, 16A, 5-polna, 6h, IP54. Montaža na steno v objektu.</t>
  </si>
  <si>
    <t>Nadometna vtičnica 230V, 16A, 3-polna, IP54. Montaža na steno v objektu.</t>
  </si>
  <si>
    <t>Zaščitena industrijska LED svetilka 230V AC, 36W, 1200MM, IP65</t>
  </si>
  <si>
    <t xml:space="preserve">Namensko svetilo zasilne razsvetljave 8 W, v lokalno pripravnem stiku, avtonomije 3 ure z ustreznim piktogramom. </t>
  </si>
  <si>
    <t>Nadometni LED reflektor s senzorjem gibanja, LED 20W,  IP65</t>
  </si>
  <si>
    <t>Nadometna enopolno stikalo. Montaža na steno v objektu</t>
  </si>
  <si>
    <t>Ostalo</t>
  </si>
  <si>
    <t>Priklop tehnoloških elementov</t>
  </si>
  <si>
    <t>kompl</t>
  </si>
  <si>
    <t>Priklop hidroforske postaje</t>
  </si>
  <si>
    <r>
      <rPr>
        <b/>
        <sz val="9"/>
        <rFont val="Arial"/>
        <family val="2"/>
        <charset val="238"/>
      </rPr>
      <t>Testiranje in dokumentiranje programske in strojne opreme in delovanja:</t>
    </r>
    <r>
      <rPr>
        <sz val="9"/>
        <rFont val="Arial"/>
        <family val="2"/>
        <charset val="238"/>
      </rPr>
      <t xml:space="preserve">
na nivoju objekta za redno in izredno delovanje
na nivoju objekt-objekt (odvisna objekta) za redno in izredno delovanje
na nivoju CNS za redno in izredno delovanje</t>
    </r>
  </si>
  <si>
    <r>
      <rPr>
        <b/>
        <sz val="9"/>
        <rFont val="Arial"/>
        <family val="2"/>
        <charset val="238"/>
      </rPr>
      <t>Predaja vseh izvornih kod, licenc, konfiguracijskih datotek in administrativnih gesel</t>
    </r>
    <r>
      <rPr>
        <sz val="9"/>
        <rFont val="Arial"/>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</si>
  <si>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Arial"/>
        <family val="2"/>
        <charset val="238"/>
      </rPr>
      <t>Izdelava tehnične dokumentacije v slovenskem jeziku</t>
    </r>
    <r>
      <rPr>
        <sz val="9"/>
        <rFont val="Arial"/>
        <family val="2"/>
        <charset val="238"/>
      </rPr>
      <t xml:space="preserve">
v kompletu (PID) projekt izvedenega stanja.
Garancijske izjave.
Izdaja navodil o uporabi, obratovanju in vzdrževanju.</t>
    </r>
  </si>
  <si>
    <r>
      <rPr>
        <b/>
        <sz val="9"/>
        <rFont val="Arial"/>
        <family val="2"/>
        <charset val="238"/>
      </rPr>
      <t>Izvedba instalacijskih meritev</t>
    </r>
    <r>
      <rPr>
        <sz val="9"/>
        <rFont val="Arial"/>
        <family val="2"/>
        <charset val="238"/>
      </rPr>
      <t xml:space="preserve">
električne instalacije ter izdaja merilnih protokolov o uspešno opravljenih meritvah.</t>
    </r>
  </si>
  <si>
    <r>
      <rPr>
        <b/>
        <sz val="9"/>
        <rFont val="Arial"/>
        <family val="2"/>
        <charset val="238"/>
      </rPr>
      <t>Zagon, testiranje in optimizacija objekta</t>
    </r>
    <r>
      <rPr>
        <sz val="9"/>
        <rFont val="Arial"/>
        <family val="2"/>
        <charset val="238"/>
      </rPr>
      <t xml:space="preserve">
Spuščanje v pogon, test delovanja in nastavitve parametrov (v PLC-ju, zaščitnih napravah, merilnikih …)</t>
    </r>
  </si>
  <si>
    <r>
      <rPr>
        <b/>
        <sz val="9"/>
        <rFont val="Arial"/>
        <family val="2"/>
        <charset val="238"/>
      </rPr>
      <t xml:space="preserve">Izobraževanje uporabnika 
</t>
    </r>
    <r>
      <rPr>
        <sz val="9"/>
        <rFont val="Arial"/>
        <family val="2"/>
        <charset val="238"/>
      </rPr>
      <t>v slovenskem jeziku na sedežu podjetja upravljavca sistema B.
Nastavitve, upravljanje sistema</t>
    </r>
  </si>
  <si>
    <t>NN dovod</t>
  </si>
  <si>
    <t>Priklop kabla NA2XY-J 4x150+1,5mm v NN omarici transforamtorske postaje (izvede Elektro Meribor, OE Murska Sobota)</t>
  </si>
  <si>
    <t>Varovalni vložki 25A</t>
  </si>
  <si>
    <t>Valjanec FeZn 25x4 mm</t>
  </si>
  <si>
    <t>Zakoličba trase kablovod</t>
  </si>
  <si>
    <t>Strojni izkop in zasip kabelskega jarka 0,3x1,0m</t>
  </si>
  <si>
    <t>Dobava in polaganje kabla NA2XY-J 4x150+1,5mm</t>
  </si>
  <si>
    <t>opozorilni trak</t>
  </si>
  <si>
    <t>Gibljiva, zaščitna cev Ø160</t>
  </si>
  <si>
    <t>Prevozi opreme in materiala</t>
  </si>
  <si>
    <t>Napetostni preizkus položenega kabla, nadzor s strani predstavnika Elektor Maribor OE MS</t>
  </si>
  <si>
    <t>Drobni materiali</t>
  </si>
  <si>
    <t>PMO</t>
  </si>
  <si>
    <t>prostostoječa, poliestrska omarica z dvema vratoma, komplet s strešico, samostojnim, sestavljivim podstavkom, plastičnim temeljem, montažno ploščo, klučavnicami in ostalim drobnim materialom, dimenzij (brez podstavka) (750x1000x320), z vgrajeno opremo:
- 1x tripolna prenapetostna zaščita razreda B, primerna za montažo na letev, (80/20ms)&gt;=50kA, (10/350ms)&gt;=5kA
- 2x varovalčno stikalo vel. 00, kompletno s talilnimi vložki 
- 1x števčna plošča, namenjena montaži trifaznega števca el. energije
- 1x trifazni števec delovne energije (skladno s soglasjem za priključitev)
- 1x priključne sponke, vezni in ostali drobni material, označevanje, pregled, meritve, poročilo o preizkusu</t>
  </si>
  <si>
    <t xml:space="preserve">Priklop kabla NA2XY-J 4x150+1,5mm </t>
  </si>
  <si>
    <t>Gibljiva, zaščitna cev Ø80</t>
  </si>
  <si>
    <t xml:space="preserve">Kabel NYY-J 4x16mm2 </t>
  </si>
  <si>
    <t>Drobni in vezni material, sodelovanje pri priklopu</t>
  </si>
  <si>
    <t>ELEKTRO DELA SKUPAJ:</t>
  </si>
  <si>
    <t>Tišina, k.o. MURSKI ČRNCI</t>
  </si>
  <si>
    <t>MČ_V1</t>
  </si>
  <si>
    <t>MČ-V1 vključuje še traso: MČ_V1.1</t>
  </si>
  <si>
    <t>Zakoličba  komunalnih vodov (elektrika, TK vodi, kanalizacija, optika) s strani upravljalcev.</t>
  </si>
  <si>
    <t xml:space="preserve">PRIPRAVLJALNA IN ZAKLJUČNA DELA SKUPAJ: </t>
  </si>
  <si>
    <t>Rezkanje obstoječega asfalta debeline 6 do 10 cm, z odlaganjem na rob.</t>
  </si>
  <si>
    <t>Izdelava obrabne in zaporne plasti bituminizirane zmesi AC 8 surf B 50/70 A4 v debelini 3 cm, vključno s čiščenjem in premazom stikov z bitumensko emulzijo ter pobrizg očiščenega asfalta z bitumensko emulzijo 0,5 kg/m2  - vozišče JP in LC.</t>
  </si>
  <si>
    <t xml:space="preserve">Betoniranje sidrnih blokov v C 25/30 velikosti do 0,30 m3/kom skupaj z dobavo betona in morebitnim potrebnim opažem.
</t>
  </si>
  <si>
    <t>Vzpostavitev prvotnega stanja na zelenicah z humuziranjem (50% obst. material, 50% novi humus) v debelini 10 cm z dobavo in zasejanjem z travnim semenom.</t>
  </si>
  <si>
    <t>PREHOD  PE Ø63 / PE Ø32</t>
  </si>
  <si>
    <t xml:space="preserve">MONTAŽNA DELA SKUPAJ: </t>
  </si>
  <si>
    <t>MČ_V2</t>
  </si>
  <si>
    <t>T-kos elektrovarilni   Ø63 SDR 11 PN16</t>
  </si>
  <si>
    <t>MČ_V3</t>
  </si>
  <si>
    <t>MČ-V3 vključuje še traso: MČ_V3.1</t>
  </si>
  <si>
    <t>MČ_V4</t>
  </si>
  <si>
    <t>MČ_V5</t>
  </si>
  <si>
    <t>MČ-V5 vključuje še traso: MČ_V5.1, MČ_V5.1.1, MČ_V5.1.2, MČ_V5.2, MČ_V5.3, MČ_V5.3.1 do MČ_V5.3.4</t>
  </si>
  <si>
    <t>Tišina, k.o. Gradišče, k.o. tropovci</t>
  </si>
  <si>
    <t>GR-TR_V0</t>
  </si>
  <si>
    <t>GR-TR_V0 vključuje še trase: GR-TR_V0.1 do GR-TR_V0.7</t>
  </si>
  <si>
    <t>Vključno z strojnim delom GR-TR regionalka</t>
  </si>
  <si>
    <t>VOZLIŠČE na NL DN200 - ODCEP  PE Ø110</t>
  </si>
  <si>
    <t>Tišina, k.o. Gradišče</t>
  </si>
  <si>
    <t>GR-V1</t>
  </si>
  <si>
    <t>GR_V1 vključuje še trase: GR_V1.1 do GR_V1.4</t>
  </si>
  <si>
    <t>GR-V2</t>
  </si>
  <si>
    <t>C2</t>
  </si>
  <si>
    <t>GR-V3</t>
  </si>
  <si>
    <t>GR_V3 vključuje še traso: GR_V3.1</t>
  </si>
  <si>
    <t>3.4.1</t>
  </si>
  <si>
    <t>Tišina, k.o. Gradišče, k.o. Tropovci</t>
  </si>
  <si>
    <t>GR-TR-regionalka</t>
  </si>
  <si>
    <t>Montažna dela zajeta pri GR-TR_V0</t>
  </si>
  <si>
    <t>Tišina, k.o. Tropovci</t>
  </si>
  <si>
    <t>TR-V4</t>
  </si>
  <si>
    <t>TR_V4 vključuje še trase: TR_V4.1 (TR_V41.1), TR_V4.2 (TR_V4.2.1, TR_V4.2.2), TR_V4.3 (TR_V4.3.1), TR_V4.4</t>
  </si>
  <si>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</si>
  <si>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32 RC PROTECT SDR11 PN16  z dodanim aluminijastim slojem</t>
    </r>
  </si>
  <si>
    <t>MONTAŽNA DELA SKUPAJ: V4</t>
  </si>
  <si>
    <t>TR-V5</t>
  </si>
  <si>
    <t>MONTAŽNA DELA SKUPAJ: V5</t>
  </si>
  <si>
    <t>Tišina, k.o. TIŠINA</t>
  </si>
  <si>
    <t>TI_V1</t>
  </si>
  <si>
    <t>C1</t>
  </si>
  <si>
    <t>TI_V2</t>
  </si>
  <si>
    <t>PREHOD  PE Ø110 / PE Ø63</t>
  </si>
  <si>
    <t xml:space="preserve">FFR kos DN100/63 s sidrno objemko </t>
  </si>
  <si>
    <r>
      <t xml:space="preserve">PE elektrfuz. obojka  </t>
    </r>
    <r>
      <rPr>
        <sz val="9"/>
        <color indexed="8"/>
        <rFont val="Calibri"/>
        <family val="2"/>
        <charset val="238"/>
      </rPr>
      <t>Ø</t>
    </r>
    <r>
      <rPr>
        <sz val="9"/>
        <color indexed="8"/>
        <rFont val="Arial"/>
        <family val="2"/>
        <charset val="238"/>
      </rPr>
      <t>110SDR11 PN16</t>
    </r>
  </si>
  <si>
    <t>TI_V3</t>
  </si>
  <si>
    <t>TI_V3 vključuje še traso: TI_V3.1</t>
  </si>
  <si>
    <t>lomi na cevovodu PE Ø11</t>
  </si>
  <si>
    <t>C3</t>
  </si>
  <si>
    <t>TI_V4</t>
  </si>
  <si>
    <t>TI_V4 vključuje še traso: TI_V4.1</t>
  </si>
  <si>
    <t xml:space="preserve">lok elektrovarilni 45°  Ø110SDR 11 PN16 </t>
  </si>
  <si>
    <t>VOZLIŠČE na PE Ø110 - ODCEP  PE Ø32</t>
  </si>
  <si>
    <r>
      <t xml:space="preserve">PE redukcija </t>
    </r>
    <r>
      <rPr>
        <sz val="9"/>
        <color indexed="8"/>
        <rFont val="Calibri"/>
        <family val="2"/>
        <charset val="238"/>
      </rPr>
      <t>Ø</t>
    </r>
    <r>
      <rPr>
        <sz val="9"/>
        <color indexed="8"/>
        <rFont val="Arial"/>
        <family val="2"/>
        <charset val="238"/>
      </rPr>
      <t>90/32SDR11 PN16</t>
    </r>
  </si>
  <si>
    <r>
      <t xml:space="preserve">PE elektrfuz. obojka  </t>
    </r>
    <r>
      <rPr>
        <sz val="9"/>
        <color indexed="8"/>
        <rFont val="Calibri"/>
        <family val="2"/>
        <charset val="238"/>
      </rPr>
      <t>Ø</t>
    </r>
    <r>
      <rPr>
        <sz val="9"/>
        <color indexed="8"/>
        <rFont val="Arial"/>
        <family val="2"/>
        <charset val="238"/>
      </rPr>
      <t>32 SDR11 PN16</t>
    </r>
  </si>
  <si>
    <t>C4</t>
  </si>
  <si>
    <t>Tišina, k.o. PETANJCI</t>
  </si>
  <si>
    <t>PET_V1</t>
  </si>
  <si>
    <t>PET_V1 vključuje še trasi: PET_V1.1 in PRT_V1.2</t>
  </si>
  <si>
    <t>PET_V2</t>
  </si>
  <si>
    <t>PET_V2 vključuje še traso: PET_V2.1</t>
  </si>
  <si>
    <t>PET_V3</t>
  </si>
  <si>
    <t>PET_V4</t>
  </si>
  <si>
    <t>PET_V4 vključuje še trasi: PET_V4.1 in PET_V4.2</t>
  </si>
  <si>
    <t>PET_V5</t>
  </si>
  <si>
    <t>C5</t>
  </si>
  <si>
    <t>Tišina, k.o. MURSKI PETROVCI</t>
  </si>
  <si>
    <t>MP_V1</t>
  </si>
  <si>
    <t>MP_V1 vključuje še trasi: MP_V1.1 in MP_V1.2</t>
  </si>
  <si>
    <t>Izdelava nosilne plasti bituminizirane zmesi AC 32 base B 50/70 A1/A2 v debelini 7 cm, vključno s čiščenjem in premazom stikov z bitumensko emulzijo - vozišče RC.</t>
  </si>
  <si>
    <r>
      <t xml:space="preserve">Izdelava obrabne in zaporne plasti bituminizirane zmesi AC 11 surf PmB 45/80-65 A2 v debelini 4 cm, vključno s čiščenjem in premazom stikov z bitumensko emulzijo ter pobrizg očiščenega asfalta z bitumensko emulzijo 0,5 kg/m2 - </t>
    </r>
    <r>
      <rPr>
        <u/>
        <sz val="9"/>
        <rFont val="Arial"/>
        <family val="2"/>
        <charset val="238"/>
      </rPr>
      <t>vozišče RC</t>
    </r>
    <r>
      <rPr>
        <sz val="9"/>
        <rFont val="Arial"/>
        <family val="2"/>
        <charset val="238"/>
      </rPr>
      <t>.</t>
    </r>
  </si>
  <si>
    <t>Tišina, k.o. SODIŠINCI</t>
  </si>
  <si>
    <t>SO_V1</t>
  </si>
  <si>
    <t>SO_V1 vključuje še trasi: SO_V1.1 in SO_V1.2</t>
  </si>
  <si>
    <t>lok elektrovarilni 45°  Ø110SDR 11 PN16</t>
  </si>
  <si>
    <t>PREHOD  PE Ø110 / PE Ø32</t>
  </si>
  <si>
    <t>SO_V2</t>
  </si>
  <si>
    <t>SO_V2 vključuje še trasi: SO_V2.1 in SO_V2.2</t>
  </si>
  <si>
    <t>Izdelava obrabne in zaporne plasti bituminizirane zmesi v dveh slojih po AC 8 surf B 50/70 A5 v debelini 4 cm, vključno s čiščenjem in premazom stikov z bitumensko emulzijoter pobrizg očiščenega asfalta z bitumensko emulzijo 0,5 kg/m2 -  na priključkih in uvozih.</t>
  </si>
  <si>
    <t>SO_V3</t>
  </si>
  <si>
    <t>SO_V3 vključuje še trasi: SO_V3.1 in SO_V3.2</t>
  </si>
  <si>
    <t>Izdelava obrabne in zaporne ter nosilne plasti bituminizirane zmesi AC 16 surf B 50/70 A4, v debelini 6 cm - enoslojni asfalt, vključno s čiščenjem in premazom stikov z bitumensko emulzijo - vozišče JP in nekategorizirane ceste.</t>
  </si>
  <si>
    <t>Odstranitev, skladiščenje in ponovno polaganje obstoječega tlakovca na uvozih, vključno z pripravo podlage, dobavo frakcije, vsemi pomožnimi deli in fugiranje s peskom.</t>
  </si>
  <si>
    <t>lok elektrovarilni 22°  Ø110SDR 11 PN16</t>
  </si>
  <si>
    <t>Tišina, k.o. GEDEROVCI</t>
  </si>
  <si>
    <t>GED_V1</t>
  </si>
  <si>
    <t>GED_V1 vključuje še trasi: GED_V1.1 in GED_V2</t>
  </si>
  <si>
    <t xml:space="preserve">Izvedba podboja ceste ali vodotoka, komplet, v ceno zajeto:  izkop in zasip ustrezne gradbene jame, podvrtavanje, zaščitna cev, pripadajoči drsni obroči in zaključne gumi manšete. </t>
  </si>
  <si>
    <r>
      <t xml:space="preserve">zaščitna cev Ø63 za PE </t>
    </r>
    <r>
      <rPr>
        <sz val="9"/>
        <rFont val="Calibri"/>
        <family val="2"/>
        <charset val="238"/>
      </rPr>
      <t>Ø32</t>
    </r>
  </si>
  <si>
    <t>MMK 90° DN150 bajonetni</t>
  </si>
  <si>
    <t>GED_V3</t>
  </si>
  <si>
    <t>GED_V3 vključuje še trasi: GED_V3.1 in GED_V3.2</t>
  </si>
  <si>
    <r>
      <t xml:space="preserve">zaščitna cev </t>
    </r>
    <r>
      <rPr>
        <sz val="9"/>
        <rFont val="Calibri"/>
        <family val="2"/>
        <charset val="238"/>
      </rPr>
      <t>Ø</t>
    </r>
    <r>
      <rPr>
        <sz val="9"/>
        <rFont val="Arial"/>
        <family val="2"/>
        <charset val="238"/>
      </rPr>
      <t>160 za PE Ø90 - Ø125</t>
    </r>
  </si>
  <si>
    <t>Tišina, k.o. RANKOVCI</t>
  </si>
  <si>
    <t>RA_V1</t>
  </si>
  <si>
    <t>RA_V1 vključuje še trase: RA_V1.1, RA_V1.2 (RA_V1.2.1) in RA_V1.3</t>
  </si>
  <si>
    <t>zaščitna cev DN300 za NL DN150</t>
  </si>
  <si>
    <t>RA_V2</t>
  </si>
  <si>
    <t>RA_V2 vključuje še trase: RA_V2.1 (RA_V2.1.1), RA_V2.2 do RA_V2.6 (RA_V2.6.1)</t>
  </si>
  <si>
    <t>zaščitna cev Ø160 za PE Ø90 - Ø125</t>
  </si>
  <si>
    <t>Tišina, k.o. Borejci, k.o. Vanča vas</t>
  </si>
  <si>
    <t>BO-VAN_V1</t>
  </si>
  <si>
    <t>BO-VAN_V1 vključuje še trase: BO-VAN_V1.1 do BO-VAN_V1.3 (BO-VAN_V1.3.1)</t>
  </si>
  <si>
    <t>BO-VAN_V2</t>
  </si>
  <si>
    <t>BO-VAN_V2 vključuje še trase: BO-VAN_V2.1 do BO-VAN_V2.3</t>
  </si>
  <si>
    <t>Tišina, k.o. Vanča vas</t>
  </si>
  <si>
    <t>BO-VAN_V3</t>
  </si>
  <si>
    <t>BO-VAN_V3 vključuje še trasi: BO-VAN_V3.1 in BO-VAN_V3.2</t>
  </si>
  <si>
    <t>VMS-V1-1</t>
  </si>
  <si>
    <t>ROČNI izkop vezljive zemljine/zrnate kamnine – 3.kategorije za  kanalske rove  širine do 1,50m in globine 1,1 do 2,50m.</t>
  </si>
  <si>
    <t>STROJNI izkop vezljive zemljine/zrnate kamnine – 3.kategorije za  kanalske rove  širine do 1,50m in globine 1,1 do 2,50m.</t>
  </si>
  <si>
    <r>
      <t xml:space="preserve">Izdelava nosilne plasti bituminizirane zmesi AC 16 base B 50/70 A4 v debelini 5 cm, vključno s čiščenjem in premazom stikov z bitumensko emulzijo - </t>
    </r>
    <r>
      <rPr>
        <u/>
        <sz val="9"/>
        <rFont val="Arial"/>
        <family val="2"/>
      </rPr>
      <t>vozišče JP in LC.</t>
    </r>
  </si>
  <si>
    <t>12.1</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</si>
  <si>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rPr>
      <t>vozišče JP in LC.</t>
    </r>
  </si>
  <si>
    <r>
      <t xml:space="preserve">Izdelava obrabne in zaporne plasti bituminizirane zmesi AC 8 surf B 50/70 A5 v debelini 4 cm, vključno s čiščenjem in premazom stikov z bitumensko emulzijo - </t>
    </r>
    <r>
      <rPr>
        <u/>
        <sz val="9"/>
        <rFont val="Arial"/>
        <family val="2"/>
      </rPr>
      <t>hodniki in kolesarske steze.</t>
    </r>
  </si>
  <si>
    <t>13.1</t>
  </si>
  <si>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rPr>
      <t>hodniki in kolesarske steze - na priključkih in uvozih.</t>
    </r>
  </si>
  <si>
    <t>Strojna izdelava tankoslojnih talnih označb, komplet z vsemi pomožnimi deli, prenosi in prevozi. V skladu s Pravilnikom o prometni signalizaciji in prometni opremi na cestah ter Tehničnimi specifikacijami za ceste DRSi.</t>
  </si>
  <si>
    <t>-označba 5231</t>
  </si>
  <si>
    <t>-označba 5232-1 bela barva</t>
  </si>
  <si>
    <t>-označba 5232-1 rdeča barva</t>
  </si>
  <si>
    <t>-označba 5333-2            (3 kom)</t>
  </si>
  <si>
    <t xml:space="preserve">-označba 5211         </t>
  </si>
  <si>
    <t xml:space="preserve">-označba 5111         </t>
  </si>
  <si>
    <t xml:space="preserve">-označba 5412       </t>
  </si>
  <si>
    <t xml:space="preserve">-označba 5422    </t>
  </si>
  <si>
    <t>-označba 5231-4</t>
  </si>
  <si>
    <t>-označba 5335-1</t>
  </si>
  <si>
    <t>-označba 5336</t>
  </si>
  <si>
    <t>-označba 5314-1</t>
  </si>
  <si>
    <t>-označba 5121 (3/3/3)</t>
  </si>
  <si>
    <t>Razplaniranje materiala na ustrezni deponiji</t>
  </si>
  <si>
    <t xml:space="preserve">Podvrtavanje ceste, komplet, v ceno zajeto:  izkop in zasip ustrezne gradbene jame, podvrtavanje, zaščitna cev, pripadajoči drsni obroči in zaključne gumi manšete. </t>
  </si>
  <si>
    <t>zaščitna jeklena cev DN 400 za NL DN200</t>
  </si>
  <si>
    <t>zaščitna cev DN 400 za NL DN200</t>
  </si>
  <si>
    <t>Odstranitev krovne plošče betonskih jaškov kpl. Z LTŽ pokrovom in odvozom na deponijo, komplet z vsemi pomožnimi deli.</t>
  </si>
  <si>
    <t>Betoniranje obstoječih betonskih jaškov, v deb. 10 cm, skupaj z dobavo betona.</t>
  </si>
  <si>
    <t>PE 100 PN 16 Ø110 RC PROTECT SDR11 PN16</t>
  </si>
  <si>
    <t>PE 100 PN 16 Ø110 RC PROTECT SDR11 PN16                 z dodanim aluminijastim slojem</t>
  </si>
  <si>
    <t>PE 100 PN 16 Ø63 RC PROTECT SDR11 PN16</t>
  </si>
  <si>
    <t>PE 100 PN 16 Ø63 RC PROTECT SDR11 PN16           z dodanim aluminijastim slojem</t>
  </si>
  <si>
    <t>PE 100 PN 16 Ø32 RC PROTECT SDR11</t>
  </si>
  <si>
    <t>PE 100 PN 16 Ø32 RC PROTECT SDR11 PN16           z dodanim aluminijastim slojem</t>
  </si>
  <si>
    <t>MMK 30° DN200 bajonetni</t>
  </si>
  <si>
    <t>univerzalna spojka MULTI/JOINT XL DN350</t>
  </si>
  <si>
    <t>MMK 33° DN150 bajonetni</t>
  </si>
  <si>
    <t xml:space="preserve">lok elektrovarilni 90°  Ø125 SDR 11 PN16 </t>
  </si>
  <si>
    <r>
      <t xml:space="preserve">ozn. tablica + poc.steber </t>
    </r>
    <r>
      <rPr>
        <sz val="9"/>
        <rFont val="Calibri"/>
        <family val="2"/>
        <charset val="238"/>
      </rPr>
      <t>Ø</t>
    </r>
    <r>
      <rPr>
        <sz val="9"/>
        <rFont val="Arial"/>
        <family val="2"/>
        <charset val="238"/>
      </rPr>
      <t>48 + poc.sidro stebra</t>
    </r>
  </si>
  <si>
    <t>MMB DN 200/80 bajonetni</t>
  </si>
  <si>
    <t>ZASUN HSM DN200 bajonetni + tel.vgradna,grt.</t>
  </si>
  <si>
    <t>MMB z int.zasunom DN 80/80 bajonetni</t>
  </si>
  <si>
    <r>
      <t xml:space="preserve">PE redukcija </t>
    </r>
    <r>
      <rPr>
        <sz val="9"/>
        <rFont val="Calibri"/>
        <family val="2"/>
        <charset val="238"/>
      </rPr>
      <t>Ø</t>
    </r>
    <r>
      <rPr>
        <sz val="9"/>
        <rFont val="Arial"/>
        <family val="2"/>
        <charset val="238"/>
      </rPr>
      <t>90/63 SDR11 PN16</t>
    </r>
  </si>
  <si>
    <r>
      <t xml:space="preserve">PE elektrfuz. obojka  </t>
    </r>
    <r>
      <rPr>
        <sz val="9"/>
        <rFont val="Calibri"/>
        <family val="2"/>
        <charset val="238"/>
      </rPr>
      <t>Ø</t>
    </r>
    <r>
      <rPr>
        <sz val="9"/>
        <rFont val="Arial"/>
        <family val="2"/>
        <charset val="238"/>
      </rPr>
      <t>63 SDR11 PN16</t>
    </r>
  </si>
  <si>
    <t>PODZEMNI HIDRANTI</t>
  </si>
  <si>
    <t>PODZEMNI HIDRANT na NL DN200</t>
  </si>
  <si>
    <t>S-kos DN 80-k bajonetni</t>
  </si>
  <si>
    <t>VOZLIŠČE na NL DN300 - ODCEP NL DN300</t>
  </si>
  <si>
    <t>MMB DN 300/300 bajonetni</t>
  </si>
  <si>
    <t>ZASUN DN300 + tel.vgradna,grt.</t>
  </si>
  <si>
    <t>ZASUN DN200 + tel.vgradna,grt.</t>
  </si>
  <si>
    <t>R-kos DN300/200 bajonetni</t>
  </si>
  <si>
    <t>sidrna objemka DN300</t>
  </si>
  <si>
    <t>VOZLIŠČE na NL DN350 - ODCEP NL DN200</t>
  </si>
  <si>
    <t>ZASUN DN350 + tel.vgradna,grt.</t>
  </si>
  <si>
    <t>VOZLIŠČE na NL DN350 - ODCEP NL DN300</t>
  </si>
  <si>
    <t>VOZLIŠČE na NL DN300 - ODCEP PE Ø63</t>
  </si>
  <si>
    <t>VOZLIŠČE na NL DN200 - ODCEP NL DN200</t>
  </si>
  <si>
    <t>MMB z int.zasunom DN 200/200 bajonetni</t>
  </si>
  <si>
    <t>S-kos DN 200 bajonetni</t>
  </si>
  <si>
    <t>MMB DN 200/150 bajonetni</t>
  </si>
  <si>
    <t>NL prehodni kos DN150/100</t>
  </si>
  <si>
    <t>S-kos DN 150 bajonetni</t>
  </si>
  <si>
    <r>
      <t xml:space="preserve">PE elektrfuz. obojka  </t>
    </r>
    <r>
      <rPr>
        <sz val="9"/>
        <rFont val="Calibri"/>
        <family val="2"/>
        <charset val="238"/>
      </rPr>
      <t>Ø</t>
    </r>
    <r>
      <rPr>
        <sz val="9"/>
        <rFont val="Arial"/>
        <family val="2"/>
        <charset val="238"/>
      </rPr>
      <t>125 SDR11 PN16</t>
    </r>
  </si>
  <si>
    <t>VOZLIŠČE na NL DN200 - ODCEP  PVC Ø200</t>
  </si>
  <si>
    <t>MMB DN 200/200 bajonetni</t>
  </si>
  <si>
    <t>MMB DN 200/100 bajonetni</t>
  </si>
  <si>
    <t>VOZLIŠČE na NL DN150 - ODCEP  PVC Ø150</t>
  </si>
  <si>
    <t>MMB DN 150/150 bajonetni</t>
  </si>
  <si>
    <t>VOZLIŠČE na NL DN100 - ODCEP  PE Ø110</t>
  </si>
  <si>
    <t>S-kos DN 100 bajonetni</t>
  </si>
  <si>
    <t>VOZLIŠČE na NL DN100 - ODCEP  PE Ø63</t>
  </si>
  <si>
    <t>MMB DN 125/125 bajonetni</t>
  </si>
  <si>
    <t>ZASUN HSM DN125 bajonetni + tel.vgradna,grt.</t>
  </si>
  <si>
    <t>S-kos DN 125 bajonetni</t>
  </si>
  <si>
    <t>S-kos DN100-K bajonetni</t>
  </si>
  <si>
    <t>MMB DN 100/100 bajonetni</t>
  </si>
  <si>
    <t>VOZLIŠČE na SAL Ø110 - ODCEP  PE Ø110</t>
  </si>
  <si>
    <t>VOZLIŠČE na SAL Ø110 - ODCEP  PE Ø63</t>
  </si>
  <si>
    <t>Vodomerni jašek iz PE materiala, okrogle oblike, minimalni notranji svetli premer (DN) 1000mm, minimalne višine 1000mm, pokrov iz umetne mase, komplet z 3x REDUCIRNIM VENTILOM DN20-z 3x manometrom in 3x volumetričnim vodomerom DN20.</t>
  </si>
  <si>
    <t>VMS-V1-1.1</t>
  </si>
  <si>
    <t>Odstranitev utrjenih površin - beton, tlakovec, prane plošče z odstranitvijo na začasno deponijo in ponovna namestitev.</t>
  </si>
  <si>
    <t>14.1</t>
  </si>
  <si>
    <t>14.2</t>
  </si>
  <si>
    <r>
      <t xml:space="preserve">Izdelava obrabne in zaporne plasti bituminizirane zmesi AC 8 surf B 50/70 A5 v debelini 4 cm, vključno s čiščenjem in premazom stikov z bitumensko emulzijo - </t>
    </r>
    <r>
      <rPr>
        <u/>
        <sz val="9"/>
        <rFont val="Arial"/>
        <family val="2"/>
        <charset val="238"/>
      </rPr>
      <t>hodniki in kolesarske steze.</t>
    </r>
  </si>
  <si>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charset val="238"/>
      </rPr>
      <t>hodniki in kolesarske steze - na priključkih in uvozih.</t>
    </r>
  </si>
  <si>
    <r>
      <t xml:space="preserve">zaščitna cev </t>
    </r>
    <r>
      <rPr>
        <sz val="9"/>
        <color theme="1"/>
        <rFont val="Calibri"/>
        <family val="2"/>
        <charset val="238"/>
      </rPr>
      <t>Ø</t>
    </r>
    <r>
      <rPr>
        <sz val="9"/>
        <color theme="1"/>
        <rFont val="Arial"/>
        <family val="2"/>
        <charset val="238"/>
      </rPr>
      <t>160 za PE Ø110</t>
    </r>
  </si>
  <si>
    <t>PODZEMNI HIDRANT na PE Ø110</t>
  </si>
  <si>
    <t>3.3.1</t>
  </si>
  <si>
    <t>VMS-V1-3</t>
  </si>
  <si>
    <t>11.1</t>
  </si>
  <si>
    <t>-označba 5231 (deb. črte 0,5m)</t>
  </si>
  <si>
    <t>-označba 5232</t>
  </si>
  <si>
    <t>-označba 5358-1 -modra</t>
  </si>
  <si>
    <t>-označba 5111-rumena</t>
  </si>
  <si>
    <r>
      <t xml:space="preserve">PE 100 PN 16 </t>
    </r>
    <r>
      <rPr>
        <sz val="9"/>
        <rFont val="Arial"/>
        <family val="2"/>
        <charset val="238"/>
      </rPr>
      <t>Ø</t>
    </r>
    <r>
      <rPr>
        <sz val="9"/>
        <color indexed="8"/>
        <rFont val="Arial"/>
        <family val="2"/>
        <charset val="238"/>
      </rPr>
      <t>50 RC PROTECT SDR11</t>
    </r>
  </si>
  <si>
    <r>
      <t xml:space="preserve">PE 100 PN 16 </t>
    </r>
    <r>
      <rPr>
        <sz val="9"/>
        <rFont val="Arial"/>
        <family val="2"/>
        <charset val="238"/>
      </rPr>
      <t>Ø</t>
    </r>
    <r>
      <rPr>
        <sz val="9"/>
        <color indexed="8"/>
        <rFont val="Arial"/>
        <family val="2"/>
        <charset val="238"/>
      </rPr>
      <t>50 RC PROTECT SDR11 PN16           z dodanim aluminijastim slojem</t>
    </r>
  </si>
  <si>
    <t>lomi na cevovodu NL DN300</t>
  </si>
  <si>
    <t>MMK 11° DN300 bajonetni</t>
  </si>
  <si>
    <t>MMK 22° DN300 bajonetni</t>
  </si>
  <si>
    <t>MMK 30° DN300 bajonetni</t>
  </si>
  <si>
    <t>MMK 45° DN300 bajonetni</t>
  </si>
  <si>
    <t>sidrna objemka DN300-bajonetna</t>
  </si>
  <si>
    <t>IZPUST na NL DN300</t>
  </si>
  <si>
    <t>S-kos DN 300 bajonetni</t>
  </si>
  <si>
    <t>S-kos DN 80-l bajonetni</t>
  </si>
  <si>
    <t>S-kos DN 300-K bajonetni</t>
  </si>
  <si>
    <t>VOZLIŠČE na SAL DN300 - ODCEP NL DN300</t>
  </si>
  <si>
    <t>VOZLIŠČE na NL DN300 - ODCEP PE Ø110</t>
  </si>
  <si>
    <t>MMB DN 300/100 sidrni bajonetni</t>
  </si>
  <si>
    <t>PRIKLJUČEK PE Ø50 na PE Ø110</t>
  </si>
  <si>
    <t>VMS-V1-2</t>
  </si>
  <si>
    <t>Izvedba cestnih zapor državne ceste v času gradnje. V ceni zajeti vsi stroški postavitve popolnih in delnih zapor (pridobivanje soglasij, postavitev prometnih znakov, semaforizacija, ročno usmerjanje...).</t>
  </si>
  <si>
    <t>Rezanje asfaltne plasti s talno diamantno žago, 
debele do 10 cm.</t>
  </si>
  <si>
    <t>Rušitev in odstranitev asfaltne plasti v debelini do 10 cm,
LC delno celotni vozni pas 3 m in hodnik v širini 2 m.</t>
  </si>
  <si>
    <t>Rušitev in odstranitev tlakovca na hodniku v širini 2 m.</t>
  </si>
  <si>
    <t>Priprava terena za asfaltiranje: izkop / zasip gramoza v deb. 10 cm, z nakladanjem in odvozom na deponijo razdalje do 5 km, planiranje in končno valjanje pred asfaltiranjem.</t>
  </si>
  <si>
    <t>Priprava terena za tlakovec: izkop / zasip gramoza v deb. 10 cm, z nakladanjem in odvozom na deponijo razdalje do 5 km, planiranje in končno valjanje pred asfaltiranjem.</t>
  </si>
  <si>
    <r>
      <t xml:space="preserve">Izdelava nosilne plasti bituminizirane zmesi AC 16 base B 50/70 A4 v debelini 5 cm, vključno s čiščenjem in premazom stikov z bitumensko emulzijo - 
</t>
    </r>
    <r>
      <rPr>
        <u/>
        <sz val="9"/>
        <rFont val="Arial"/>
        <family val="2"/>
        <charset val="238"/>
      </rPr>
      <t>vozišče JP in LC (delno celotni vozni pas 3 m, 
ter pas 2 m čez cesto na območju križišč)</t>
    </r>
  </si>
  <si>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 (delno celotni vozni pas 3 m, 
ter pas 2 m čez cesto na območju križišč)</t>
    </r>
  </si>
  <si>
    <r>
      <t xml:space="preserve">Izdelava obrabne in zaporne plasti bituminizirane zmesi AC 8 surf B 50/70 A5 v debelini 4 cm, vključno s čiščenjem in premazom stikov z bitumensko emulzijo - </t>
    </r>
    <r>
      <rPr>
        <u/>
        <sz val="9"/>
        <rFont val="Arial"/>
        <family val="2"/>
        <charset val="238"/>
      </rPr>
      <t>hodnik pas 2 m.</t>
    </r>
  </si>
  <si>
    <t>Izvedba tipskega betonskega tlakovca, enake oblike obstoječemu na pripravljeno podlago, komplet z  izravnavo in utrditev predhodno vgrajeno tamponsko podlago, dobavo in vgradnjo sekanca 4-8 mm v deb. do 4cm, dobavo in fugiranje tlakovca z kremenčevim peskom - hodnik pas 2 m.</t>
  </si>
  <si>
    <t xml:space="preserve">Odlaganje odpadnega tlakovca z odvozom na urejeno deponijo. </t>
  </si>
  <si>
    <t xml:space="preserve">Strojna izdelava tankoslojnih talnih označb z enokomponentno barvo, debeline plasti suhe snovi 200 mikronov, komplet v skladu s Pravilnikom o prometni signalizaciji in prometni opremi na cestah ter Tehničnimi specifikacijami za ceste DRSi, ter z vsemi pomožnimi deli, prenosi in prevozi. </t>
  </si>
  <si>
    <r>
      <t xml:space="preserve">- ločilna prekinjena črta širine 10 cm 3-3-3 (5121) </t>
    </r>
    <r>
      <rPr>
        <i/>
        <sz val="9"/>
        <color indexed="8"/>
        <rFont val="Arial"/>
        <family val="2"/>
        <charset val="238"/>
      </rPr>
      <t>bela</t>
    </r>
  </si>
  <si>
    <r>
      <t xml:space="preserve">- ločilna prekinjena črta širina 10 cm 1-1-1 (5121) </t>
    </r>
    <r>
      <rPr>
        <i/>
        <sz val="9"/>
        <color indexed="8"/>
        <rFont val="Arial"/>
        <family val="2"/>
        <charset val="238"/>
      </rPr>
      <t>bela</t>
    </r>
  </si>
  <si>
    <r>
      <t xml:space="preserve">- ločilna neprekinjena črta širina 10 cm (5111) </t>
    </r>
    <r>
      <rPr>
        <i/>
        <sz val="9"/>
        <color indexed="8"/>
        <rFont val="Arial"/>
        <family val="2"/>
        <charset val="238"/>
      </rPr>
      <t>bela</t>
    </r>
  </si>
  <si>
    <r>
      <t xml:space="preserve">- ločilna neprekinjena črta širina 50 cm (5231) </t>
    </r>
    <r>
      <rPr>
        <i/>
        <sz val="9"/>
        <color indexed="8"/>
        <rFont val="Arial"/>
        <family val="2"/>
        <charset val="238"/>
      </rPr>
      <t>bela</t>
    </r>
  </si>
  <si>
    <r>
      <t xml:space="preserve">- ločilna prekinjena črta širina 50 cm (5212) </t>
    </r>
    <r>
      <rPr>
        <i/>
        <sz val="9"/>
        <color indexed="8"/>
        <rFont val="Arial"/>
        <family val="2"/>
        <charset val="238"/>
      </rPr>
      <t>bela</t>
    </r>
  </si>
  <si>
    <r>
      <t xml:space="preserve">- zaporna ploskev (5312) </t>
    </r>
    <r>
      <rPr>
        <i/>
        <sz val="9"/>
        <color indexed="8"/>
        <rFont val="Arial"/>
        <family val="2"/>
        <charset val="238"/>
      </rPr>
      <t>bela</t>
    </r>
  </si>
  <si>
    <r>
      <t xml:space="preserve">- polje za usmerjanje prometa (5313) </t>
    </r>
    <r>
      <rPr>
        <i/>
        <sz val="9"/>
        <color indexed="8"/>
        <rFont val="Arial"/>
        <family val="2"/>
        <charset val="238"/>
      </rPr>
      <t>bela</t>
    </r>
  </si>
  <si>
    <r>
      <t xml:space="preserve">- simbol na prometni površini (5604) </t>
    </r>
    <r>
      <rPr>
        <i/>
        <sz val="9"/>
        <color indexed="8"/>
        <rFont val="Arial"/>
        <family val="2"/>
        <charset val="238"/>
      </rPr>
      <t>bela</t>
    </r>
  </si>
  <si>
    <r>
      <t xml:space="preserve">- puščica za eno smer (5412) </t>
    </r>
    <r>
      <rPr>
        <i/>
        <sz val="9"/>
        <color indexed="8"/>
        <rFont val="Arial"/>
        <family val="2"/>
        <charset val="238"/>
      </rPr>
      <t>bela</t>
    </r>
  </si>
  <si>
    <r>
      <t xml:space="preserve">- puščica za eno smer (5413) </t>
    </r>
    <r>
      <rPr>
        <i/>
        <sz val="9"/>
        <color indexed="8"/>
        <rFont val="Arial"/>
        <family val="2"/>
        <charset val="238"/>
      </rPr>
      <t>bela</t>
    </r>
  </si>
  <si>
    <r>
      <t xml:space="preserve">- puščica za dve smeri (5423) </t>
    </r>
    <r>
      <rPr>
        <i/>
        <sz val="9"/>
        <color indexed="8"/>
        <rFont val="Arial"/>
        <family val="2"/>
        <charset val="238"/>
      </rPr>
      <t>bela</t>
    </r>
  </si>
  <si>
    <r>
      <t xml:space="preserve">- puščica za eno smeri (5411) </t>
    </r>
    <r>
      <rPr>
        <i/>
        <sz val="9"/>
        <color indexed="8"/>
        <rFont val="Arial"/>
        <family val="2"/>
        <charset val="238"/>
      </rPr>
      <t>bela</t>
    </r>
  </si>
  <si>
    <r>
      <t xml:space="preserve">- simbol na prometni površini (5609-1) </t>
    </r>
    <r>
      <rPr>
        <i/>
        <sz val="9"/>
        <color indexed="8"/>
        <rFont val="Arial"/>
        <family val="2"/>
        <charset val="238"/>
      </rPr>
      <t>bela</t>
    </r>
  </si>
  <si>
    <r>
      <t xml:space="preserve">- prehod za kolesarje (5232) </t>
    </r>
    <r>
      <rPr>
        <i/>
        <sz val="9"/>
        <color indexed="8"/>
        <rFont val="Arial"/>
        <family val="2"/>
        <charset val="238"/>
      </rPr>
      <t>bela</t>
    </r>
  </si>
  <si>
    <r>
      <t>- prehod za kolesarje (5232-1)</t>
    </r>
    <r>
      <rPr>
        <i/>
        <sz val="9"/>
        <color indexed="8"/>
        <rFont val="Arial"/>
        <family val="2"/>
        <charset val="238"/>
      </rPr>
      <t xml:space="preserve"> bela - rdeča</t>
    </r>
  </si>
  <si>
    <r>
      <t>- kolesarski pas (5233)</t>
    </r>
    <r>
      <rPr>
        <i/>
        <sz val="9"/>
        <color indexed="8"/>
        <rFont val="Arial"/>
        <family val="2"/>
        <charset val="238"/>
      </rPr>
      <t xml:space="preserve"> rdeča</t>
    </r>
  </si>
  <si>
    <r>
      <t>- puščica za dve smeri (5464)</t>
    </r>
    <r>
      <rPr>
        <i/>
        <sz val="9"/>
        <color indexed="8"/>
        <rFont val="Arial"/>
        <family val="2"/>
        <charset val="238"/>
      </rPr>
      <t xml:space="preserve"> rdeča</t>
    </r>
  </si>
  <si>
    <r>
      <t xml:space="preserve">- ločilna neprekinjena črta širina 50 cm (5211) </t>
    </r>
    <r>
      <rPr>
        <i/>
        <sz val="9"/>
        <color indexed="8"/>
        <rFont val="Arial"/>
        <family val="2"/>
        <charset val="238"/>
      </rPr>
      <t>bela</t>
    </r>
  </si>
  <si>
    <t>lomi na cevovodu PE Ø90</t>
  </si>
  <si>
    <t xml:space="preserve">lok elektrovarilni 45°  Ø90 SDR 11 PN16 </t>
  </si>
  <si>
    <t xml:space="preserve">lok elektrovarilni 90°  Ø90 SDR 11 PN16 </t>
  </si>
  <si>
    <t>V1-2-61</t>
  </si>
  <si>
    <t>SM-kos DN80-k bajonetni</t>
  </si>
  <si>
    <t>S-kos DN200 bajonetni</t>
  </si>
  <si>
    <t>VOZLIŠČE na SAL200 - ODCEP NL DN200</t>
  </si>
  <si>
    <t>VOZLIŠČE na NL DN200 - ODCEP  PE Ø90</t>
  </si>
  <si>
    <t>VOZLIŠČE na PVC DN150 - ODCEP NL DN150</t>
  </si>
  <si>
    <t>MMB 100/100 bajonetni</t>
  </si>
  <si>
    <t>S-kos DN100-k bajonetni</t>
  </si>
  <si>
    <t>VOZLIŠČE na PE Ø90 - ODCEP  PE Ø90</t>
  </si>
  <si>
    <t>S-kos DN80-k bajonetni</t>
  </si>
  <si>
    <t>VMP-1</t>
  </si>
  <si>
    <t>Odstranitev in ponovno polaganje utrjenih betonskih tlakovanih površin  v debelini do 6 cm po izvedbi vodovoda, z izvedbo podlage iz drobljene frakcije do 4-8mm v debelini 5 cm.</t>
  </si>
  <si>
    <t>-označba 5121 (1/1/1)</t>
  </si>
  <si>
    <t>Izdelava bankine iz drobljenca, široke 0,51 do 0,75 m, povprečne debeline 10 cm.</t>
  </si>
  <si>
    <t xml:space="preserve">Humuziranje brežine brez valjanja, v debelini do 15 cm - strojno </t>
  </si>
  <si>
    <r>
      <t xml:space="preserve">Podvrtavanje </t>
    </r>
    <r>
      <rPr>
        <b/>
        <sz val="9"/>
        <rFont val="Arial"/>
        <family val="2"/>
        <charset val="238"/>
      </rPr>
      <t>ceste</t>
    </r>
    <r>
      <rPr>
        <sz val="9"/>
        <rFont val="Arial"/>
        <family val="2"/>
        <charset val="238"/>
      </rPr>
      <t xml:space="preserve">, komplet, v ceno zajeto:  izkop in zasip ustrezne gradbene jame, podvrtavanje, zaščitna cev, pripadajoči drsni obroči in zaključne gumi manšete. </t>
    </r>
  </si>
  <si>
    <r>
      <t xml:space="preserve">Podvrtavanje </t>
    </r>
    <r>
      <rPr>
        <b/>
        <sz val="9"/>
        <rFont val="Arial"/>
        <family val="2"/>
        <charset val="238"/>
      </rPr>
      <t>železniške proge</t>
    </r>
    <r>
      <rPr>
        <sz val="9"/>
        <rFont val="Arial"/>
        <family val="2"/>
        <charset val="238"/>
      </rPr>
      <t xml:space="preserve">, komplet, v ceno zajeto:  izkop in zasip ustrezne gradbene jame, podvrtavanje, zaščitna cev, pripadajoči drsni obroči in zaključne gumi manšete. </t>
    </r>
  </si>
  <si>
    <r>
      <t xml:space="preserve">Križanje </t>
    </r>
    <r>
      <rPr>
        <b/>
        <sz val="9"/>
        <rFont val="Arial"/>
        <family val="2"/>
        <charset val="238"/>
      </rPr>
      <t>jarka</t>
    </r>
    <r>
      <rPr>
        <sz val="9"/>
        <rFont val="Arial"/>
        <family val="2"/>
        <charset val="238"/>
      </rPr>
      <t xml:space="preserve">, komplet, v ceno zajeto: zaščitna cev, obbetoniranje, pripadajoči drsni obroči, zaključne gumi manšete, uvlačenje vodovodne cevi. </t>
    </r>
  </si>
  <si>
    <t>1. jarek - zaščitna cev DN 400 za NL DN200</t>
  </si>
  <si>
    <t>2. jarek - zaščitna cev DN 400 za NL DN200</t>
  </si>
  <si>
    <r>
      <t xml:space="preserve">Križanje </t>
    </r>
    <r>
      <rPr>
        <b/>
        <sz val="9"/>
        <rFont val="Arial"/>
        <family val="2"/>
        <charset val="238"/>
      </rPr>
      <t>ceste</t>
    </r>
    <r>
      <rPr>
        <sz val="9"/>
        <rFont val="Arial"/>
        <family val="2"/>
        <charset val="238"/>
      </rPr>
      <t xml:space="preserve">, komplet, v ceno zajeto: zaščitna cev, obbetoniranje, pripadajoči drsni obroči, zaključne gumi manšete, uvlačenje vodovodne cevi. </t>
    </r>
  </si>
  <si>
    <t>Vodeno daljinsko podvrtavanje Ledave po tehnologiji HDD, v zemljini 3-4 kategorije, premer vrtine 325 mm. Zajeta vsa potrebna dela, priprava gradbene jame, razpiranje sten, izvedba zaščitne cevi z uvlačenjem PEHD cevovoda DN 250.</t>
  </si>
  <si>
    <t>JAŠEK ZA MERILNIK PRETOKA 2,5x2,5x1,8m           Naprava tipskega AB jaška not. dimenzij 2,5x2,5x1,8m  z vstopno odprtino 1,0x1,0m, komplet.                         V ceni zajeto: izkop, posteljica, tipski AB elementi-vodotesen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</si>
  <si>
    <r>
      <t xml:space="preserve">PE 100 PN 16 </t>
    </r>
    <r>
      <rPr>
        <sz val="9"/>
        <rFont val="Arial"/>
        <family val="2"/>
        <charset val="238"/>
      </rPr>
      <t>Ø250</t>
    </r>
    <r>
      <rPr>
        <sz val="9"/>
        <color indexed="8"/>
        <rFont val="Arial"/>
        <family val="2"/>
        <charset val="238"/>
      </rPr>
      <t xml:space="preserve"> RC PROTECT SDR11 PN16</t>
    </r>
  </si>
  <si>
    <r>
      <t xml:space="preserve">PE 100 PN 16 </t>
    </r>
    <r>
      <rPr>
        <sz val="9"/>
        <rFont val="Arial"/>
        <family val="2"/>
        <charset val="238"/>
      </rPr>
      <t>Ø</t>
    </r>
    <r>
      <rPr>
        <sz val="9"/>
        <color indexed="8"/>
        <rFont val="Arial"/>
        <family val="2"/>
        <charset val="238"/>
      </rPr>
      <t>250 RC PROTECT SDR11 PN16         z dodanim aluminijastim slojem</t>
    </r>
  </si>
  <si>
    <t>R-kos DN250/200 bajonetni</t>
  </si>
  <si>
    <t>zaključna kapa DN150</t>
  </si>
  <si>
    <t>U-kos DN200</t>
  </si>
  <si>
    <t>SEkappe DN200 - 5/4''</t>
  </si>
  <si>
    <t>U-kos DN100</t>
  </si>
  <si>
    <t>SEkappe DN100 - 5/4''</t>
  </si>
  <si>
    <t>ZASUN HSM DN150 + tel.vgradna,grt.</t>
  </si>
  <si>
    <t>R-kos DN200/150 bajonetni</t>
  </si>
  <si>
    <t>VOZLIŠČE na PE Ø90 - ODCEP  PE Ø63</t>
  </si>
  <si>
    <t>MERILNIK PRETOKA na NL DN200 (v jašku)</t>
  </si>
  <si>
    <t>F-kos DN 150 bajonetni</t>
  </si>
  <si>
    <t xml:space="preserve">FF  DN150/200  </t>
  </si>
  <si>
    <t>T kos DN150/150</t>
  </si>
  <si>
    <t>FF DN150/400</t>
  </si>
  <si>
    <t>MDK DN150</t>
  </si>
  <si>
    <t>IND.MERILEC PRETOKA DN150 PROMAG W800 IP68</t>
  </si>
  <si>
    <t>FF DN150/400 INOKS z odcepom DN25-ZN</t>
  </si>
  <si>
    <t>ZRAČNIK DN150 dvofunkcijski</t>
  </si>
  <si>
    <r>
      <t xml:space="preserve">ozn. tablica + poc.steber </t>
    </r>
    <r>
      <rPr>
        <sz val="9"/>
        <color theme="1"/>
        <rFont val="Calibri"/>
        <family val="2"/>
        <charset val="238"/>
      </rPr>
      <t>Ø</t>
    </r>
    <r>
      <rPr>
        <sz val="9"/>
        <color theme="1"/>
        <rFont val="Arial"/>
        <family val="2"/>
        <charset val="238"/>
      </rPr>
      <t>48 + poc.sidro stebra</t>
    </r>
  </si>
  <si>
    <t>VPP</t>
  </si>
  <si>
    <t>Dvig obstoječih komunalnih jaškov na višino predvidenega asfalta (cca 5cm), komplet s potrebnim materialom in delom.</t>
  </si>
  <si>
    <t>Izdelava nosilne plasti bituminizirane zmesi AC 22 base B 50/70 A3 v debelini 6 cm in obrabne zaporne plasti bituminizirane zmesi AC 8 surf B 50/70 A4 v debelini 4 cm, vključno s čiščenjem in premazom stikov z bitumensko emulzijo ter pobrizg očiščenega asfalta z bitumensko emulzijo 0,5 kg/m2. Mulda širine 50cm</t>
  </si>
  <si>
    <t>Strojna izdelava tankoslojnih talnih označb z enokomponentno barvo, debeline plasti suhe snovi 200 mikronov, komplet v skladu s Pravilnikom o prometni signalizaciji in prometni opremi na cestah ter Tehničnimi specifikacijami za ceste DRSi.</t>
  </si>
  <si>
    <r>
      <t xml:space="preserve">- ločilna neprekinjena črta širine 10 cm (5111) </t>
    </r>
    <r>
      <rPr>
        <i/>
        <sz val="9"/>
        <rFont val="Arial"/>
        <family val="2"/>
      </rPr>
      <t>bela</t>
    </r>
  </si>
  <si>
    <r>
      <t xml:space="preserve">- ločilna prekinjena črta širina 10 cm 1-1-1 (5121) </t>
    </r>
    <r>
      <rPr>
        <i/>
        <sz val="9"/>
        <rFont val="Arial"/>
        <family val="2"/>
      </rPr>
      <t>bela</t>
    </r>
  </si>
  <si>
    <r>
      <t xml:space="preserve">- ločilna prekinjena črta širina 10 cm 3-3-3 (5121) </t>
    </r>
    <r>
      <rPr>
        <i/>
        <sz val="9"/>
        <rFont val="Arial"/>
        <family val="2"/>
      </rPr>
      <t>bela</t>
    </r>
  </si>
  <si>
    <r>
      <t xml:space="preserve">- ločilna neprekinjena črta širina 50 cm (5231) </t>
    </r>
    <r>
      <rPr>
        <i/>
        <sz val="9"/>
        <rFont val="Arial"/>
        <family val="2"/>
      </rPr>
      <t>bela</t>
    </r>
  </si>
  <si>
    <r>
      <t xml:space="preserve">- ločilna neprekinjena črta širina 50 cm (5211) </t>
    </r>
    <r>
      <rPr>
        <i/>
        <sz val="9"/>
        <rFont val="Arial"/>
        <family val="2"/>
      </rPr>
      <t>bela</t>
    </r>
  </si>
  <si>
    <t>- barvno označev. vozišča kolesarjev (5232-1) rdeča</t>
  </si>
  <si>
    <t>Prevoz materiala na ustrezno registrirano deponijo do10 km.</t>
  </si>
  <si>
    <t>zaščitna jeklena cev DN 800 za NL DN400</t>
  </si>
  <si>
    <t>zaščitna cev DN 800 za NL DN400</t>
  </si>
  <si>
    <t>OBSTOJEČ JAŠEK ČERNELAVCI 4,1x2,5x3,3m. V obstoječem jašku se izvede; dvig talne plošče za 30cm, INOX lestev za dostop in izvedba preboja v AB stene deb.30cm. Vgradnja betona C25/30  3m3, armaturna mreža Q283 250kg, INOX AISI304 narejeno po naročilu lestev širine 50cm in višine 300cm (2 x vzdolžni profil 50/4mm in prečk 30/4mm na razdalji 300mm) s pritrjevanjem v AB zid s hrbtobranom + prenosna lestev  višine 2m. Preboji v AB steni debeline 30, preboji premera do 500mm (3 kom), vodotesna zatesnitev preboja med cevjo in betonom (3kom).</t>
  </si>
  <si>
    <t>NL DN 400 C40 / 6m, sidrni razstavljivi spoj</t>
  </si>
  <si>
    <t>NL DN 400 C40 / 6m, nesidrni spoj</t>
  </si>
  <si>
    <t>lomi na cevovodu NL DN400</t>
  </si>
  <si>
    <t>MMK 11° DN400 sidrni razstavljivi spoj</t>
  </si>
  <si>
    <t>MMK 22° DN400 sidrni razstavljivi spoj</t>
  </si>
  <si>
    <t>MMK 45° DN400 sidrni razstavljivi spoj</t>
  </si>
  <si>
    <t>sidrna objemka DN400</t>
  </si>
  <si>
    <t>univerzalna spojka MULTI/JOINT XL DN300</t>
  </si>
  <si>
    <t>univerzalna spojka MULTI/JOINT XL DN200</t>
  </si>
  <si>
    <t>ZRAČNIK na NL DN400 (v jašku)</t>
  </si>
  <si>
    <t>MMA DN 400/80 sidrni razstavljivi spoj</t>
  </si>
  <si>
    <t>F-kos (prirobnični del) DN80</t>
  </si>
  <si>
    <t>U-kos DN80</t>
  </si>
  <si>
    <t>SM-kos DN80-l bajonetni</t>
  </si>
  <si>
    <t>SM-kos DN80-m bajonetni</t>
  </si>
  <si>
    <t>IZPUST na NL DN400</t>
  </si>
  <si>
    <t>ZASUN DN400 + tel.vgradna,grt.</t>
  </si>
  <si>
    <t>ZASUN HSM DN80 + tel.vgradna,grt.</t>
  </si>
  <si>
    <t>VOZLIŠČE na NL DN400 - ODCEP NL DN300</t>
  </si>
  <si>
    <t>MMA DN 400/300 sidrni razstavljivi spoj</t>
  </si>
  <si>
    <t>REDUCIRNI VENTIL DN400/300</t>
  </si>
  <si>
    <t>VOZLIŠČE na NL DN400 - ODCEP PE Ø110</t>
  </si>
  <si>
    <t>MMA DN 400/100 sidrni razstavljivi spoj</t>
  </si>
  <si>
    <t>F-kos DN 100 sidrni razstavljivi spoj</t>
  </si>
  <si>
    <t>ZASUN DN100 + tel.vgradna,grt.</t>
  </si>
  <si>
    <t>MERILNIK PRETOKA na NL DN400 (v jašku)</t>
  </si>
  <si>
    <t>E-kos DN 400 sidrni razstavljivi spoj</t>
  </si>
  <si>
    <t>F-kos DN 400 sidrni razstavljivi spoj</t>
  </si>
  <si>
    <t xml:space="preserve">FFK 45° DN400 </t>
  </si>
  <si>
    <t>FFR  DN400/200</t>
  </si>
  <si>
    <t>FF  DN200/600</t>
  </si>
  <si>
    <t xml:space="preserve">FFK 45° DN200 </t>
  </si>
  <si>
    <t xml:space="preserve">FF  DN200/800 INOKS+nav. slepa prirob. v steni jaška </t>
  </si>
  <si>
    <t xml:space="preserve">FF  DN200/200  </t>
  </si>
  <si>
    <t>T kos DN200/200</t>
  </si>
  <si>
    <t>FF DN200/400</t>
  </si>
  <si>
    <t>MDK DN200</t>
  </si>
  <si>
    <t>IND.MERILEC PRETOKA DN200 PROMAG W800 IP68</t>
  </si>
  <si>
    <t>FF DN200/400 INOKS z odcepom DN25-ZN</t>
  </si>
  <si>
    <t>MERILNIK PRETOKA ČERNELAVCI</t>
  </si>
  <si>
    <t>sidrna objemka DN200</t>
  </si>
  <si>
    <t>FFR  DN300/200</t>
  </si>
  <si>
    <t>FF  DN200/200  INOKS</t>
  </si>
  <si>
    <t>T kos DN200/200 INOKS</t>
  </si>
  <si>
    <t>FF DN200/400 INOKS z odcepom DN25-ZN INOKS</t>
  </si>
  <si>
    <t>MDK DN200 INOKS</t>
  </si>
  <si>
    <t>IND.MERILEC PRETOKA DN200 PROMAG W800 IP68 INOKS</t>
  </si>
  <si>
    <t>krogelni ventil ND25 INOKS + čep INOKS</t>
  </si>
  <si>
    <t>ZRAČNIK DN200 dvofunkcijski INOKS</t>
  </si>
  <si>
    <t>ZASUN DN200 INOKS + kolo INOKS</t>
  </si>
  <si>
    <t>SMS-2 DN110</t>
  </si>
  <si>
    <r>
      <t xml:space="preserve">ZASIP KANALA z zrnato kamnino – 3.kategorije z dobavo iz gramoznice in s komprimiranje po plasteh           - </t>
    </r>
    <r>
      <rPr>
        <u/>
        <sz val="9"/>
        <rFont val="Arial"/>
        <family val="2"/>
      </rPr>
      <t>do kote tampona (60 Mpa) ali humusa</t>
    </r>
    <r>
      <rPr>
        <sz val="9"/>
        <rFont val="Arial"/>
        <family val="2"/>
      </rPr>
      <t>.</t>
    </r>
  </si>
  <si>
    <r>
      <t xml:space="preserve">Dobava in vgrajevanje tamponskega drobljenca TD32 v debelini min 40 cm, komprimiranje do zbitosti 100 Mpa        - </t>
    </r>
    <r>
      <rPr>
        <u/>
        <sz val="9"/>
        <rFont val="Arial"/>
        <family val="2"/>
      </rPr>
      <t>vozišče</t>
    </r>
    <r>
      <rPr>
        <sz val="9"/>
        <rFont val="Arial"/>
        <family val="2"/>
      </rPr>
      <t>.</t>
    </r>
  </si>
  <si>
    <r>
      <t xml:space="preserve">Dobava in vgrajevanje tamponskega drobljenca TD32 v debelini min 25 cm, komprimiranje do zbitosti 60 Mpa           - </t>
    </r>
    <r>
      <rPr>
        <u/>
        <sz val="9"/>
        <rFont val="Arial"/>
        <family val="2"/>
      </rPr>
      <t>hodniki</t>
    </r>
    <r>
      <rPr>
        <sz val="9"/>
        <rFont val="Arial"/>
        <family val="2"/>
      </rPr>
      <t>.</t>
    </r>
  </si>
  <si>
    <t>Rezanje betonske površine s talno diamantno žago, debele do 10 cm.</t>
  </si>
  <si>
    <t>Rušitev in odstranitev utrjenih betonskih površin  v debelini do 10 cm, z odvozom na stalno deponijo k pooblaščenemu zbiralcu odpadkov</t>
  </si>
  <si>
    <t>Odstranitev in ponovno polaganje utrjenih betonskih tlakovanih površin  v debelini do 6 cm po izvedbi vodovoda, z izvedbo podlage iz drobljene frakcije do 4-8mm v debelini 5.</t>
  </si>
  <si>
    <t>Izdelava obrabne in zaporne ter nosilne plasti bituminizirane zmesi AC 16 surf B 50/70 A4, v debelini 6 cm - enoslojni asfalt, vključno s čiščenjem in premazom stikov z bitumensko emulzijo - mulda širine 50cm</t>
  </si>
  <si>
    <t xml:space="preserve">Odlaganje odpadnega asfalta z odvozom na urejeno registrirani deponijo do 10 km. </t>
  </si>
  <si>
    <r>
      <t xml:space="preserve">PE elektrfuz. obojka  </t>
    </r>
    <r>
      <rPr>
        <sz val="9"/>
        <rFont val="Calibri"/>
        <family val="2"/>
        <charset val="238"/>
      </rPr>
      <t>Ø110</t>
    </r>
    <r>
      <rPr>
        <sz val="9"/>
        <rFont val="Arial"/>
        <family val="2"/>
        <charset val="238"/>
      </rPr>
      <t xml:space="preserve"> SDR11 PN16</t>
    </r>
  </si>
  <si>
    <t>SM-kos DN 100-M bajonetni</t>
  </si>
  <si>
    <t>Projekt:</t>
  </si>
  <si>
    <t>966/2; 966/2-TVD</t>
  </si>
  <si>
    <t>Lokacija:</t>
  </si>
  <si>
    <t>Vzhodna obvozna cesta Murska Sobota od km 3+520 do km 6+940</t>
  </si>
  <si>
    <t>Odsek:</t>
  </si>
  <si>
    <t xml:space="preserve">Od križišča s Panonsko ulico odseka R1-232/1406 Murska Sobota - Lipovci do križišča pri Čardi odseka R1-232/1316 Martjanci - Murska Sobota
2. FAZA – OD KM 3+892 DO KM 6+940
</t>
  </si>
  <si>
    <t>Načrt:</t>
  </si>
  <si>
    <t>5/1 Načrt transportnega vodovoda</t>
  </si>
  <si>
    <t>Faza:</t>
  </si>
  <si>
    <t>PZI</t>
  </si>
  <si>
    <t>REKAPITULACIJA VMS-V7_VOD-1</t>
  </si>
  <si>
    <t>PREDDELA</t>
  </si>
  <si>
    <t>JAŠKI</t>
  </si>
  <si>
    <t>F</t>
  </si>
  <si>
    <t xml:space="preserve">  CENA SKUPAJ (brez DDV)</t>
  </si>
  <si>
    <t>Opis postavke</t>
  </si>
  <si>
    <t>Cena za enoto</t>
  </si>
  <si>
    <t>Cena skupaj</t>
  </si>
  <si>
    <t>PREDDELA SKUPAJ</t>
  </si>
  <si>
    <t xml:space="preserve">Strojni izkop humusa v primeru poteka trase vodovoda v travniku oz njivi. Globina izkopa 0,2 m, širina 2,0m in deponiranje v razdlaji 1 m od gradbene jame oz. nakaldanje in odvoz na začasno deponijo v razdalji do 5 km in razkladanje. </t>
  </si>
  <si>
    <t>Izkopi za kanalske rove širine do 1,0 m in globine do 1,6 m oz po podatkih iz vzdolžnega profila, v zemljini 3. kategorije, vključno z začasnim odlaganjem izkopane zemljine ob robu jarka.</t>
  </si>
  <si>
    <t>Planum naravnih temeljnih tal v težki zemljini, ročno planiranje in strojno utrjevanje dna gradbene jame v točnosti +- 3cm.</t>
  </si>
  <si>
    <t>Dobava in vgraditev peščenega materiala granulacije 0 do 8 mm za peščeno ležišče cevi (POSTELJICA) s sprotno višinsko kontrolo do predpisane kote dna cevi (10cm + D/10) z komprimacijo do stopnje 97% SPP, vključno z nabavo in transportom materiala.</t>
  </si>
  <si>
    <t>Dobava in vgraditev peščenega materiala granulacije 0 do 8 mm s komprimacijo, v coni cevovoda v debelini 30 cm nad temenom, s komprimacijo v plasteh po 20 cm, zbitost 95% po proctorju, vključno z nabavo in transportom materiala.</t>
  </si>
  <si>
    <t xml:space="preserve">Zasipanje kanala izven cone cevovoda iz naravno pridobljenega prodno peščenega nasipnega materiala v plasteh d=20 cm in komprimacijo do stopnje 95% po proctorju, vključno z nabavo in transportom materiala. Zasip do globine 55 cm pred predvidenim asfaltom (v cesti). </t>
  </si>
  <si>
    <t xml:space="preserve">Dobava in postavitev opaža za vertikalno razpiranje gradbene jame oz. rova pri globini nad 1 m, kampadno v dolžini 6,0 m.               </t>
  </si>
  <si>
    <t>Izkop vezljive zemljine/zrnate kamnine za gredbene jame v kamnini 3. kategorije za objekt 1,5 x 1,5m, globine 3 m - strojni izkop, planiranje dna ročno</t>
  </si>
  <si>
    <t>Ureditev planuma temeljnih tal vezljive zemljine-3 kategorije</t>
  </si>
  <si>
    <t>Izdelava blazine pod temeljem objekta iz prodca v debelini nad 30 cm</t>
  </si>
  <si>
    <t xml:space="preserve">Zasip gradbene jame iz naravno pridobljenega prodno peščenega nasipnega materiala v plasteh d=20 cm in komprimacijo dos topnje 95% po Proctorju, vključno z nabavo in transportom materiala. </t>
  </si>
  <si>
    <t>Izvedba prekopa neimenovanaega vodotoka. Zasip gradbenega jarka ter ureditev brežin in dna vodotoka sonarvano po končanih montažnih delih ob prečkanju vodovoda z neimenovanim vodotokom.</t>
  </si>
  <si>
    <t>Izdelava sidrnih blokov in podstavkov iz cementnega betona C8/10 v povprečni količini 0,20 m3/kom vključno z opaži in dodatnim izkopom</t>
  </si>
  <si>
    <t>Črpanje vode v času gradnje. Ocenjeno število ur. Obračun po dejanskih količinah.</t>
  </si>
  <si>
    <t>Nalaganje, dovoz in razsip izkopanega humusa, utrjevanje in zatravitev.</t>
  </si>
  <si>
    <t>Odvoz težke zemljine iz izkopa na trajno deponijo z razprostiranjem. Pridobivanje evidenčnih listov odvečnega materiala.</t>
  </si>
  <si>
    <t>FF DN80x500</t>
  </si>
  <si>
    <t>FF DN300x1000</t>
  </si>
  <si>
    <t>FFK DN300/45°</t>
  </si>
  <si>
    <t>Spojka univerzalna DN 300 (enojna)</t>
  </si>
  <si>
    <t>JAŠKI SKUPAJ:</t>
  </si>
  <si>
    <t>M.Sobota_VMS-V1-1</t>
  </si>
  <si>
    <t>M.Sobota_VMS-V1-1.1</t>
  </si>
  <si>
    <t>M.Sobota_VMS-V1-3</t>
  </si>
  <si>
    <t>M.Sobota_VMS-V1-2</t>
  </si>
  <si>
    <t>M.Sobota_VMP-1</t>
  </si>
  <si>
    <t>M.Sobota_VPP</t>
  </si>
  <si>
    <t>M.Sobota_SMS-2</t>
  </si>
  <si>
    <t>M.Sobota_VMS-V7</t>
  </si>
  <si>
    <t>Skladno s 76.a členom ZDDV-1 se upošteva mehanizem obrnjene davčne obveznosti.</t>
  </si>
  <si>
    <t>Mestna Občina Murska Sobota</t>
  </si>
  <si>
    <t>Občina Tišina</t>
  </si>
  <si>
    <t>Občina Beltinci</t>
  </si>
  <si>
    <t>ČRP BODONCI</t>
  </si>
  <si>
    <t>Demontaža koncentratorja in montaža nove krmilno komunikacijske opreme 
z vso pripadajočo opremo za priklop trenutno vgrajene opreme in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</si>
  <si>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Grelec za omaro 
Tip: IUK08341, proizvajalec: Schrack ali enakovredno
napetost: 230 V AC, 50/60 Hz
30W/90°C
zaščita IP44</t>
  </si>
  <si>
    <t>Termostat za grelec 
Tip: IUK08565, proizvajalec: Schrack ali enakovredno
0 - 60°C
napetost: 230 V AC, 50/60 Hz
zaščita IP20</t>
  </si>
  <si>
    <t>Šuko enofazna vtičnica 
Tip: BZ325000-A, proizvajalec: Schrack ali enakovredno
230 V, 16 A
montaža na DIN letev
zaščita IP40</t>
  </si>
  <si>
    <t>Fazni nadzorni rele za kontrolo nadziranja izpada faz
Tip: URAP3011, proizvajalec: Schrack ali enakovredno
230 V AC, 1 preklopni kontakt, 5 A
montaža na DIN letev
zaščita IP40</t>
  </si>
  <si>
    <t>Napetostni nadzorni rele, 3-fazni proti N
Tip: UR5U3011, proizvajalec: Schrack ali enakovredno
montaža na DIN letev
zaščita IP40</t>
  </si>
  <si>
    <t>Prenapetostna zaščita razreda II, z ustreznim podnožjem
Tip: Vartec TII, proizvajalec: Schrack ali enakovredno
Podnožje: za 3 faze + N
Moduli: Uc = 255 Vac, Imax = 40 kA, In = 20 kA, Up=1500 V
montaža na DIN letev</t>
  </si>
  <si>
    <t>Mehansko stikalo za položaj vhodnih vrat ali pokrova
Tip: ASDSW010, proizvajalec: Schrack ali enakovredno
6 A, 230 V
zaščita IP65</t>
  </si>
  <si>
    <t>Vrstne sponke za montažo na DIN letev 35 mm
tip: IK110006, proizvajalec: Schrack ali enakovredno
za priklop enožilnega vodnika 0,5 - 6 mm2, siva</t>
  </si>
  <si>
    <t>Vtični rele, 4 preklopni kontakti
tip: PT570024, proizvajalec: Schrack ali enakovredno
6 A, 24 V DC</t>
  </si>
  <si>
    <t>Vtični rele, 4 preklopni kontakti
tip: PT570730, proizvajalec: Schrack ali enakovredno
6 A, 230 V AC</t>
  </si>
  <si>
    <t>DIN-podnožje releja, 14 polno
tip: PT570024, proizvajalec: Schrack ali enakovredno
6 A</t>
  </si>
  <si>
    <t>Napajalnik, 1-fazni, taktni
tip: LP412406, proizvajalec: Schrack ali enakovredno
230 V AC/24 V DC, 6 A pri 50°C</t>
  </si>
  <si>
    <t>Glavno stikalo, 2-polno
tip: IN882019, proizvajalec: Schrack ali enakovredno
500 V DC, 12 A
montaža na DIN letev</t>
  </si>
  <si>
    <t>Inštalacijski odklopnik (varovalka), karak. B
tip: BM018110, proizvajalec: Schrack ali enakovredno
10 A, 10 kA, 1-polni, 1-fazni
montaža na DIN letev</t>
  </si>
  <si>
    <t>Inštalacijski odklopnik (varovalka), karak. B
tip: BM018106, proizvajalec: Schrack ali enakovredno
6 A, 10 kA, 1-polni, 1-fazni
montaža na DIN letev</t>
  </si>
  <si>
    <t>Inštalacijski odklopnik (varovalka), karak. B
tip: BM018116, proizvajalec: Schrack ali enakovredno
16 A, 10 kA, 1-polni, 1-fazni
montaža na DIN letev</t>
  </si>
  <si>
    <t>PE/N zbiralka z nosilcem za DIN letev
tip: IK020014, proizvajalec: Schrack ali enakovredno
10 mm2, dolžina 1m
nosilec za montažo na DIN letev</t>
  </si>
  <si>
    <t>Zaščitno stikalo, RCCB (FID stikalo)
tip: BC008103, proizvajalec: Schrack ali enakovredno
230/400 V AC
80A/4 p/30mA, 10kA, AC
montaža na DIN letev</t>
  </si>
  <si>
    <t>LED reflektor
tip: LIVTS413, proizvajalec: Schrack ali enakovredno
moč: 100 W
vrsta zaščite: IP65
material: aluminijasta litina
delovna napetost: 220-240 V
svetlobni tok: 8000 lm</t>
  </si>
  <si>
    <t>Razširitveni digitalni vhodni modul
Tip: TM3DI16, Proizvajalec: Schneider ali enakovredno z naslednjimi lastnostmi:
število vhodov 16, 24 V DC sink/source</t>
  </si>
  <si>
    <t>Razširitveni analogni vhodni modul
Tip: TM3AI8, Proizvajalec: Schneider ali enakovredno z naslednjimi lastnostmi:
število vhodov vsaj 8, 4 - 20 mA, 
8 AI, -10...10 V / 0…10 V / 0...20 mA / 4...20 mA, 12 bit</t>
  </si>
  <si>
    <t>ON-line naprava za neprekinjeno napajanje z električno energijo
tip: 1000, proizvajalec: Samurai ali enakovredno
1000 VA, 230 V AC, 50 Hz, 60 min avtonomije</t>
  </si>
  <si>
    <t>IP video nadzorna kamera
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</si>
  <si>
    <t>Programska oprema</t>
  </si>
  <si>
    <t>Dobava, namestitev, razširitev in izdelava kompletne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</si>
  <si>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Testiranje in dokumentiranje programske in strojne opreme in delovanja:
na nivoju objekta za redno in izredno delovanje
na nivoju objekt-objekt (odvisna objekta) za redno in izredno delovanje
na nivoju CNS za redno in izredno delovanje</t>
  </si>
  <si>
    <t>Predaja vseh izvornih kod, licenc, konfiguracijskih datotek in administrativnih gesel 
nezaščitene, z možnostjo urejanja za PLC krmilnik, router, SCADA, Historian, Win-911, komunikacijski driver in vso ostalo povezano programsko in strojno opremo.
Prenos licenc vse programske opreme (vezane na krmiljenje in SCADO) na upravljavca vodovoda sistema B</t>
  </si>
  <si>
    <t>Merilna oprema</t>
  </si>
  <si>
    <t>Merilnik tlaka v cevovodu
medij: voda, komunikacijski priključek RS485 ModBUS RTU, merilno območje 0-16 bar, zaščita IP68, cevni priključek R1/2, vključno s celotnim montažno pritrdilnim materialom.  
 Tip: PPI 140, proizvajlec: Eltratec ali enakovredno.</t>
  </si>
  <si>
    <t>Merilnik temperature zraka v prostoru
komunikacijski priključek RS485 MODBUS RTU, merilno območje -30 do 40°C, vključno s celotnim montažno pritrdilnim materialom.
Tip:  TTP 311, proizvajalec: Eltratec ali enakovredno</t>
  </si>
  <si>
    <t>Plovno stikalo
delovati mora v območju 5 - 15 cm
dobavi se z originalnim kablom dolžine 10 m</t>
  </si>
  <si>
    <t>Merilnik/števec električne energije 
tip: iEM3250, proizvajalec: Schneider ali enakovredno
število vzorcev na cikel: 32
nazivna napetost: 100…277 V, 173…480 V
Tip meritev: aktivna energija, tok, napetost, aktivna moč
RS-485 priključek
Protokol komunikacijskih vrat: ModBUS RTU
montaža na DIN letev</t>
  </si>
  <si>
    <t xml:space="preserve">Instalacijski kabli </t>
  </si>
  <si>
    <t>ÖLFLEX CLASSIC CY 110 12x0,75 mm2</t>
  </si>
  <si>
    <t>ÖLFLEX CLASSIC CY 110 3x0,75 mm2</t>
  </si>
  <si>
    <t>ÖLFLEX CLASSIC CY 110 3x1,5 mm2</t>
  </si>
  <si>
    <t>Eth kategorije 6 dolžine 2m</t>
  </si>
  <si>
    <t>Kabel NYY 3x1,5mm2</t>
  </si>
  <si>
    <t>Kabel NYY 3x2,5mm2</t>
  </si>
  <si>
    <t>Instalacijska oprema</t>
  </si>
  <si>
    <t>Navadno enopolno nadometno stikalo</t>
  </si>
  <si>
    <t>Nadometna vtičnica 230V, 16A</t>
  </si>
  <si>
    <t>Svetilka zasilne razsvetljave 8W, avtonomija 1 uro z ustreznim piktogramom.</t>
  </si>
  <si>
    <t xml:space="preserve">Ozemljitev </t>
  </si>
  <si>
    <t>Izdelava tehnične dokumentacije v slovenskem jeziku
v kompletu (PID) projekt izvedenega stanja.
Garancijske izjave.
Izdaja navodil o uporabi, obratovanju in vzdrževanju.</t>
  </si>
  <si>
    <t>Izvedba instalacijskih meritev
električne instalacije ter izdaja merilnih protokolov o uspešno opravljenih meritvah.</t>
  </si>
  <si>
    <t>Zagon, testiranje in optimizacija objekta
Spuščanje v pogon, test delovanja in nastavitve parametrov (v PLC-ju, zaščitnih napravah, merilnikih …)</t>
  </si>
  <si>
    <t>Izobraževanje uporabnika 
v slovenskem jeziku na sedežu podjetja upravljavca sistema B.
Nastavitve, upravljanje sistema</t>
  </si>
  <si>
    <t xml:space="preserve">ELEKTRO DELA SKUPAJ: </t>
  </si>
  <si>
    <t>ČRP BOKRAČI</t>
  </si>
  <si>
    <t>ČRP KUŠTANOVCI (SPODAJ)</t>
  </si>
  <si>
    <t>Zunanja antena 4G / 3G / GPRS / GSM / LTE / WCDMA / HSPA+
tip: UNICOM P-30, prozvajalec: Iskra ali enakovredno 
z ustreznim SMA priključkom na usmerjevalnik in zadostno dolžino kabla
zaščita IP67</t>
  </si>
  <si>
    <t>Dobava, namestitev, razširitev in izdelava kpletne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</si>
  <si>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ÖLFLEX CLASSIC CY 110  5x6 mm2</t>
  </si>
  <si>
    <t>LED reflektor z IR senzorjem 30W IP 65</t>
  </si>
  <si>
    <t>Izdelava tehnične dokumentacije v slovenskem jeziku
v kpletu (PID) projekt izvedenega stanja.
Garancijske izjave.
Izdaja navodil o uporabi, obratovanju in vzdrževanju.</t>
  </si>
  <si>
    <t>ČRP PEČAROVCI</t>
  </si>
  <si>
    <t>ČRP POZNANOVCI</t>
  </si>
  <si>
    <t>ČRP ŠALAMENCI</t>
  </si>
  <si>
    <t>Tripolno izbirno stikalo 1_0_2
Tip: IN622005, proizvajalec: Schrack ali enakovredno
10 A, 230 V</t>
  </si>
  <si>
    <t>Zidna omara z montažno ploščo, montažnim in pritrdilnim materialom
Tip: WST6060300, proizvajalec: Schrack ali enakovredno
VxŠxG [mm]: 600x600x300
zaščita IP66
zidni nosilci
DIN letve za montažo elementov
kanali in prekritja</t>
  </si>
  <si>
    <t>ČRP VANEČA (DOM BORCEV)</t>
  </si>
  <si>
    <t>ČRP ZENKOVCI</t>
  </si>
  <si>
    <t>Puconci_ČRP Bodonci</t>
  </si>
  <si>
    <t>Puconci_ČRP Bokrači</t>
  </si>
  <si>
    <t>Puconci_ČRP Kuštanovci (spodaj)</t>
  </si>
  <si>
    <t>Puconci_ČRP Pečarovci</t>
  </si>
  <si>
    <t>Puconci_ČRP Šalamenci</t>
  </si>
  <si>
    <t>Puconci_ČRP Vaneča (dom borcev)</t>
  </si>
  <si>
    <t>Puconci_ČRP Zenkovci</t>
  </si>
  <si>
    <t>Puconci_ČRP Poznanovci</t>
  </si>
  <si>
    <t>Pripravljalna dela:
Ureditev gradbišča skladno z veljavno zakonodajo, komplet (varnostni načrt,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</si>
  <si>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objekta vodovoda - rezervoar s strani pooblaščenega geodeta in izdelava zapisnika o zakoličbi.</t>
  </si>
  <si>
    <t>Postavitev in zavarovanje  profilov.</t>
  </si>
  <si>
    <t>Iskanje obstoječega vodovoda in zakoličba obstoječega vodovoda s strani upravljavca vodovoda</t>
  </si>
  <si>
    <t>ZEMELJSKA IN RUŠITVENA DELA</t>
  </si>
  <si>
    <t>STROJNI izkop vezljive zemljine/zrnate kamnine – 3.kategorije za  gradbeno jamo rezervoarja tlorisnih dimenzij 3,50m*6,50 in globine 1,65 .</t>
  </si>
  <si>
    <t>Dobava in polaganje geotekstila 300 g</t>
  </si>
  <si>
    <r>
      <t xml:space="preserve">Dobava in vgrajevanje tamponskega drobljenca TD32 v debelini min 40 cm, komprimiranje do zbitosti 60 Mpa        - </t>
    </r>
    <r>
      <rPr>
        <u/>
        <sz val="9"/>
        <rFont val="Arial"/>
        <family val="2"/>
        <charset val="238"/>
      </rPr>
      <t>podlaga za talno ploščo</t>
    </r>
    <r>
      <rPr>
        <sz val="9"/>
        <rFont val="Arial"/>
        <family val="2"/>
        <charset val="238"/>
      </rPr>
      <t>.</t>
    </r>
  </si>
  <si>
    <t>ROČNO PLANIRANJE dna gradbene - ureditev planuma temeljnih tal vezljive zemljine – 3. kategorije</t>
  </si>
  <si>
    <r>
      <t xml:space="preserve">Dobava in vgrajevanje tamponskega drobljenca TD32 v debelini min 25 cm, komprimiranje do zbitosti 60 Mpa  - </t>
    </r>
    <r>
      <rPr>
        <u/>
        <sz val="9"/>
        <rFont val="Arial"/>
        <family val="2"/>
        <charset val="238"/>
      </rPr>
      <t>zasip za zidovi do kote terena črpališča</t>
    </r>
    <r>
      <rPr>
        <sz val="9"/>
        <rFont val="Arial"/>
        <family val="2"/>
        <charset val="238"/>
      </rPr>
      <t>.</t>
    </r>
  </si>
  <si>
    <r>
      <t xml:space="preserve">ZASIP KANALA z zrnato kamnino – 3.kategorije z dobavo iz gramoznice in s komprimiranje po plasteh  - </t>
    </r>
    <r>
      <rPr>
        <u/>
        <sz val="9"/>
        <rFont val="Arial"/>
        <family val="2"/>
        <charset val="238"/>
      </rPr>
      <t>brežina</t>
    </r>
    <r>
      <rPr>
        <sz val="9"/>
        <rFont val="Arial"/>
        <family val="2"/>
        <charset val="238"/>
      </rPr>
      <t>.</t>
    </r>
  </si>
  <si>
    <t>Preboj AB stene črpališča za povezavo s hranilnikom vode. Izvede se preboj  v steni Ø250</t>
  </si>
  <si>
    <t>GRADBENA IN OBRTNIŠKA DELA</t>
  </si>
  <si>
    <t>Komplet izdelava, dobava in vgradnja betona C-12/15, v nearmirane konstrukcije, prereza od 0.08 do 0.12 m3/m2/m1, vključno z vsemi pomožnimi deli in transportom do mesta vgrajevanja. - podložni beton 10cm.</t>
  </si>
  <si>
    <t>Nabava, dobava in položitev ločilne folije med AB talno ploščo in XPS ploščami, skupaj z vsemi pomožnimi, pripravljalnimi in zaključnimi deli ter transporti na objektu.</t>
  </si>
  <si>
    <t>Izdelava enostranskega opaža roba ab temeljne plošče,  skupaj s potrebnim opiranjem, opaženje, razopažemje, čiščenje in zlaganje po končanih delih.</t>
  </si>
  <si>
    <t>Kompletna nabava, dobava in polaganje toplotne izolacije fibran XPS 400-L, deb. 8,0 cm pod temeljno ploščo hiše, skupaj  z vsemi pomožnimi, pripravljalnimi in zaključnimi deli ter vsemi potrebnimi horizontalnimi  in vertikalnimi transporti.</t>
  </si>
  <si>
    <t>Izdelava horizontalne hidroizolacije AB temeljne plošče in sicer: izravnava podlage s fino cementno malto  ― hladni premaz z ibitolom  ― 1 x lega izotekta V3  vključno z dobavo materiala ter vsemi pomožnimi, pripravljalnimi in zaključnimi deli, ter vsemi potrebnimi horizontalnimi in vertikalnimi transporti. Dela izvesti po navodilih in tipskih detajlih proizvajalca. </t>
  </si>
  <si>
    <t>Izdelava dvostranskega opaža sten,  skupaj s potrebnim opiranjem, opaženje, razopažemje, čiščenje in zlaganje po končanih delih.</t>
  </si>
  <si>
    <t>Kompletna izdelava, dobava in vgrajevanje betona C -25/30 preseka do 0,25 m3/m2/m1 , v armirane konstrukcije vključno z vsemi pomožnimi deli in transportom do mesta vgrajevanja. - Stene rezervoarja</t>
  </si>
  <si>
    <t>Izdelava zunanje vertikalne hidroizolacije AB sten in sicer: izravnava podlage s fino cementno malto  ― hladni premaz z ibitolom  ― 1 x lega izotekta V3  vključno z dobavo materiala ter vsemi pomožnimi, pripravljalnimi in zaključnimi deli, ter vsemi potrebnimi horizontalnimi in vertikalnimi transporti. Dela izvesti po navodilih in tipskih detajlih proizvajalca. </t>
  </si>
  <si>
    <t>Izdelava opaža plošče,  skupaj s potrebnim podpiranjem do 3,00m, opaženje, razopažemje, čiščenje in zlaganje po končanih delih.</t>
  </si>
  <si>
    <t>Kompletna izdelava, dobava in vgrajevanje betona C -25/30 preseka do 0,20 m3/m2/m1 , v armirane konstrukcije vključno z vsemi pomožnimi deli in transportom do mesta vgrajevanja. - Stropna plošča</t>
  </si>
  <si>
    <t>Izvedba odprtin v stenah in plošči</t>
  </si>
  <si>
    <t>Odprtina v steni Ø250 za povezavo cevi do črpališča</t>
  </si>
  <si>
    <t>Odprtina v steni/stropu Ø250 za zračnik</t>
  </si>
  <si>
    <t>Izdelava, dobava in montaža RF stopniščne lestve dimenzij 90 cm*250 cm. Lestev se montira na steno hranilnika vode</t>
  </si>
  <si>
    <t>Zatesnitev prebojev Ø250 po končanih delih</t>
  </si>
  <si>
    <t>3.12</t>
  </si>
  <si>
    <r>
      <t>m</t>
    </r>
    <r>
      <rPr>
        <sz val="9"/>
        <rFont val="Calibri"/>
        <family val="2"/>
        <charset val="238"/>
      </rPr>
      <t>'</t>
    </r>
  </si>
  <si>
    <t>cev DN 125, inox</t>
  </si>
  <si>
    <t>lestev, inox, L = 2,5m</t>
  </si>
  <si>
    <t>cestna kapa Ø 135 s podložno ploščo</t>
  </si>
  <si>
    <t>gumi tesnilo DN 100 za izvrtino v betonski steni</t>
  </si>
  <si>
    <t>3.13</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</si>
  <si>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</si>
  <si>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</si>
  <si>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</si>
  <si>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Centrifugalna samosesalna JET črpalka z nosilno konzolo, INOKS izvedba, VITON tesnilo (odporno na klor), za pitno vodo.
Črpalka sesa vodo iz globine do 8 m.
220 V, 50 Hz, P= 0,6 kW
Kapaciteta :
Q=3,0 m3/h  pri H= 2,0 bar
Q=1,0 m3/h  pri H= 3,8 bar</t>
  </si>
  <si>
    <t>Instalacijske cevi PVC DN 32 in DN 25, znotraj in zunaj polirane (PRAHER, ali enakovredno), z zapornimi ventili                     
- cevi s fitingi skupne dolžine 15 m                                                 
Ventili so sestavljeni s PTFE sedežem in tesnili FPM
 - ventili 6 kosov</t>
  </si>
  <si>
    <t xml:space="preserve">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
</t>
  </si>
  <si>
    <t>Montaža, šolanje in zagon opreme</t>
  </si>
  <si>
    <t>3.14</t>
  </si>
  <si>
    <t>ČRPALKE</t>
  </si>
  <si>
    <t>Merilnik nivoja in temperature vodohrana
medij: voda,  komunikacijski priključek RS485 MODBUS RTU, merilno območje 0-10 m in 0-40°C, zaščita IP68, vključno s celotnim montažno pritrdilnim materialom.
TIP: PPI 220 Proizvajalec: Eltratec ali enakovredno</t>
  </si>
  <si>
    <t>Puconci_ČRP Mačkovci</t>
  </si>
  <si>
    <t>VH VANEČA</t>
  </si>
  <si>
    <t xml:space="preserve">Regulacijski komplet s centralno procesno enoto (kot na primer AQUAControler tip M 5701 C, s CPU-XV102, Controlmatik ABW, ali enakovredno), z zaslonom na dotik, z modulom za krmiljenje motornega ventila in programsko opremo (PID regulacija) za regulacijo prostega klora v vodi, sprejem signala sonde za detekcijo klora v zraku, prikazom, napajalnikom. 
Vsa oprema naj bo vgrajena v napajalno omaro.                                       
Nastavljiva izhoda za alarmiranje mejne vrednosti Cl2 v zraku - 2 kos 
Centralna procesna enota (kot na primer CPU -XV 102, Controlmatik ABW, ali enakovredno):
- 8 digitalni vhodi, 4 analogni vhodi
- 8 digitalni izhodi, 4 analogni izhodi         
 Možne komunikacije - RS485, Modbus, Ethernet, CAN, OPC server
- Možnost spreminjanja nastavitev, referenčnih vrednosti regulatorjev, spreminjanja alarmov
- Možnost daljinskega nadziranja pretoka vode, prostega klora v vodi, detekcija klora v zraku, prazne jeklenke,..
Oprema naj bo vgrajena v korozijsko odporno omaro dim. cca 500x400x250 mm, zaščite vsaj IP65
                                                                                                                                      </t>
  </si>
  <si>
    <t>Sistem sestavlja motorni ventil (kot na primer M3531 C/1U, Controlmatik ABW, ali enakovredno) kapacitete do 12g/h, ročno nastavljiv preko tipkovnice in ročnega gumba - komplet vsebuje:
- Koračni motor s tokovnim vhodom 4-20mA, za krmiljenje
- Led indikator pozicije ventila
- Tokovni izhod 4-20mA pozicije ventila
- Digitalni izhod alarma
- Modbus komunikacija
- Dozirna igla z V-kanalom in teflonskim sedežem
- Indikator delavnega vakuma
- Indikator pretoka klora s skalo od 0 do 12 g/h
- Vgrajeno na PVC ploščo</t>
  </si>
  <si>
    <t xml:space="preserve">Električni zaporni ventil (kot na primer M 3800 EPESS - EA/1, Controlmatik ABW, ali enakovredno), služi za hitro zapiranje klornih ventilov na jeklenkah in  kontejnerjih. Pogon je krmiljen preko nadzorne omare, ki je povezana z detektorjem plinskega klora v zraku. Največja dolžina med nadzorno omaro in pogonom je 10 m (dolžina kabla dobavljen s pogonom). Omogočati mora:
- enostavno montažo na ventil jeklenke klora
- brez dodatnega orodja 
- hitro zapiranje ventila v manj kot 4 sekundah
- nastavljiv moment zapiranja
- izdelano iz  materiala odpornega na agresivno atmosfero
</t>
  </si>
  <si>
    <t xml:space="preserve">Nadzorna omara je namenjena kontroli in upravljanju električnih zapornih pogonov. Detektor klora zagotavlja informacijo o prisotnosti klora v zraku.  V primeru puščanja detektor nadzorni omari pošlje signal za zaprtje sistema, le-ta pa takoj zapre vse ventile in s tem prepreči nadaljne uhajanje plina v prostor. Na nadzorno omaro lahko priključimo dva pogona.
Omara vsebuje :
- vhod za avtomatsko zapiranje preko detektorja
- reset tipka
- tipka za ročno zapiranje
- napajanje podprto z baterijo za 8 ur
- napajanje el. omare je 230 VAC
</t>
  </si>
  <si>
    <t xml:space="preserve">Centrifugalna samosesalna črpalka , INOKS izvedba, VITON tesnilo (odporno na klor), za pitno vodo.
Sesalni in tlačni priključek G1"-notranji, maximalni delovni tlak 7,0 bar.
Črpalka sesa vodo iz globine do 7 m.
Temperatura medija do + 40*C, temperatura delovne okolice + 40*C, 220 V, 50 Hz, P= 0,45 kW
Kapaciteta :
Q=1,8 m3/h  pri H= 3,1 bar
Q=0,3 m3/h  pri H= 3,8 bar
</t>
  </si>
  <si>
    <t xml:space="preserve">Analizator prostega klora v vodi (kot naprimer Controlmatik ABW, tip M 1035 C/ADCR1F,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
Analizator ima vgrajen INDIKATOR PRETOKA vode in pokrov.                                              
Analizator vsebuje napajalnik 230VAC in 24VDC
-A automatic temperature compensation
-D digital comunication out (SELECAN)
-C current output sensor 4-20mA
-R PID regulator
-1 measuring range 0-5,0 mgCl2/l
-F flow indicator
</t>
  </si>
  <si>
    <t>Razširitveni relejski izhodni modul
Tip: TM3DQ16, Proizvajalec: Schneider ali enakovredno z naslednjimi lastnostmi:
število izhodov 16, 2A</t>
  </si>
  <si>
    <t>Posluževalni (HMI) panel - zaslon na dotik
tip: XBT GT Proizvajalec: Schneider elecrtic (ali enakovredno)
Posluževalni panel, touch screen, barvni LCD, diagonala 5,7", 
ethernet 10/100, RS232, RS485, CANopen/Profibus DP, USB</t>
  </si>
  <si>
    <t>Puconci_VH Vaneča</t>
  </si>
  <si>
    <t>Drobni in vezni material, križne spojke, sodelovanje pri priklopu</t>
  </si>
  <si>
    <t>PID dokumentacija, električne meritve</t>
  </si>
  <si>
    <t>Snemanje in izris kabelske trase v kataster.</t>
  </si>
  <si>
    <t>Napetostni preizkus položenega kabla , nadzor s strani predstavnika Elektro Maribor.</t>
  </si>
  <si>
    <t>Transportni stroški, zavarovanje gradbišča, nadzor distributerja nad izgradnjo kabelske trase ter ostali nepredvideni stroški.</t>
  </si>
  <si>
    <t>Izvedba priklopa NN kabla na NN stikalnem polju v TP priključek na NN zbiralke s strani elektrodistributerja, stikalne manipulacije.</t>
  </si>
  <si>
    <t>Dobava in vgradnja rebrastih cevi STIGMAFLEX za izdelavo kabelske kanalizacije, 1x ɸ110 mm,  na globini 0.8m (vrh zgornjega roba cevi), izkop v zemljišču I. do III. ktg., dobava peska (granul. 3-7 mm) in zaščita cevi s peskom v sloju 10 cm nad cevmi, zasip kanala z utrditvijo v slojih po 20-25 cm, , dobava in položitev opozorilnega  traku, nakladanje in odvoz odvečnega materiala ter stroški začasne in končne deponije, čiščenje trase</t>
  </si>
  <si>
    <t>Dobava in montaža kabel NAY2Y-J 4x70mm2+ 1,5 mm2</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</si>
  <si>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(Pred izvedbo,  opremo uskladiti z distributerjem - Elektro Maribor)</t>
  </si>
  <si>
    <t>PS-PRMO</t>
  </si>
  <si>
    <t>Križna spojka</t>
  </si>
  <si>
    <t>Valjanec FeZn 25x4 mm, položen v temelj objekta  in v zemljo</t>
  </si>
  <si>
    <t>Vtičnica 230V, 16A - montaža na omaro</t>
  </si>
  <si>
    <t>Vtičnica 400V, 16A - montaža na omaro</t>
  </si>
  <si>
    <t>Montaža nove krmilno komunikacijske opreme 
z vso pripadajočo opremo za priklop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</si>
  <si>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 xml:space="preserve">RCD diferenčno zaščitno stikalo, občutljivosti 30mA, 3P+N, 400V, 63A, Proizvajalec: Schneider elecrtic (ali enakovredno)                                                                                 </t>
  </si>
  <si>
    <t xml:space="preserve">Omrežno preklopno stikalo 
(omrežje - 0- zasilno)  400V AC tok 63A 4 polno </t>
  </si>
  <si>
    <t xml:space="preserve">Agregatska trifazna vtičnica  za montažo na omarico 3P+N+PE, 380-415V, 32A, IP65, TIP: PK Unika, Proizvajalec: Schneider elecrtic (ali enakovredno)  </t>
  </si>
  <si>
    <t>Tripolni odklopnik,  za nazivno napetost 690 V in tok 63 A, prekinitvene moči  25 kA, z  obešanko za zaklepanje v izklopljenem stanju, TIP: NS36N  + OF1, Proizvajalec: Schneider elecrtic  (ali enakovredno)</t>
  </si>
  <si>
    <t>krogelni ventil DN25 + čep</t>
  </si>
  <si>
    <t>INDUKTIVNI MERILNIK PRETOKA DN150 
Elektro magnetni dvosmerni merilnik pretoka.
izhod tokovna zanka 4-20mA,  IP68
Montaža, priklop in preizkus ter zagon merilca pretoka. 
TIP: Promag 10W PN16 DN150 Proizvajalec Endress+Hauser ali enakovredeno</t>
  </si>
  <si>
    <t>zaščitna cev DN 600 za NL DN300</t>
  </si>
  <si>
    <t>Merilni jašek Puconci RT-4</t>
  </si>
  <si>
    <t>gasilska spojka tip C</t>
  </si>
  <si>
    <t>gumi cevno držalo 2"</t>
  </si>
  <si>
    <t>cev SA 63</t>
  </si>
  <si>
    <r>
      <t xml:space="preserve">koleno SA </t>
    </r>
    <r>
      <rPr>
        <sz val="9"/>
        <rFont val="Calibri"/>
        <family val="2"/>
        <charset val="238"/>
      </rPr>
      <t>Ø63</t>
    </r>
    <r>
      <rPr>
        <sz val="9.9"/>
        <rFont val="Arial"/>
        <family val="2"/>
        <charset val="238"/>
      </rPr>
      <t>/90</t>
    </r>
    <r>
      <rPr>
        <sz val="9.9"/>
        <rFont val="Calibri"/>
        <family val="2"/>
        <charset val="238"/>
      </rPr>
      <t>˚</t>
    </r>
  </si>
  <si>
    <r>
      <t xml:space="preserve">prehodni kos SA </t>
    </r>
    <r>
      <rPr>
        <sz val="9"/>
        <rFont val="Calibri"/>
        <family val="2"/>
        <charset val="238"/>
      </rPr>
      <t>Ø63</t>
    </r>
    <r>
      <rPr>
        <sz val="9.9"/>
        <rFont val="Arial"/>
        <family val="2"/>
        <charset val="238"/>
      </rPr>
      <t xml:space="preserve"> - 2"  ZN</t>
    </r>
  </si>
  <si>
    <r>
      <t xml:space="preserve">koleno SA </t>
    </r>
    <r>
      <rPr>
        <sz val="9"/>
        <rFont val="Calibri"/>
        <family val="2"/>
        <charset val="238"/>
      </rPr>
      <t>Ø</t>
    </r>
    <r>
      <rPr>
        <sz val="9.9"/>
        <rFont val="Arial"/>
        <family val="2"/>
        <charset val="238"/>
      </rPr>
      <t>25/90</t>
    </r>
    <r>
      <rPr>
        <sz val="9.9"/>
        <rFont val="Calibri"/>
        <family val="2"/>
        <charset val="238"/>
      </rPr>
      <t>˚</t>
    </r>
  </si>
  <si>
    <r>
      <t xml:space="preserve">cev SA </t>
    </r>
    <r>
      <rPr>
        <sz val="9"/>
        <rFont val="Calibri"/>
        <family val="2"/>
        <charset val="238"/>
      </rPr>
      <t>Ø</t>
    </r>
    <r>
      <rPr>
        <sz val="9.9"/>
        <rFont val="Arial"/>
        <family val="2"/>
        <charset val="238"/>
      </rPr>
      <t>25</t>
    </r>
  </si>
  <si>
    <t>gumi cevno držalo 3/4"</t>
  </si>
  <si>
    <t>koleno 3/4", inox  ZN</t>
  </si>
  <si>
    <t>pipa 3/4"</t>
  </si>
  <si>
    <t>T kos 3/4", inox</t>
  </si>
  <si>
    <r>
      <t xml:space="preserve">prehodni kos SA </t>
    </r>
    <r>
      <rPr>
        <sz val="9"/>
        <rFont val="Calibri"/>
        <family val="2"/>
        <charset val="238"/>
      </rPr>
      <t>Ø</t>
    </r>
    <r>
      <rPr>
        <sz val="9.9"/>
        <rFont val="Arial"/>
        <family val="2"/>
        <charset val="238"/>
      </rPr>
      <t>25 - 3/4"  ZN</t>
    </r>
  </si>
  <si>
    <t>koleno 2", inox</t>
  </si>
  <si>
    <t>dvojni navoj 3/4", inox</t>
  </si>
  <si>
    <t>R kos 2" - 3/4"</t>
  </si>
  <si>
    <t>kroglični ventil 3/4"</t>
  </si>
  <si>
    <t>kroglični ventil 2"</t>
  </si>
  <si>
    <t>T kos 2", inox</t>
  </si>
  <si>
    <t>dvojni navoj 2", inox</t>
  </si>
  <si>
    <t>X kos DN 80 - 2"</t>
  </si>
  <si>
    <t>NASTAVLJIVA ZASLONKA DN150 - medprirobnična</t>
  </si>
  <si>
    <t>REGULACIJSKI REDUCIRNI VENTIL DN150 z manometrom in elektro upravljanjem in zapiranjem ob izpadu elektrike</t>
  </si>
  <si>
    <t>LOVILEC NEČISTOČ DN150 s stransko čist. odprtino</t>
  </si>
  <si>
    <t>REDUCIRNI VENTIL na NL DN200 (v jašku)</t>
  </si>
  <si>
    <t>univerzalna spojka DN 200 (1/1)</t>
  </si>
  <si>
    <t>FF DN150/600</t>
  </si>
  <si>
    <t>T kos DN150/80 z vrtljivo prirobnico</t>
  </si>
  <si>
    <t>FFK 45° DN150 z vrtljivo prirobnico</t>
  </si>
  <si>
    <t xml:space="preserve">FFR  kos DN 200-150 z vrtljivo prirobnico </t>
  </si>
  <si>
    <t xml:space="preserve">sidrno tesnilo DN150 </t>
  </si>
  <si>
    <t xml:space="preserve">E kos DN150 z vrtljivo prirobnico </t>
  </si>
  <si>
    <t xml:space="preserve">FF  DN80/500  </t>
  </si>
  <si>
    <t>Reducirni-merilni jašek Rakičan-Beltinci RT-1</t>
  </si>
  <si>
    <t>BELTINCI</t>
  </si>
  <si>
    <t>Beltinci_SB-1.21 DN110</t>
  </si>
  <si>
    <t>Beltinci_SB-2.1 DN110; DN150</t>
  </si>
  <si>
    <t>Beltinci_SB-2.20 DN110</t>
  </si>
  <si>
    <t>Beltinci_SB-4.2 DN110</t>
  </si>
  <si>
    <t>Beltinci_SB-6.1 DN150</t>
  </si>
  <si>
    <t>Beltinci_SB-6.2 DN110</t>
  </si>
  <si>
    <t>Beltinci_SB-6.4 DN110</t>
  </si>
  <si>
    <t>Beltinci_SB-6.13 DN110</t>
  </si>
  <si>
    <t>NADGRADNJA VODOVODA SISTEMA B - SKLOP 1</t>
  </si>
  <si>
    <t>TRANSPORTNI CEVODI IN OBJEKTI</t>
  </si>
  <si>
    <t>SEKUNDARNI CEVOVODI IN OBJEKTI</t>
  </si>
  <si>
    <t>TRANSPORTNI CEVOVODI IN OBJEKTI</t>
  </si>
  <si>
    <t>PRIMARNI CEVOVODI IN OBJEKTI</t>
  </si>
  <si>
    <t>Tišina_PRIMARNI VOD VTK</t>
  </si>
  <si>
    <t>Tišina_ČRPALIŠČE KRAJNA</t>
  </si>
  <si>
    <t>Tišina_GRADIŠČE-TROPOVCI (GR-TR_VO, GR_V1, GR_V2, GR_V3, GR_TR -REGIONALKA, TR_V4, TR_V5)</t>
  </si>
  <si>
    <t>Tišina_ TIŠINA (TI_V1, TI_V2, TI_V3, TI_V4)</t>
  </si>
  <si>
    <t>Tišina_PETANJCI (PET_V1, PET_V2, PET_V3, PET_V4, PET_V5)</t>
  </si>
  <si>
    <t>Tišina_MURSKI PETROVCI (MP_V1)</t>
  </si>
  <si>
    <t>Tišina_SODIŠINCI (SO_V1, SO_V2, SO_V3)</t>
  </si>
  <si>
    <t>Tišina_GEDEROVCI (GED_V1, GED_V3)</t>
  </si>
  <si>
    <t>Tišina_RANKOVCI (RA_V1, RA_V2)</t>
  </si>
  <si>
    <t>Tišina_ BOREJCI-VANČA VAS (BO-VAN_V1, BO-VAN_V2, BO-VAN_V3)</t>
  </si>
  <si>
    <t>SKUPAJ TRANSPORTNI CEVODI IN OBJEKTI</t>
  </si>
  <si>
    <t>SKUPAJ TRANSPORTNI CEVOVODI IN OBJEKTI</t>
  </si>
  <si>
    <t>SKUPAJ PRIMARNI CEVOVODI IN OBJEKTI</t>
  </si>
  <si>
    <t>SKUPAJ SEKUNDARNI CEVOVODI IN OBJEKTI</t>
  </si>
  <si>
    <t>SKUPNA REKAPITULACIJA SKLOP 1</t>
  </si>
  <si>
    <t>SKUPAJ PRIMARNI IN SEKUNDARNI  CEVOVODI IN OBJEKTI</t>
  </si>
  <si>
    <t>Skupaj MESTNA OBČINA MURSKA SOBOTA</t>
  </si>
  <si>
    <t>Skupaj OBČINA PUCONCI</t>
  </si>
  <si>
    <t>Skupaj OBČINA BELTINCI</t>
  </si>
  <si>
    <t>Skupaj OBČINA TIŠINA</t>
  </si>
  <si>
    <t xml:space="preserve">Vsi objekti SKUPAJ </t>
  </si>
  <si>
    <t>Vse občine skupaj</t>
  </si>
  <si>
    <t>G</t>
  </si>
  <si>
    <t>PRIROBNIČNI ZASUN DN300 + elektromotorni pogon + adapter za namestitev
Elektro pogon 3-fazni 3x400 VAC, s krmilno enoto Auma Aumatic 01.2. ali enakovredno .</t>
  </si>
  <si>
    <t>H</t>
  </si>
  <si>
    <t>SKUPAJ TRANSPORTNI CEVOVODI IN OBJEKTI (A+C+E+G)</t>
  </si>
  <si>
    <t>SKUPAJ PRIMARNI IN SEKUNDARNI  CEVOVODI IN OBJEKTI (B+D+F+H)</t>
  </si>
  <si>
    <t>Tišina (MČ_V1, MČ_V2, MČ_V3, MČ_V4, MČ_V5)</t>
  </si>
  <si>
    <t xml:space="preserve">Dozirni komplet vgrajen v kovinski, korozijsko zaščiteni omarici, ustreznih dimenzij (npr. 120 cm x 40 cm x 200 cm - lxšxv), naj sestavlja:                                                                                   
- 2 - kos - vakuumski regulator (kot na primer  MR 21 ARC /1M, Controlmatik ABW, ali enakovredno),  brez dozirnega ventila, z merilno cevko in izhodom za alarm PRAZNO, manometer s srebrno(Ag ) folijo 16 bar kapacitete do 12 grCl2/h
- 1 kos - vakuumski preklopnik
- 1 kos - ejektor z nepovratnim ventilom , membrana PTFE
- 1 kos - merilnik pretoka klora za montažo na steno
- 30 m - kloroodporna vakuumska cev 3/8''
- 1 kos - set spojnic in priključnih elementov                                         
- 1 kos - adapter stenski za eno jeklenko -LEVI, vključno s fleksibilno cevjo in ventilom  
odpornim na plinski klor, ter montažnim materialom    
- 1 kos - adapter stenski za eno jeklenko -DESNI, vključno s fleksibilno cevjo in ventilom  
odpornim na plinski klor, ter montažnim materialom    
- 2 kos - grelec klorne pasti                                                                    
- 2 kos - držalo jeklenk                                                                                                     
- 1 kos - senzor za detekcijo plinskega klora v zraku (kot na primer M2103, Controlmatik ABW, ali enakovredno), s tokovnim izhodom 4-20mA                                                                       
- 1 kos - opozorilna svetilka                                                                  
- 2 kos - jeklenka klora 10 kg (polna)  
- 1 kpl - zaščitna oprema (rokavice, maska, 2 x filter, zaščitni plašč - vse skupaj vgrajeno v omarici, ločeno od jeklenk)       </t>
  </si>
  <si>
    <t xml:space="preserve">Tehtnica za tehtanje jeklenk klora odporna in namenjena za vgradnjo v klorni prostor.
Model 2305D™ Economical Digital Dual Cylinder Scale ali enakovredno
Tehnični opis:
-	LCD display 
-	Območje delovanja od 0 – 130 kg
-	Točnost 0,5%
-	Meritev prikaza na eno decimalko 0,0 kg
-	Z analognim izhodom 4 – 20 mA
-	Temperaturna kompenzacija
</t>
  </si>
  <si>
    <t/>
  </si>
  <si>
    <r>
      <t xml:space="preserve">PE objemka varilna </t>
    </r>
    <r>
      <rPr>
        <sz val="9"/>
        <color indexed="8"/>
        <rFont val="Calibri"/>
        <family val="2"/>
        <charset val="238"/>
      </rPr>
      <t>Ø</t>
    </r>
    <r>
      <rPr>
        <sz val="9.9"/>
        <color indexed="8"/>
        <rFont val="Arial"/>
        <family val="2"/>
        <charset val="238"/>
      </rPr>
      <t>125</t>
    </r>
  </si>
  <si>
    <r>
      <t xml:space="preserve">PE koleno varilno </t>
    </r>
    <r>
      <rPr>
        <sz val="9"/>
        <color indexed="8"/>
        <rFont val="Calibri"/>
        <family val="2"/>
        <charset val="238"/>
      </rPr>
      <t>Ø</t>
    </r>
    <r>
      <rPr>
        <sz val="9.9"/>
        <color indexed="8"/>
        <rFont val="Arial"/>
        <family val="2"/>
        <charset val="238"/>
      </rPr>
      <t>125 - 45</t>
    </r>
    <r>
      <rPr>
        <sz val="9.9"/>
        <color indexed="8"/>
        <rFont val="Calibri"/>
        <family val="2"/>
        <charset val="238"/>
      </rPr>
      <t>˚</t>
    </r>
  </si>
  <si>
    <r>
      <t xml:space="preserve">PE končnik varilni </t>
    </r>
    <r>
      <rPr>
        <sz val="9"/>
        <rFont val="Calibri"/>
        <family val="2"/>
        <charset val="238"/>
      </rPr>
      <t>Ø</t>
    </r>
    <r>
      <rPr>
        <sz val="9.9"/>
        <rFont val="Arial"/>
        <family val="2"/>
        <charset val="238"/>
      </rPr>
      <t xml:space="preserve"> 125</t>
    </r>
  </si>
  <si>
    <t>vstopni pokrov z zračnikom in izolacijo 80 x 80, inox</t>
  </si>
  <si>
    <t>EV ventil DN 125 + kolo</t>
  </si>
  <si>
    <t xml:space="preserve">EV ventil DN 125 </t>
  </si>
  <si>
    <t>žabji poklopec DN 125</t>
  </si>
  <si>
    <r>
      <t>koleno varilno DN 125 - 90</t>
    </r>
    <r>
      <rPr>
        <sz val="9"/>
        <rFont val="Calibri"/>
        <family val="2"/>
        <charset val="238"/>
      </rPr>
      <t>˚</t>
    </r>
    <r>
      <rPr>
        <sz val="9.9"/>
        <rFont val="Arial"/>
        <family val="2"/>
        <charset val="238"/>
      </rPr>
      <t>, inox</t>
    </r>
  </si>
  <si>
    <r>
      <t>koleno varilno DN 125 - 45</t>
    </r>
    <r>
      <rPr>
        <sz val="9"/>
        <rFont val="Calibri"/>
        <family val="2"/>
        <charset val="238"/>
      </rPr>
      <t>˚</t>
    </r>
    <r>
      <rPr>
        <sz val="9.9"/>
        <rFont val="Arial"/>
        <family val="2"/>
        <charset val="238"/>
      </rPr>
      <t>, inox</t>
    </r>
  </si>
  <si>
    <t>nepovratni ventil DN 125</t>
  </si>
  <si>
    <t>varjenje inox komadov</t>
  </si>
  <si>
    <t>gumi-distančnik/kompenzator DN 125 PN 16</t>
  </si>
  <si>
    <t>sesalni koš DN 125</t>
  </si>
  <si>
    <t>Elektromotorni pogon + adapter za namestitev za zasun DN125
Elektro pogon 3-fazni 3x400 VAC, s krmilno enoto Auma Aumatic 01.2. ali enakovredno .</t>
  </si>
  <si>
    <t>vgradna garnitura DN 125, dolga</t>
  </si>
  <si>
    <t>grlata prirobnica  DN 125, inox, PN 16</t>
  </si>
  <si>
    <t>prezračevalni zračnik z mrežico inox, DN 100, L = 1m</t>
  </si>
  <si>
    <t>Podzemni zalogovnik vode pred prečrpališčem je neto tlorisnih dimenzij 6,50m*3,50 m, svetle višine 3,00 m, debelina talne plošče je 25 cm, kakor tudi sten, debelina stropne plošče je 20 cm. Rezervoar je delno vkopan z zemljo 1,00m pod koto črpališča. Po izvedbi se rezervoar zasuje do vrha - zunanji izgled kot brežina</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</si>
  <si>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tel.vgradna,grt.</t>
    </r>
  </si>
  <si>
    <t>MMB z int.zasunom DN 200/100 bajonetni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</si>
  <si>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tel.vgradna,grt.</t>
    </r>
  </si>
  <si>
    <t>MMB z int.zasunom DN 100/80 bajonetni + tel.vgradna,grt.</t>
  </si>
  <si>
    <t>MMB z int.zasunom DN 100/100 bajonetni + tel.vgradna,grt.</t>
  </si>
  <si>
    <t>MMB z int.zasunom DN 200/150 bajonetni + tel.vgradna,grt.</t>
  </si>
  <si>
    <t>MMB z int.zasunom DN 150/150 bajonetni + tel.vgradna,grt.</t>
  </si>
  <si>
    <t>ZASUN DN100 bajonetni (obojka/obojka) + tel.vgradna,grt.</t>
  </si>
  <si>
    <t>MMB z int.zasunom DN 150/100 bajonetni + tel.vgradna,grt.</t>
  </si>
  <si>
    <t>MMB z int.zasunom DN 150/80 bajonetni + tel.vgradna,grt.</t>
  </si>
  <si>
    <t>VOZLIŠČE na PE Ø110 - ODCEP  PE Ø50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</si>
  <si>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tel.vgradna,grt.</t>
    </r>
  </si>
  <si>
    <t>MMB int.zasunom DN 100/100 bajonetni + tel.vgradna,grt.</t>
  </si>
  <si>
    <t>MMB z int.zasunom DN 200/80 bajonetni + tel.vgradna,grt.</t>
  </si>
  <si>
    <t>MMB z int.zasunom DN 200/125 bajonetni + tel.vgradna,grt.</t>
  </si>
  <si>
    <t>E-kos DN 350 sidrni razstavljivi spoj</t>
  </si>
  <si>
    <t>F-kos DN 300 sidrni razstavljivi spoj</t>
  </si>
  <si>
    <t xml:space="preserve">T DN 350/300 </t>
  </si>
  <si>
    <t xml:space="preserve">T DN 350/200 </t>
  </si>
  <si>
    <t>E-kos DN 300 sidrni razstavljivi spoj</t>
  </si>
  <si>
    <t>F-kos DN 200 sidrni razstavljivi spoj</t>
  </si>
  <si>
    <t>ZASUN HSM DN300 + tel.vgradna,grt.</t>
  </si>
  <si>
    <t>ZASUN HSM DN200 + tel.vgradna,grt.</t>
  </si>
  <si>
    <t>NAVRTALNI ZASUN ZA ODCEPE Ø50-63, z vrtljivim kolenom z ISO spojko Ø50 in dvod.oklepom Ø110 + tel.vgradna,grt.</t>
  </si>
  <si>
    <t>MMB z int.zasunom DN 200/200 bajonetni + tel.vgradna,grt.</t>
  </si>
  <si>
    <t>Univerzalna sidrna bajonetna spojka DN200</t>
  </si>
  <si>
    <t xml:space="preserve">Dobava, vgradnja fazonskih komadov 
</t>
  </si>
  <si>
    <t xml:space="preserve">Dobava in vgradnja armatur </t>
  </si>
  <si>
    <t>MMK 11° DN300 sidrni razstavljivi spoj</t>
  </si>
  <si>
    <t>MMK 22° DN300 sidrni razstavljivi spoj</t>
  </si>
  <si>
    <t>MMK 45° DN300 sidrni razstavljivi spoj</t>
  </si>
  <si>
    <t>F-kos DN100 sidrni razstavljivi spoj</t>
  </si>
  <si>
    <t>MMB DN300/80 bajonetni</t>
  </si>
  <si>
    <t>ZASUN HSM DN300+ tel.vgradna,grt.</t>
  </si>
  <si>
    <t>ZASUN HSM DN100+ tel.vgradna,grt.</t>
  </si>
  <si>
    <t>ZASUN HSM DN80+ tel.vgradna,grt.</t>
  </si>
  <si>
    <t>ZASUN DN 200 + kolo</t>
  </si>
  <si>
    <t>cestna kapa za PH + podložna plošča</t>
  </si>
  <si>
    <t xml:space="preserve">Dobava, vgradnja spojk </t>
  </si>
  <si>
    <t>Dobava in montaža LTŽ armatur</t>
  </si>
  <si>
    <t>JAŠEK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</si>
  <si>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t>HSM DN 80 bajonetni + tel.vgradna,grt.</t>
  </si>
  <si>
    <t>R kos 100/80 bajonetni</t>
  </si>
  <si>
    <t>HSM  DN100 bajonetni + tel.vgradna,grt.</t>
  </si>
  <si>
    <t>zaključni vtični čep DN100 -6/4" bajonetni</t>
  </si>
  <si>
    <t xml:space="preserve">sidrna objemka DN300 </t>
  </si>
  <si>
    <t>F kos DN 200 bajonetni</t>
  </si>
  <si>
    <t>F kos DN 300 bajonetni</t>
  </si>
  <si>
    <t>FFR DN300/200</t>
  </si>
  <si>
    <t>T DN 300/300</t>
  </si>
  <si>
    <t>FF DN200/1000</t>
  </si>
  <si>
    <t>FF DN200/500</t>
  </si>
  <si>
    <t xml:space="preserve">T DN 200/200 </t>
  </si>
  <si>
    <t>FF DN80/300</t>
  </si>
  <si>
    <t>ZASUN DN80 + tel.vgradna,grt.</t>
  </si>
  <si>
    <t xml:space="preserve">N DN80 </t>
  </si>
  <si>
    <t>VOZLIŠČE na PVC DN200 - ODCEP NL DN200</t>
  </si>
  <si>
    <t>univ.sidrna spojka DN200 bajonetna</t>
  </si>
  <si>
    <t>S kos DN200-L bajonetni</t>
  </si>
  <si>
    <t>S kos DN300-L bajonetni</t>
  </si>
  <si>
    <t>VOZLIŠČE zaključek na občinski meji</t>
  </si>
  <si>
    <t>E-kos DN200 sidrni razstavljivi spoj</t>
  </si>
  <si>
    <t xml:space="preserve"> ZASUN HSM DN 200 bajonetni + tel.vgradna,grt.</t>
  </si>
  <si>
    <t>U DN 200 - bajonetni</t>
  </si>
  <si>
    <t xml:space="preserve">FF  DN200/1000 INOKS+nav. slepa prirob. v steni jaška </t>
  </si>
  <si>
    <t xml:space="preserve">FF  DN300/1000 INOKS+nav. slepa prirob. v steni jaška </t>
  </si>
  <si>
    <t>FF DN300/500</t>
  </si>
  <si>
    <t>EMS sidrna univ.spojka DN 200 bajonetna</t>
  </si>
  <si>
    <t>EMS sidrna univ.spojka DN 100 bajonetna</t>
  </si>
  <si>
    <t>MMB 300/100 bajonetni</t>
  </si>
  <si>
    <t>MMB 300/80 bajonetni</t>
  </si>
  <si>
    <t>F DN80 bajonetni</t>
  </si>
  <si>
    <t xml:space="preserve">N DN 80 </t>
  </si>
  <si>
    <t xml:space="preserve">FF-KOS DN 80/300 </t>
  </si>
  <si>
    <t>MMB DN 300/80 sidrni bajonetni</t>
  </si>
  <si>
    <r>
      <t xml:space="preserve">PE redukcija </t>
    </r>
    <r>
      <rPr>
        <sz val="9"/>
        <color indexed="8"/>
        <rFont val="Calibri"/>
        <family val="2"/>
        <charset val="238"/>
      </rPr>
      <t>Ø63</t>
    </r>
    <r>
      <rPr>
        <sz val="9"/>
        <color indexed="8"/>
        <rFont val="Arial"/>
        <family val="2"/>
        <charset val="238"/>
      </rPr>
      <t>/40 SDR11 PN16</t>
    </r>
  </si>
  <si>
    <t>dvojna sidrna spojka DN40</t>
  </si>
  <si>
    <t>Vozlišče C20 - JAŠEK PREDANOVCI - V1</t>
  </si>
  <si>
    <t>Vozlišče-odcep C120b-C121 - V9</t>
  </si>
  <si>
    <t>dvojna sidrna univ.spojka DN110/100</t>
  </si>
  <si>
    <t>Vozlišče C72 (V2) - v jašku</t>
  </si>
  <si>
    <t xml:space="preserve">FF  DN100/1000 INOKS+nav. slepa prirob. v steni jaška </t>
  </si>
  <si>
    <t xml:space="preserve">FF  DN80/1000 INOKS+nav. slepa prirob. v steni jaška </t>
  </si>
  <si>
    <t>F kos DN 100 bajonetni</t>
  </si>
  <si>
    <t>S kos DN100-L bajonetni</t>
  </si>
  <si>
    <t>Vozišče C90 - V4</t>
  </si>
  <si>
    <t>Vozišče C85 - V3:</t>
  </si>
  <si>
    <t>ZASUN DN300 + kolo</t>
  </si>
  <si>
    <t>T DN300/100</t>
  </si>
  <si>
    <t>T DN100/100</t>
  </si>
  <si>
    <t xml:space="preserve">N DN200 </t>
  </si>
  <si>
    <t>MSK DN100/45° bajonetni</t>
  </si>
  <si>
    <t xml:space="preserve">EU-kos DN80 bajonetni </t>
  </si>
  <si>
    <t>dvojna sidrna spojka DN63/50</t>
  </si>
  <si>
    <t>Vozlišče C99 - V5</t>
  </si>
  <si>
    <t>MMK DN100/45° bajonetni</t>
  </si>
  <si>
    <t>Vozlišče IZPUST (C39, C75, C131, C185) - V7</t>
  </si>
  <si>
    <t>Prečkanje vodotokov-jarkov                                   C118b-C118, C135b-C135C, C149-C149a,                             C165a-C164a, C194a-C194b</t>
  </si>
  <si>
    <t>Vozlišče - V10:</t>
  </si>
  <si>
    <t>Vozlišče - V12</t>
  </si>
  <si>
    <t>Vozlišče - V13</t>
  </si>
  <si>
    <t>Vozlišče C148</t>
  </si>
  <si>
    <t>Vozlišče C146-C147</t>
  </si>
  <si>
    <t>Vozlišče C162-C163, C178-C179</t>
  </si>
  <si>
    <t>Vozlišče C113-C114, C164-C164a</t>
  </si>
  <si>
    <t>Vozlišče C96, C97, C103, C106, C133, C175</t>
  </si>
  <si>
    <t>Vozlišče C98-C99, C106a-C107, C115-C116,                     C117-C118, C172-C173:</t>
  </si>
  <si>
    <t>Vozlišče C108 - 109 V6</t>
  </si>
  <si>
    <t>MMB DN 100/100 sidrni bajonetni</t>
  </si>
  <si>
    <t>Vozlišče C108 - V15</t>
  </si>
  <si>
    <t>R kos DN100/80 bajonetni</t>
  </si>
  <si>
    <r>
      <t xml:space="preserve">PE elektrfuz. obojka  </t>
    </r>
    <r>
      <rPr>
        <sz val="9"/>
        <color indexed="8"/>
        <rFont val="Calibri"/>
        <family val="2"/>
        <charset val="238"/>
      </rPr>
      <t>Ø11</t>
    </r>
    <r>
      <rPr>
        <sz val="9"/>
        <color indexed="8"/>
        <rFont val="Arial"/>
        <family val="2"/>
        <charset val="238"/>
      </rPr>
      <t>0 SDR11 PN16</t>
    </r>
  </si>
  <si>
    <t>Vozlišče C162 - V17</t>
  </si>
  <si>
    <t>Vozlišče C167 - V19</t>
  </si>
  <si>
    <t>Vozlišče V21</t>
  </si>
  <si>
    <t>dvojna sidrna spojka  Ø110</t>
  </si>
  <si>
    <t>čep elektrovarilni Ø63 SDR 11 PN16</t>
  </si>
  <si>
    <t>Vozlišče C180 - V22</t>
  </si>
  <si>
    <t>Vozlišče V20</t>
  </si>
  <si>
    <t>Vozlišče V23</t>
  </si>
  <si>
    <t>Vozlišče V24</t>
  </si>
  <si>
    <t>EMS sidrna univ.spojka DN 80 bajonetna</t>
  </si>
  <si>
    <t xml:space="preserve">F kos DN80 bajonetni </t>
  </si>
  <si>
    <t>X DN80</t>
  </si>
  <si>
    <t>Vozlišče V25</t>
  </si>
  <si>
    <t>Vozlišče C195 - V26 - JAŠEK LEMERJE</t>
  </si>
  <si>
    <t>univ.sidrna spojka DN 300</t>
  </si>
  <si>
    <t>T DN 300/200</t>
  </si>
  <si>
    <t>PRIROBNIČNI ZASUN DN200 + elektromotorni pogon + adapter za namestitev
Elektro pogon 3-fazni 3x400 VAC, s krmilno enoto Auma Aumatic 01.2. ali enakovredno .</t>
  </si>
  <si>
    <t>FF DN300/600</t>
  </si>
  <si>
    <t>FF DN300/200 INOKS z odcepom DN25-ZN</t>
  </si>
  <si>
    <t>FF DN200/600</t>
  </si>
  <si>
    <t>PRIROBNIČNI ZASUN DN100 + elektromotorni pogon + adapter za namestitev
Elektro pogon 3-fazni 3x400 VAC, s krmilno enoto Auma Aumatic 01.2. ali enakovredno .</t>
  </si>
  <si>
    <t>FF DN200/200 INOKS z odcepom DN25-ZN</t>
  </si>
  <si>
    <t>Vozlišče V27 - armatura JAŠEK STRUKOVCI</t>
  </si>
  <si>
    <t>EU kos DN 100 bajonetni</t>
  </si>
  <si>
    <t>EU kos DN 300 bajonetni</t>
  </si>
  <si>
    <t>EU kos DN 200 bajonetni</t>
  </si>
  <si>
    <t>EU kos DN300 sidrni razstavljivi spoj</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</si>
  <si>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Ø63 + tel.vgradna,grt.</t>
    </r>
  </si>
  <si>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Ø110 + tel.vgradna,grt.</t>
    </r>
  </si>
  <si>
    <t>D.             ELEKTRO DELA SKUPAJ:</t>
  </si>
  <si>
    <t>f)  NN priključek 0,4 kV jaška Lemerje</t>
  </si>
  <si>
    <t>g)  NN priključek 0,4 kV jaška Strukovci</t>
  </si>
  <si>
    <t>e)       Optična povezava med črpališčem in jaškom PREDANOVCI</t>
  </si>
  <si>
    <t>d)             NN priključek 0,4 kV jaška PREDANOVCI</t>
  </si>
  <si>
    <t>c)             Električne inštlacije in el. oprema jaške STRUKOVCI</t>
  </si>
  <si>
    <t>b)              Električne inštlacije in el. oprema jaške LEMERJE</t>
  </si>
  <si>
    <t>INDUKTIVNI MERILNIK PRETOKA DN300 
Elektro magnetni dvosmerni merilnik pretoka.
izhod tokovna zanka 4-20mA,  IP68
Montaža, priklop in preizkus ter zagon merilca pretoka. 
TIP: Promag 10W PN16 DN150 Proizvajalec Endress+Hauser ali enakovredeno</t>
  </si>
  <si>
    <t>INDUKTIVNI MERILNIK PRETOKA DN200 
Elektro magnetni dvosmerni merilnik pretoka.
izhod tokovna zanka 4-20mA,  IP68
Montaža, priklop in preizkus ter zagon merilca pretoka. 
TIP: Promag 10W PN16 DN150 Proizvajalec Endress+Hauser ali enakovredeno</t>
  </si>
  <si>
    <t>INDUKTIVNI MERILNIK PRETOKA DN100 
Elektro magnetni dvosmerni merilnik pretoka.
izhod tokovna zanka 4-20mA,  IP68
Montaža, priklop in preizkus ter zagon merilca pretoka. 
TIP: Promag 10W PN16 DN150 Proizvajalec Endress+Hauser ali enakovredeno</t>
  </si>
  <si>
    <t>ZASUN DN200 bajonetni (obojka/obojka)  + tel.vgradna,grt.</t>
  </si>
  <si>
    <t>ZASUN DN100 bajonetni (obojka/obojka)  + tel.vgradna,grt.</t>
  </si>
  <si>
    <t>NADZEMNII HIDRANT-nelomljivi DN 80,  RD=1,00m,  (SPOJKE 2xC+1xB)</t>
  </si>
  <si>
    <t>NAVRTALNI ZASUN ZA ODCEPE Ø50-63, z vrtljivim kolenom z ISO spojko Ø63 in dvod.oklepom Ø125 + tel.vgradna,grt.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</si>
  <si>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 + tel.vgradna,grt.</t>
    </r>
  </si>
  <si>
    <t xml:space="preserve">Vozlišče ZRAČNIK -  v jašku                                                                 (C25, C72, C51, C111, C155) - V8                </t>
  </si>
  <si>
    <r>
      <rPr>
        <b/>
        <sz val="9"/>
        <color rgb="FF000000"/>
        <rFont val="Arial"/>
        <family val="2"/>
        <charset val="238"/>
      </rPr>
      <t xml:space="preserve">JAŠEK 4,0x2,9x1,8m  </t>
    </r>
    <r>
      <rPr>
        <sz val="9"/>
        <color indexed="8"/>
        <rFont val="Arial"/>
        <family val="2"/>
        <charset val="238"/>
      </rPr>
      <t xml:space="preserve">                                                                 Naprava tipskega AB jaška not. dimenzij 4,0x2,9x1,8m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</si>
  <si>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3,4x2,4x2,0m </t>
    </r>
    <r>
      <rPr>
        <sz val="9"/>
        <color indexed="8"/>
        <rFont val="Arial"/>
        <family val="2"/>
        <charset val="238"/>
      </rPr>
      <t xml:space="preserve">                                                               Naprava tipskega AB jaška not. dimenzij 3,4x2,4x2,0m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</si>
  <si>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4,4x2,4x2,0m     </t>
    </r>
    <r>
      <rPr>
        <sz val="9"/>
        <color indexed="8"/>
        <rFont val="Arial"/>
        <family val="2"/>
        <charset val="238"/>
      </rPr>
      <t xml:space="preserve">                                                          Naprava tipskega AB jaška not. dimenzij 4,4x2,4x2,0m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</si>
  <si>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4,9x3,9x2,0m     </t>
    </r>
    <r>
      <rPr>
        <sz val="9"/>
        <color indexed="8"/>
        <rFont val="Arial"/>
        <family val="2"/>
        <charset val="238"/>
      </rPr>
      <t xml:space="preserve">                                                             Naprava tipskega AB jaška not. dimenzij 4,9x3,9x2,0m  z vstopno odprtino 1,0x1,0m,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</si>
  <si>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 2,4x2,4x2,0m   </t>
    </r>
    <r>
      <rPr>
        <sz val="9"/>
        <color indexed="8"/>
        <rFont val="Arial"/>
        <family val="2"/>
        <charset val="238"/>
      </rPr>
      <t xml:space="preserve">                                                           Naprava tipskega AB jaška not. dimenzij 2,4x2,4x2,0m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</si>
  <si>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r>
      <rPr>
        <b/>
        <sz val="9"/>
        <color rgb="FF000000"/>
        <rFont val="Arial"/>
        <family val="2"/>
        <charset val="238"/>
      </rPr>
      <t xml:space="preserve">JAŠEK2,0x2,0x2,0m   </t>
    </r>
    <r>
      <rPr>
        <sz val="9"/>
        <color indexed="8"/>
        <rFont val="Arial"/>
        <family val="2"/>
        <charset val="238"/>
      </rPr>
      <t xml:space="preserve">                                                             Naprava tipskega AB jaška not. dimenzij 2,0x2,0x2,0m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r>
  </si>
  <si>
    <t>INDUKTIVNI MERILNIK PRETOKA DN125 
Elektro magnetni dvosmerni merilnik pretoka.
izhod tokovna zanka 4-20mA,  IP68
Montaža, priklop in preizkus ter zagon merilca pretoka. 
TIP: Promag 10W PN16 DN100 Proizvajalec Endress+Hauser ali enakovredeno</t>
  </si>
  <si>
    <t>FFR DN 150/100</t>
  </si>
  <si>
    <t>FFR DN 200/125</t>
  </si>
  <si>
    <t>FFR DN 150/125</t>
  </si>
  <si>
    <t>EV ventil DN 100 + kolo</t>
  </si>
  <si>
    <t>Q DN 125 90˚</t>
  </si>
  <si>
    <t>T kos DN 150</t>
  </si>
  <si>
    <t>T kos DN 100</t>
  </si>
  <si>
    <t>T kos DN 125</t>
  </si>
  <si>
    <t>ZASUN HSM DN100 + tel.vgradna grt.</t>
  </si>
  <si>
    <t>ZASUN HSM DN80 + tel.vgradna grt.</t>
  </si>
  <si>
    <t>ZASUN DN 80 + tel.vgradna grt.</t>
  </si>
  <si>
    <t>ZASUN DN 50 + tel.vgradna grt.</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</si>
  <si>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 grt.</t>
    </r>
  </si>
  <si>
    <t>R DN 200/150 bajonetni</t>
  </si>
  <si>
    <t>U DN150 bajonetni</t>
  </si>
  <si>
    <t>STROP</t>
  </si>
  <si>
    <t>Dobava in izdelava STROPA PREČRPALIŠČA</t>
  </si>
  <si>
    <t>Izdelava, dobava in montaža STROPA PREČRPALIŠČA iz sendvič plošč /izolacijskih panelov debeline 10 cm, primerne za vlažne prostore, komplet z nosilno konstrukcijo in obrobami.</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</si>
  <si>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 grt.</t>
    </r>
  </si>
  <si>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 grt.</t>
    </r>
  </si>
  <si>
    <t>MMB z int.zasunom DN 100/80 bajonetni + tel.vgradna grt.</t>
  </si>
  <si>
    <t>MMB z int.zasunom DN 100/100 bajonetni + tel.vgradna grt.</t>
  </si>
  <si>
    <t>MMB z int.zasunom DN 150/100 bajonetni + tel.vgradna grt.</t>
  </si>
  <si>
    <t>ZASUN HSM DN80 bajonetni + tel.vgradna grt.</t>
  </si>
  <si>
    <t>MMB z int.zasunom DN 150/80 bajonetni + tel.vgradna grt.</t>
  </si>
  <si>
    <t>MMB z int.zasunom DN 200/100 bajonetni + tel.vgradna grt.</t>
  </si>
  <si>
    <t>MMB z int.zasunom DN 150/150 bajonetni + tel.vgradna grt.</t>
  </si>
  <si>
    <t>MMB z int.zasunom DN 200/150 bajonetni + tel.vgradna grt.</t>
  </si>
  <si>
    <r>
      <t xml:space="preserve">PE redukcija </t>
    </r>
    <r>
      <rPr>
        <sz val="9"/>
        <color indexed="8"/>
        <rFont val="Calibri"/>
        <family val="2"/>
        <charset val="238"/>
      </rPr>
      <t>Ø</t>
    </r>
    <r>
      <rPr>
        <sz val="9"/>
        <color indexed="8"/>
        <rFont val="Arial"/>
        <family val="2"/>
        <charset val="238"/>
      </rPr>
      <t>63/32 SDR11 PN16</t>
    </r>
  </si>
  <si>
    <r>
      <t xml:space="preserve">PE redukcija </t>
    </r>
    <r>
      <rPr>
        <sz val="9"/>
        <color indexed="8"/>
        <rFont val="Calibri"/>
        <family val="2"/>
        <charset val="238"/>
      </rPr>
      <t>Ø</t>
    </r>
    <r>
      <rPr>
        <sz val="9"/>
        <color indexed="8"/>
        <rFont val="Arial"/>
        <family val="2"/>
        <charset val="238"/>
      </rPr>
      <t>110/63 SDR11 PN16</t>
    </r>
  </si>
  <si>
    <r>
      <t xml:space="preserve">PE redukcija </t>
    </r>
    <r>
      <rPr>
        <sz val="9"/>
        <color indexed="8"/>
        <rFont val="Calibri"/>
        <family val="2"/>
        <charset val="238"/>
      </rPr>
      <t>Ø</t>
    </r>
    <r>
      <rPr>
        <sz val="9"/>
        <color indexed="8"/>
        <rFont val="Arial"/>
        <family val="2"/>
        <charset val="238"/>
      </rPr>
      <t>110/63SDR11 PN16</t>
    </r>
  </si>
  <si>
    <t>ZASUN DN150 + tel.vgradna garnitura</t>
  </si>
  <si>
    <t>KPL</t>
  </si>
  <si>
    <t>DEZINFEKCIJA SKUPAJ</t>
  </si>
  <si>
    <t>HIDROPOSTAJA SKUPAJ</t>
  </si>
  <si>
    <t>PLC komplet</t>
  </si>
  <si>
    <t>U-kos DN 200 bajonetni</t>
  </si>
  <si>
    <t>EU-kos DN 150 bajonetni</t>
  </si>
  <si>
    <t>Puconci_RT-4</t>
  </si>
  <si>
    <t>Beltinci_RT-1</t>
  </si>
  <si>
    <t>ČRP MAČKOVCI - nadgradnja objekta</t>
  </si>
  <si>
    <t>EUR</t>
  </si>
  <si>
    <t>GRADBENA DELA SKUPAJ</t>
  </si>
  <si>
    <t>OBRTNIŠKA DELA SKUPAJ</t>
  </si>
  <si>
    <t>Dobava, rezanje, krivljenje, vezanje in polaganje armature ter polaganje armaturnih mrež komplet, z vsemi pomožnimi deli in prenosi, - Talna plošča</t>
  </si>
  <si>
    <t>Kompletna izdelava, dobava in vgrajevanje betona C -25/30 preseka do 0,30 m3/m2/m1 , v armirane konstrukcije vključno z vsemi pomožnimi deli in transportom . - Talna plošča</t>
  </si>
  <si>
    <t>Dobava, rezanje, krivljenje, vezanje in polaganje armature ter polaganje armaturnih mrež komplet, z vsemi pomožnimi deli in prenosi. - Stene rezervoarja</t>
  </si>
  <si>
    <t>Dobava, rezanje, krivljenje, vezanje in polaganje armature ter polaganje armaturnih mrež komplet, z vsemi pomožnimi deli in prenosi. - Stropna plošča</t>
  </si>
  <si>
    <t>Odprtina v plošči 100/100 cm za dostop v notranjost rezervoarja</t>
  </si>
  <si>
    <t>Dobava in montaža INOX nosilnega pokrova na rezervoarju, 1,0x1,0m, komplet z dvignjenim okvirjem za naknadno montažo z integriranim zračnikom Ø10cm, žabico za zaklepanje, fiksirno palico v odprtem položaju in 5cm termično izolacijo.</t>
  </si>
  <si>
    <t>Preplastitev vseh površin sten zalogovnika in tal s tesnilno malto SikaLastic-1K, ali enakovredno, v dveh slojih skupne debeline 3 mm</t>
  </si>
  <si>
    <t>Izvedba stropnega cementnega obrizga s cementno tesnilno malto Sika 110 HD, ali enakovredno v kapniški strukturi.</t>
  </si>
  <si>
    <t>Izvedba zaokrožnice v vseh kotih s sanacijsko malto Sika MonoTop 412 N, ali enakovredno.</t>
  </si>
  <si>
    <t>Izdelava, dobava in montaža enodelnega ALUokna v sivi barvi vel. 135x135cm. Krilo se odpira kombinirano  v obeh smereh, opremljena so s potrebnim okovjem. Okno je opremljeno z notranjo žaluzijo v barvi po izboru naročnika. Izvedba po shemi s finalno obdelavo. POZ O1 + protivlomna rešetka zunaj.</t>
  </si>
  <si>
    <r>
      <rPr>
        <b/>
        <sz val="9"/>
        <color rgb="FF000000"/>
        <rFont val="Arial"/>
        <family val="2"/>
        <charset val="238"/>
      </rPr>
      <t>JAŠEK ZA REDUCIRNI VENTIL IN MERILEC PRETOKA 4,0x2,5x1,8m</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</si>
  <si>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rPr>
        <b/>
        <sz val="9"/>
        <color rgb="FF000000"/>
        <rFont val="Arial"/>
        <family val="2"/>
        <charset val="238"/>
      </rPr>
      <t>JAŠEK ZA REDUCIRNI VENTIL IN MERILEC PRETOKA 4,0x2,5x1,8m</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</si>
  <si>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 xml:space="preserve">Izdelava, dobava in montaža dvokrilnih vrat v  ALU profilih vel. 205x250cm  v barvi po izboru naročnika. Okovje je kvalitetno, kljuka po izbiri ahitekta. V vsakem krrilu je steklen element dim 90/30 cm iz dvoslojnega termoizolacijskega stekla). Vrata so opremljena s inox prezračevalnima rešetkama dimenzije 90/30 cm (v vsakem krilu 1x) z alu plastificiranimi lamelami in zaščitno mrežico.Prag je aLU nizki prag z možnostjo talnega zapaha, ki je integriran v vratno krilo. 
</t>
  </si>
  <si>
    <t>Dobava in namestitev panelne ograje višine 2,0 m, vključno z stebri, temelji, dvokrilnimi vrati 2 x 2m s klučavnico, komplet.</t>
  </si>
  <si>
    <t>Izdelava, dobava in montaža stranskega INOX zračnika fi 200 z zaščitno kapo in protimrčesno mrežico.</t>
  </si>
  <si>
    <t>Dela upravljavca vodovoda</t>
  </si>
  <si>
    <t xml:space="preserve">Izvedba spojev med  novimi in obstoječimi vodi na priključkih, ter selitve vodomerov v vodomerne jaške </t>
  </si>
  <si>
    <t>Prenos geodetskega načrta v okolje operativnega katastra infrastrukture upravljavca</t>
  </si>
  <si>
    <t>III/1</t>
  </si>
  <si>
    <t>III/2</t>
  </si>
  <si>
    <t>III/3</t>
  </si>
  <si>
    <t xml:space="preserve">Prevezave obstoječih hišnih vodovodnih priključkov. Izvedba vseh potrebnih gradbenih del pri prevezavah  komplet z vsemi pomožnimi deli (iskanje obstoječe cevi, izkopi, zasipi odvoz materiala...). </t>
  </si>
  <si>
    <t xml:space="preserve">Izdelava elaborata za vpis v uradne evidence v fizični obliki (3 izvodih) in odprti digitalni obliki.                             </t>
  </si>
  <si>
    <t xml:space="preserve">Izdelava GEODETSKEGA NAČRTA novega stanja izvedenih del v fizični obliki (3 izvodih) in odprti digitalni obliki..                                                   </t>
  </si>
  <si>
    <t xml:space="preserve">Izdelava GEODETSKEGA NAČRTA novega stanja izvedenih del v fizični obliki (3 izvodih) in odprti digitalni obliki.                                                   </t>
  </si>
  <si>
    <t>III/4</t>
  </si>
  <si>
    <t xml:space="preserve">Izvedba potrebnih prekinitev  na obstoječem vodovodu, odzračevanje in izpiranje obstoječega vodovoda, obveščanje uporabnikov o zaporah.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</si>
</sst>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 #,##0.00\ _S_I_T_-;\-* #,##0.00\ _S_I_T_-;_-* &quot;-&quot;??\ _S_I_T_-;_-@_-"/>
    <numFmt numFmtId="165" formatCode="#,##0.00_ ;[Red]\-#,##0.00\ "/>
    <numFmt numFmtId="166" formatCode="#,##0.00\ [$€-1]"/>
    <numFmt numFmtId="167" formatCode="_-* #,##0.00\ _€_-;\-* #,##0.00\ _€_-;_-* &quot;-&quot;??\ _€_-;_-@_-"/>
    <numFmt numFmtId="168" formatCode="#,##0.00_ ;\-#,##0.00\ "/>
    <numFmt numFmtId="169" formatCode="#.##0.00"/>
    <numFmt numFmtId="170" formatCode="0.0"/>
    <numFmt numFmtId="171" formatCode="#,##0.00\ _€"/>
    <numFmt numFmtId="172" formatCode="#,##0;\-"/>
    <numFmt numFmtId="173" formatCode="0.0_)"/>
    <numFmt numFmtId="174" formatCode="#,##0.00\ &quot;€&quot;"/>
    <numFmt numFmtId="175" formatCode="_-* #.##0.00\ _S_I_T_-;\-* #.##0.00\ _S_I_T_-;_-* &quot;-&quot;??\ _S_I_T_-;_-@_-"/>
    <numFmt numFmtId="176" formatCode="_(* #,##0.00_);_(* \(#,##0.00\);_(* \-??_);_(@_)"/>
    <numFmt numFmtId="177" formatCode="#,##0;\-;"/>
    <numFmt numFmtId="178" formatCode="_-* #,##0.00\ [$€-1]_-;\-* #,##0.00\ [$€-1]_-;_-* &quot;-&quot;??\ [$€-1]_-;_-@_-"/>
    <numFmt numFmtId="179" formatCode="#,##0.00\ \€"/>
    <numFmt numFmtId="180" formatCode="#,##0.00_-* ###0.00\ _S_I_T_-;\-* #,##0.00\ _S_I_T_-;_-* &quot;-&quot;??\ _S_I_T_-;_-@_-"/>
  </numFmts>
  <fonts count="141">
    <font>
      <sz val="11"/>
      <color theme="1"/>
      <name val="Calibri"/>
      <family val="2"/>
      <scheme val="minor"/>
    </font>
    <font>
      <sz val="10"/>
      <name val="Arial CE"/>
    </font>
    <font>
      <sz val="8"/>
      <name val="Arial"/>
      <family val="2"/>
      <charset val="238"/>
    </font>
    <font>
      <sz val="10"/>
      <name val="Arial"/>
      <family val="2"/>
      <charset val="238"/>
    </font>
    <font>
      <b/>
      <sz val="10"/>
      <name val="Arial"/>
      <family val="2"/>
      <charset val="238"/>
    </font>
    <font>
      <b/>
      <sz val="14"/>
      <name val="Arial"/>
      <family val="2"/>
      <charset val="238"/>
    </font>
    <font>
      <b/>
      <sz val="12"/>
      <name val="Arial"/>
      <family val="2"/>
      <charset val="238"/>
    </font>
    <font>
      <b/>
      <sz val="11"/>
      <name val="Arial"/>
      <family val="2"/>
      <charset val="238"/>
    </font>
    <font>
      <sz val="12"/>
      <name val="Arial"/>
      <family val="2"/>
      <charset val="238"/>
    </font>
    <font>
      <b/>
      <sz val="16"/>
      <name val="Arial"/>
      <family val="2"/>
      <charset val="238"/>
    </font>
    <font>
      <sz val="11"/>
      <name val="Arial"/>
      <family val="2"/>
      <charset val="238"/>
    </font>
    <font>
      <sz val="10"/>
      <name val="Arial CE"/>
      <charset val="238"/>
    </font>
    <font>
      <sz val="10"/>
      <name val="Arial"/>
      <family val="2"/>
    </font>
    <font>
      <sz val="9"/>
      <name val="Arial"/>
      <family val="2"/>
      <charset val="238"/>
    </font>
    <font>
      <b/>
      <sz val="9"/>
      <name val="Arial"/>
      <family val="2"/>
      <charset val="238"/>
    </font>
    <font>
      <b/>
      <sz val="10"/>
      <name val="Arial"/>
      <family val="2"/>
    </font>
    <font>
      <sz val="10"/>
      <name val="Arial"/>
      <family val="2"/>
      <charset val="238"/>
    </font>
    <font>
      <b/>
      <sz val="16"/>
      <name val="Arial"/>
      <family val="2"/>
    </font>
    <font>
      <sz val="16"/>
      <name val="Arial"/>
      <family val="2"/>
    </font>
    <font>
      <sz val="11"/>
      <color indexed="8"/>
      <name val="Calibri"/>
      <family val="2"/>
      <charset val="238"/>
    </font>
    <font>
      <sz val="9"/>
      <color indexed="8"/>
      <name val="Arial"/>
      <family val="2"/>
      <charset val="238"/>
    </font>
    <font>
      <sz val="10"/>
      <color indexed="8"/>
      <name val="Arial"/>
      <family val="2"/>
      <charset val="238"/>
    </font>
    <font>
      <sz val="9"/>
      <name val="Arial"/>
      <family val="2"/>
    </font>
    <font>
      <sz val="10"/>
      <color rgb="FFFF0000"/>
      <name val="Arial"/>
      <family val="2"/>
    </font>
    <font>
      <sz val="9"/>
      <name val="Calibri"/>
      <family val="2"/>
      <charset val="238"/>
    </font>
    <font>
      <b/>
      <sz val="9"/>
      <color indexed="8"/>
      <name val="Arial"/>
      <family val="2"/>
      <charset val="238"/>
    </font>
    <font>
      <b/>
      <sz val="9"/>
      <name val="Calibri"/>
      <family val="2"/>
      <charset val="238"/>
    </font>
    <font>
      <sz val="9"/>
      <color indexed="8"/>
      <name val="Calibri"/>
      <family val="2"/>
      <charset val="238"/>
    </font>
    <font>
      <sz val="11"/>
      <color theme="1"/>
      <name val="Calibri"/>
      <family val="2"/>
      <charset val="238"/>
      <scheme val="minor"/>
    </font>
    <font>
      <u/>
      <sz val="9"/>
      <name val="Arial"/>
      <family val="2"/>
      <charset val="238"/>
    </font>
    <font>
      <sz val="10"/>
      <color indexed="8"/>
      <name val="Calibri"/>
      <family val="2"/>
      <charset val="238"/>
    </font>
    <font>
      <b/>
      <sz val="9.9"/>
      <name val="Arial"/>
      <family val="2"/>
      <charset val="238"/>
    </font>
    <font>
      <sz val="10"/>
      <color indexed="8"/>
      <name val="Arial"/>
      <family val="2"/>
    </font>
    <font>
      <vertAlign val="superscript"/>
      <sz val="10"/>
      <name val="Arial"/>
      <family val="2"/>
    </font>
    <font>
      <sz val="10"/>
      <color indexed="10"/>
      <name val="Arial"/>
      <family val="2"/>
    </font>
    <font>
      <vertAlign val="superscript"/>
      <sz val="10"/>
      <name val="Arial"/>
      <family val="2"/>
      <charset val="238"/>
    </font>
    <font>
      <sz val="10"/>
      <name val="Arial CE"/>
      <family val="2"/>
      <charset val="238"/>
    </font>
    <font>
      <b/>
      <i/>
      <sz val="10"/>
      <name val="Arial CE"/>
      <charset val="238"/>
    </font>
    <font>
      <b/>
      <sz val="10"/>
      <name val="Arial"/>
      <family val="2"/>
      <charset val="238"/>
    </font>
    <font>
      <i/>
      <sz val="10"/>
      <name val="Arial CE"/>
      <charset val="238"/>
    </font>
    <font>
      <sz val="10"/>
      <name val="Calibri"/>
      <family val="2"/>
      <charset val="238"/>
    </font>
    <font>
      <b/>
      <sz val="18"/>
      <name val="Arial"/>
      <family val="2"/>
      <charset val="238"/>
    </font>
    <font>
      <sz val="12"/>
      <color indexed="8"/>
      <name val="Arial"/>
      <family val="2"/>
      <charset val="238"/>
    </font>
    <font>
      <sz val="14"/>
      <name val="Arial"/>
      <family val="2"/>
      <charset val="238"/>
    </font>
    <font>
      <b/>
      <i/>
      <sz val="11"/>
      <name val="Arial"/>
      <family val="2"/>
      <charset val="238"/>
    </font>
    <font>
      <sz val="11"/>
      <name val="Calibri"/>
      <family val="2"/>
      <charset val="238"/>
    </font>
    <font>
      <b/>
      <sz val="11"/>
      <color theme="1"/>
      <name val="Calibri"/>
      <family val="2"/>
      <charset val="238"/>
      <scheme val="minor"/>
    </font>
    <font>
      <b/>
      <sz val="12"/>
      <name val="Arial CE"/>
      <family val="2"/>
      <charset val="238"/>
    </font>
    <font>
      <b/>
      <sz val="9"/>
      <color indexed="8"/>
      <name val="Calibri Light"/>
      <family val="2"/>
    </font>
    <font>
      <sz val="12"/>
      <name val="Courier New"/>
      <family val="3"/>
      <charset val="238"/>
    </font>
    <font>
      <b/>
      <sz val="10"/>
      <color indexed="8"/>
      <name val="Cambria"/>
      <family val="2"/>
    </font>
    <font>
      <sz val="10"/>
      <name val="Cambria"/>
      <family val="2"/>
    </font>
    <font>
      <b/>
      <sz val="10"/>
      <name val="Cambria"/>
      <family val="2"/>
    </font>
    <font>
      <b/>
      <sz val="9"/>
      <color indexed="8"/>
      <name val="Cambria"/>
      <family val="2"/>
    </font>
    <font>
      <sz val="10"/>
      <color indexed="8"/>
      <name val="Cambria"/>
      <family val="2"/>
      <charset val="238"/>
    </font>
    <font>
      <b/>
      <sz val="10"/>
      <color indexed="8"/>
      <name val="Cambria"/>
      <family val="2"/>
      <charset val="238"/>
    </font>
    <font>
      <sz val="9"/>
      <color indexed="8"/>
      <name val="Cambria"/>
      <family val="2"/>
      <charset val="238"/>
    </font>
    <font>
      <sz val="11"/>
      <name val="Arial CE"/>
      <charset val="238"/>
    </font>
    <font>
      <vertAlign val="superscript"/>
      <sz val="11"/>
      <name val="Arial"/>
      <family val="2"/>
      <charset val="238"/>
    </font>
    <font>
      <sz val="11"/>
      <name val="Arial CE"/>
      <family val="2"/>
      <charset val="238"/>
    </font>
    <font>
      <sz val="11"/>
      <name val="Symbol"/>
      <family val="1"/>
      <charset val="2"/>
    </font>
    <font>
      <b/>
      <sz val="10"/>
      <name val="Cambria"/>
      <family val="2"/>
      <charset val="238"/>
    </font>
    <font>
      <sz val="10"/>
      <name val="Cambria"/>
      <family val="2"/>
      <charset val="238"/>
    </font>
    <font>
      <sz val="10"/>
      <name val="Times New Roman CE"/>
      <charset val="238"/>
    </font>
    <font>
      <sz val="9"/>
      <name val="Cambria"/>
      <family val="2"/>
      <charset val="238"/>
    </font>
    <font>
      <b/>
      <sz val="9"/>
      <name val="Cambria"/>
      <family val="2"/>
      <charset val="238"/>
    </font>
    <font>
      <b/>
      <sz val="10"/>
      <name val="Arial CE"/>
      <charset val="238"/>
    </font>
    <font>
      <b/>
      <sz val="10"/>
      <color indexed="8"/>
      <name val="Calibri Light"/>
      <family val="2"/>
    </font>
    <font>
      <sz val="9"/>
      <name val="Cambria"/>
      <family val="2"/>
    </font>
    <font>
      <b/>
      <sz val="9"/>
      <name val="Cambria"/>
      <family val="2"/>
    </font>
    <font>
      <b/>
      <sz val="9"/>
      <color indexed="8"/>
      <name val="Cambria"/>
      <family val="2"/>
      <charset val="238"/>
    </font>
    <font>
      <sz val="9"/>
      <color indexed="8"/>
      <name val="Cambria"/>
      <family val="2"/>
    </font>
    <font>
      <sz val="11"/>
      <color rgb="FF3F3F76"/>
      <name val="Calibri"/>
      <family val="2"/>
      <charset val="238"/>
      <scheme val="minor"/>
    </font>
    <font>
      <i/>
      <sz val="11"/>
      <name val="Arial"/>
      <family val="2"/>
      <charset val="238"/>
    </font>
    <font>
      <u/>
      <sz val="10"/>
      <name val="Arial"/>
      <family val="2"/>
      <charset val="238"/>
    </font>
    <font>
      <sz val="11"/>
      <color rgb="FF006100"/>
      <name val="Calibri"/>
      <family val="2"/>
      <charset val="238"/>
      <scheme val="minor"/>
    </font>
    <font>
      <sz val="10"/>
      <color indexed="10"/>
      <name val="Arial"/>
      <family val="2"/>
      <charset val="238"/>
    </font>
    <font>
      <u/>
      <sz val="10"/>
      <color indexed="10"/>
      <name val="Arial"/>
      <family val="2"/>
      <charset val="238"/>
    </font>
    <font>
      <sz val="9"/>
      <color theme="1"/>
      <name val="Arial"/>
      <family val="2"/>
      <charset val="238"/>
    </font>
    <font>
      <sz val="16"/>
      <color rgb="FFFF0000"/>
      <name val="Arial"/>
      <family val="2"/>
    </font>
    <font>
      <sz val="9"/>
      <color theme="1"/>
      <name val="Arial"/>
      <family val="2"/>
    </font>
    <font>
      <sz val="10"/>
      <color theme="1"/>
      <name val="Arial"/>
      <family val="2"/>
      <charset val="238"/>
    </font>
    <font>
      <b/>
      <sz val="10"/>
      <color theme="1"/>
      <name val="Arial"/>
      <family val="2"/>
      <charset val="238"/>
    </font>
    <font>
      <b/>
      <sz val="14"/>
      <name val="Arial"/>
      <family val="2"/>
    </font>
    <font>
      <sz val="11"/>
      <color indexed="8"/>
      <name val="Calibri"/>
      <family val="2"/>
    </font>
    <font>
      <vertAlign val="superscript"/>
      <sz val="9"/>
      <color indexed="8"/>
      <name val="Arial"/>
      <family val="2"/>
      <charset val="238"/>
    </font>
    <font>
      <b/>
      <sz val="10"/>
      <color indexed="8"/>
      <name val="Arial"/>
      <family val="2"/>
      <charset val="238"/>
    </font>
    <font>
      <i/>
      <sz val="8"/>
      <name val="Arial"/>
      <family val="2"/>
      <charset val="238"/>
    </font>
    <font>
      <sz val="10"/>
      <color indexed="8"/>
      <name val="Helv"/>
    </font>
    <font>
      <sz val="9"/>
      <color rgb="FF000000"/>
      <name val="Arial"/>
      <family val="2"/>
      <charset val="238"/>
    </font>
    <font>
      <sz val="10"/>
      <name val="Helv"/>
    </font>
    <font>
      <sz val="10"/>
      <color theme="1"/>
      <name val="Arial"/>
      <family val="2"/>
    </font>
    <font>
      <sz val="9"/>
      <color rgb="FFFF0000"/>
      <name val="Arial"/>
      <family val="2"/>
      <charset val="238"/>
    </font>
    <font>
      <i/>
      <u/>
      <sz val="9"/>
      <name val="Arial"/>
      <family val="2"/>
      <charset val="238"/>
    </font>
    <font>
      <i/>
      <sz val="9"/>
      <name val="Arial"/>
      <family val="2"/>
      <charset val="238"/>
    </font>
    <font>
      <b/>
      <i/>
      <sz val="9"/>
      <name val="Arial"/>
      <family val="2"/>
      <charset val="238"/>
    </font>
    <font>
      <i/>
      <u/>
      <sz val="8"/>
      <name val="Calibri"/>
      <family val="2"/>
      <charset val="238"/>
      <scheme val="minor"/>
    </font>
    <font>
      <i/>
      <sz val="8"/>
      <name val="Calibri"/>
      <family val="2"/>
      <charset val="238"/>
      <scheme val="minor"/>
    </font>
    <font>
      <sz val="9"/>
      <color theme="1"/>
      <name val="Calibri "/>
      <charset val="238"/>
    </font>
    <font>
      <i/>
      <sz val="8"/>
      <color indexed="8"/>
      <name val="Calibri"/>
      <family val="2"/>
      <charset val="238"/>
      <scheme val="minor"/>
    </font>
    <font>
      <sz val="9"/>
      <name val="Arial CE"/>
      <family val="2"/>
      <charset val="238"/>
    </font>
    <font>
      <sz val="9"/>
      <name val="Arial CE"/>
      <charset val="238"/>
    </font>
    <font>
      <i/>
      <u/>
      <sz val="8"/>
      <name val="Arial"/>
      <family val="2"/>
      <charset val="238"/>
    </font>
    <font>
      <sz val="8"/>
      <color theme="1"/>
      <name val="Arial"/>
      <family val="2"/>
      <charset val="238"/>
    </font>
    <font>
      <sz val="9"/>
      <color rgb="FF000000"/>
      <name val="Arial"/>
      <family val="2"/>
    </font>
    <font>
      <sz val="9"/>
      <color indexed="10"/>
      <name val="Arial"/>
      <family val="2"/>
    </font>
    <font>
      <i/>
      <sz val="8"/>
      <color theme="1"/>
      <name val="Arial"/>
      <family val="2"/>
      <charset val="238"/>
    </font>
    <font>
      <b/>
      <sz val="9"/>
      <color indexed="12"/>
      <name val="Arial"/>
      <family val="2"/>
      <charset val="238"/>
    </font>
    <font>
      <b/>
      <sz val="11"/>
      <name val="Arial CE"/>
      <family val="2"/>
      <charset val="238"/>
    </font>
    <font>
      <strike/>
      <sz val="9"/>
      <name val="Arial"/>
      <family val="2"/>
      <charset val="238"/>
    </font>
    <font>
      <u/>
      <sz val="9"/>
      <name val="Arial"/>
      <family val="2"/>
    </font>
    <font>
      <sz val="10"/>
      <color rgb="FFFF0000"/>
      <name val="Arial CE"/>
      <charset val="238"/>
    </font>
    <font>
      <sz val="9"/>
      <color theme="9"/>
      <name val="Arial"/>
      <family val="2"/>
      <charset val="238"/>
    </font>
    <font>
      <sz val="10"/>
      <color theme="9"/>
      <name val="Arial"/>
      <family val="2"/>
    </font>
    <font>
      <sz val="10"/>
      <color theme="9"/>
      <name val="Arial CE"/>
      <charset val="238"/>
    </font>
    <font>
      <sz val="9"/>
      <color theme="1"/>
      <name val="Calibri"/>
      <family val="2"/>
      <charset val="238"/>
    </font>
    <font>
      <b/>
      <sz val="10"/>
      <color theme="1"/>
      <name val="Arial"/>
      <family val="2"/>
    </font>
    <font>
      <sz val="10"/>
      <color rgb="FF92D050"/>
      <name val="Arial"/>
      <family val="2"/>
    </font>
    <font>
      <sz val="9"/>
      <color rgb="FF92D050"/>
      <name val="Arial"/>
      <family val="2"/>
      <charset val="238"/>
    </font>
    <font>
      <sz val="11"/>
      <name val="Arial"/>
      <family val="2"/>
    </font>
    <font>
      <sz val="14"/>
      <name val="Arial"/>
      <family val="2"/>
    </font>
    <font>
      <sz val="9"/>
      <color rgb="FFFF0000"/>
      <name val="Arial"/>
      <family val="2"/>
    </font>
    <font>
      <i/>
      <sz val="9"/>
      <color indexed="8"/>
      <name val="Arial"/>
      <family val="2"/>
      <charset val="238"/>
    </font>
    <font>
      <b/>
      <sz val="10"/>
      <color rgb="FFFF0000"/>
      <name val="Arial"/>
      <family val="2"/>
      <charset val="238"/>
    </font>
    <font>
      <b/>
      <sz val="10"/>
      <color rgb="FF92D050"/>
      <name val="Arial"/>
      <family val="2"/>
      <charset val="238"/>
    </font>
    <font>
      <b/>
      <sz val="9"/>
      <color theme="1"/>
      <name val="Arial"/>
      <family val="2"/>
      <charset val="238"/>
    </font>
    <font>
      <i/>
      <sz val="9"/>
      <name val="Arial"/>
      <family val="2"/>
    </font>
    <font>
      <sz val="10"/>
      <color rgb="FFFF0000"/>
      <name val="Arial"/>
      <family val="2"/>
      <charset val="238"/>
    </font>
    <font>
      <b/>
      <sz val="10"/>
      <color rgb="FFFF0000"/>
      <name val="Arial CE"/>
      <charset val="238"/>
    </font>
    <font>
      <b/>
      <sz val="10"/>
      <color rgb="FF92D050"/>
      <name val="Arial CE"/>
      <charset val="238"/>
    </font>
    <font>
      <b/>
      <sz val="9"/>
      <name val="Arial"/>
      <family val="2"/>
    </font>
    <font>
      <sz val="8"/>
      <name val="Calibri"/>
      <family val="2"/>
      <scheme val="minor"/>
    </font>
    <font>
      <sz val="9.9"/>
      <color indexed="8"/>
      <name val="Arial"/>
      <family val="2"/>
      <charset val="238"/>
    </font>
    <font>
      <sz val="9.9"/>
      <color indexed="8"/>
      <name val="Calibri"/>
      <family val="2"/>
      <charset val="238"/>
    </font>
    <font>
      <sz val="9.9"/>
      <name val="Arial"/>
      <family val="2"/>
      <charset val="238"/>
    </font>
    <font>
      <sz val="11"/>
      <color rgb="FF000000"/>
      <name val="Times New Roman CE"/>
      <charset val="238"/>
    </font>
    <font>
      <sz val="10"/>
      <color rgb="FF000000"/>
      <name val="Calibri"/>
      <family val="2"/>
      <charset val="238"/>
    </font>
    <font>
      <sz val="9"/>
      <color rgb="FF000000"/>
      <name val="Calibri"/>
      <family val="2"/>
      <charset val="238"/>
    </font>
    <font>
      <b/>
      <sz val="9"/>
      <color rgb="FF000000"/>
      <name val="Arial"/>
      <family val="2"/>
      <charset val="238"/>
    </font>
    <font>
      <sz val="9.9"/>
      <name val="Calibri"/>
      <family val="2"/>
      <charset val="238"/>
    </font>
    <font>
      <b/>
      <sz val="10"/>
      <color rgb="FF000000"/>
      <name val="Calibri"/>
      <family val="2"/>
      <charset val="238"/>
    </font>
  </fonts>
  <fills count="37">
    <fill>
      <patternFill patternType="none"/>
    </fill>
    <fill>
      <patternFill patternType="gray125"/>
    </fill>
    <fill>
      <patternFill patternType="solid">
        <fgColor rgb="FFC6EFCE"/>
      </patternFill>
    </fill>
    <fill>
      <patternFill patternType="solid">
        <fgColor rgb="FFFFCC99"/>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26"/>
        <bgColor indexed="64"/>
      </patternFill>
    </fill>
    <fill>
      <patternFill patternType="solid">
        <fgColor indexed="11"/>
        <bgColor indexed="64"/>
      </patternFill>
    </fill>
    <fill>
      <patternFill patternType="solid">
        <fgColor indexed="9"/>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CCCCFF"/>
        <bgColor indexed="64"/>
      </patternFill>
    </fill>
    <fill>
      <patternFill patternType="solid">
        <fgColor rgb="FFFFFF99"/>
        <bgColor indexed="64"/>
      </patternFill>
    </fill>
    <fill>
      <patternFill patternType="solid">
        <fgColor them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5" tint="0.59999389629810485"/>
        <bgColor indexed="64"/>
      </patternFill>
    </fill>
  </fills>
  <borders count="36">
    <border>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s>
  <cellStyleXfs count="50">
    <xf numFmtId="0" fontId="0" fillId="0" borderId="0"/>
    <xf numFmtId="0" fontId="1" fillId="0" borderId="0"/>
    <xf numFmtId="0" fontId="11" fillId="0" borderId="0"/>
    <xf numFmtId="0" fontId="3" fillId="0" borderId="0"/>
    <xf numFmtId="164" fontId="11" fillId="0" borderId="0" applyFont="0" applyFill="0" applyBorder="0" applyAlignment="0" applyProtection="0"/>
    <xf numFmtId="164" fontId="3" fillId="0" borderId="0" applyFont="0" applyFill="0" applyBorder="0" applyAlignment="0" applyProtection="0"/>
    <xf numFmtId="0" fontId="16" fillId="0" borderId="0"/>
    <xf numFmtId="0" fontId="19" fillId="0" borderId="0"/>
    <xf numFmtId="0" fontId="21" fillId="0" borderId="0"/>
    <xf numFmtId="0" fontId="19" fillId="0" borderId="0"/>
    <xf numFmtId="0" fontId="28" fillId="0" borderId="0"/>
    <xf numFmtId="0" fontId="3" fillId="0" borderId="0"/>
    <xf numFmtId="0" fontId="3" fillId="0" borderId="0"/>
    <xf numFmtId="167" fontId="1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9" fillId="0" borderId="0"/>
    <xf numFmtId="164" fontId="3" fillId="0" borderId="0" applyFont="0" applyFill="0" applyBorder="0" applyAlignment="0" applyProtection="0"/>
    <xf numFmtId="0" fontId="46" fillId="0" borderId="2" applyNumberFormat="0" applyFill="0" applyAlignment="0" applyProtection="0"/>
    <xf numFmtId="0" fontId="47" fillId="0" borderId="0">
      <alignment horizontal="left" vertical="top" wrapText="1" readingOrder="1"/>
    </xf>
    <xf numFmtId="0" fontId="49" fillId="0" borderId="0"/>
    <xf numFmtId="164" fontId="3" fillId="0" borderId="0" applyFont="0" applyFill="0" applyBorder="0" applyAlignment="0" applyProtection="0"/>
    <xf numFmtId="0" fontId="63" fillId="0" borderId="0"/>
    <xf numFmtId="0" fontId="11" fillId="0" borderId="0"/>
    <xf numFmtId="0" fontId="72" fillId="3" borderId="1" applyNumberFormat="0" applyAlignment="0" applyProtection="0"/>
    <xf numFmtId="0" fontId="75" fillId="2" borderId="0" applyNumberFormat="0" applyBorder="0" applyAlignment="0" applyProtection="0"/>
    <xf numFmtId="0" fontId="3" fillId="0" borderId="0"/>
    <xf numFmtId="0" fontId="36" fillId="0" borderId="0"/>
    <xf numFmtId="9" fontId="3" fillId="0" borderId="0" applyFont="0" applyFill="0" applyBorder="0" applyAlignment="0" applyProtection="0"/>
    <xf numFmtId="0" fontId="12" fillId="0" borderId="0"/>
    <xf numFmtId="175" fontId="19" fillId="0" borderId="0" applyFont="0" applyFill="0" applyBorder="0" applyAlignment="0" applyProtection="0"/>
    <xf numFmtId="0" fontId="84" fillId="0" borderId="0"/>
    <xf numFmtId="3" fontId="88" fillId="0" borderId="0" applyFont="0" applyAlignment="0">
      <alignment horizontal="right"/>
      <protection locked="0"/>
    </xf>
    <xf numFmtId="1" fontId="90" fillId="0" borderId="0"/>
    <xf numFmtId="1" fontId="3" fillId="0" borderId="0"/>
    <xf numFmtId="0" fontId="81" fillId="0" borderId="0"/>
    <xf numFmtId="176" fontId="21" fillId="0" borderId="0" applyFill="0" applyBorder="0" applyAlignment="0" applyProtection="0"/>
    <xf numFmtId="0" fontId="19" fillId="0" borderId="0"/>
    <xf numFmtId="0" fontId="1" fillId="0" borderId="0"/>
    <xf numFmtId="167" fontId="19" fillId="0" borderId="0" applyFont="0" applyFill="0" applyBorder="0" applyAlignment="0" applyProtection="0"/>
    <xf numFmtId="44" fontId="3" fillId="0" borderId="0" applyFont="0" applyFill="0" applyBorder="0" applyAlignment="0" applyProtection="0"/>
    <xf numFmtId="0" fontId="108" fillId="0" borderId="0">
      <alignment horizontal="left" vertical="top" wrapText="1" readingOrder="1"/>
    </xf>
    <xf numFmtId="0" fontId="63" fillId="0" borderId="0"/>
    <xf numFmtId="0" fontId="3" fillId="0" borderId="0"/>
    <xf numFmtId="0" fontId="3" fillId="0" borderId="0"/>
    <xf numFmtId="0" fontId="135" fillId="0" borderId="0" applyNumberFormat="0" applyBorder="0" applyProtection="0"/>
    <xf numFmtId="164" fontId="3" fillId="0" borderId="0" applyFont="0" applyFill="0" applyBorder="0" applyAlignment="0" applyProtection="0"/>
    <xf numFmtId="0" fontId="11" fillId="0" borderId="0"/>
    <xf numFmtId="0" fontId="3" fillId="0" borderId="0"/>
  </cellStyleXfs>
  <cellXfs count="2609">
    <xf numFmtId="0" fontId="0" fillId="0" borderId="0" xfId="0"/>
    <xf numFmtId="0" fontId="12" fillId="0" borderId="0" xfId="2" applyFont="1"/>
    <xf numFmtId="0" fontId="12" fillId="4" borderId="4" xfId="2" applyFont="1" applyFill="1" applyBorder="1" applyAlignment="1">
      <alignment horizontal="center" vertical="top"/>
    </xf>
    <xf numFmtId="0" fontId="6" fillId="4" borderId="5" xfId="3" applyFont="1" applyFill="1" applyBorder="1" applyAlignment="1">
      <alignment horizontal="left" vertical="center"/>
    </xf>
    <xf numFmtId="0" fontId="13" fillId="4" borderId="5" xfId="2" applyFont="1" applyFill="1" applyBorder="1" applyAlignment="1">
      <alignment vertical="center"/>
    </xf>
    <xf numFmtId="165" fontId="13" fillId="4" borderId="5" xfId="4" applyNumberFormat="1" applyFont="1" applyFill="1" applyBorder="1" applyAlignment="1">
      <alignment vertical="center"/>
    </xf>
    <xf numFmtId="4" fontId="13" fillId="4" borderId="5" xfId="4" applyNumberFormat="1" applyFont="1" applyFill="1" applyBorder="1" applyAlignment="1" applyProtection="1">
      <alignment vertical="center"/>
      <protection locked="0"/>
    </xf>
    <xf numFmtId="4" fontId="3" fillId="4" borderId="6" xfId="4" applyNumberFormat="1" applyFont="1" applyFill="1" applyBorder="1" applyAlignment="1">
      <alignment horizontal="right" vertical="center"/>
    </xf>
    <xf numFmtId="164" fontId="12" fillId="0" borderId="0" xfId="5" applyFont="1" applyAlignment="1"/>
    <xf numFmtId="0" fontId="8" fillId="0" borderId="0" xfId="3" applyFont="1"/>
    <xf numFmtId="0" fontId="3" fillId="5" borderId="7" xfId="3" applyFill="1" applyBorder="1"/>
    <xf numFmtId="0" fontId="13" fillId="5" borderId="8" xfId="3" applyFont="1" applyFill="1" applyBorder="1"/>
    <xf numFmtId="0" fontId="13" fillId="5" borderId="8" xfId="3" applyFont="1" applyFill="1" applyBorder="1" applyAlignment="1">
      <alignment vertical="center"/>
    </xf>
    <xf numFmtId="0" fontId="13" fillId="5" borderId="9" xfId="3" applyFont="1" applyFill="1" applyBorder="1" applyAlignment="1">
      <alignment vertical="center"/>
    </xf>
    <xf numFmtId="0" fontId="3" fillId="0" borderId="0" xfId="3"/>
    <xf numFmtId="0" fontId="6" fillId="0" borderId="0" xfId="3" applyFont="1"/>
    <xf numFmtId="0" fontId="4" fillId="5" borderId="10" xfId="3" applyFont="1" applyFill="1" applyBorder="1"/>
    <xf numFmtId="0" fontId="13" fillId="5" borderId="3" xfId="3" applyFont="1" applyFill="1" applyBorder="1"/>
    <xf numFmtId="0" fontId="13" fillId="5" borderId="11" xfId="3" applyFont="1" applyFill="1" applyBorder="1" applyAlignment="1">
      <alignment vertical="center"/>
    </xf>
    <xf numFmtId="0" fontId="13" fillId="5" borderId="3" xfId="3" applyFont="1" applyFill="1" applyBorder="1" applyAlignment="1">
      <alignment vertical="center"/>
    </xf>
    <xf numFmtId="0" fontId="10" fillId="0" borderId="0" xfId="3" applyFont="1"/>
    <xf numFmtId="49" fontId="4" fillId="0" borderId="12" xfId="3" applyNumberFormat="1" applyFont="1" applyBorder="1" applyAlignment="1">
      <alignment horizontal="left" vertical="center"/>
    </xf>
    <xf numFmtId="0" fontId="14" fillId="0" borderId="10" xfId="3" applyFont="1" applyBorder="1" applyAlignment="1">
      <alignment horizontal="left" vertical="center"/>
    </xf>
    <xf numFmtId="0" fontId="13" fillId="0" borderId="3" xfId="3" applyFont="1" applyBorder="1" applyAlignment="1">
      <alignment horizontal="left" vertical="center"/>
    </xf>
    <xf numFmtId="165" fontId="13" fillId="0" borderId="11" xfId="3" applyNumberFormat="1" applyFont="1" applyBorder="1" applyAlignment="1">
      <alignment horizontal="left" vertical="center"/>
    </xf>
    <xf numFmtId="4" fontId="13" fillId="0" borderId="12" xfId="3" applyNumberFormat="1" applyFont="1" applyBorder="1" applyAlignment="1" applyProtection="1">
      <alignment horizontal="left" vertical="center"/>
      <protection locked="0"/>
    </xf>
    <xf numFmtId="4" fontId="13" fillId="0" borderId="12" xfId="3" applyNumberFormat="1" applyFont="1" applyBorder="1" applyAlignment="1">
      <alignment horizontal="left" vertical="center"/>
    </xf>
    <xf numFmtId="164" fontId="10" fillId="0" borderId="0" xfId="5" applyFont="1" applyFill="1" applyAlignment="1">
      <alignment horizontal="right"/>
    </xf>
    <xf numFmtId="0" fontId="10" fillId="0" borderId="0" xfId="3" applyFont="1" applyAlignment="1">
      <alignment horizontal="right"/>
    </xf>
    <xf numFmtId="49" fontId="4" fillId="6" borderId="13" xfId="3" applyNumberFormat="1" applyFont="1" applyFill="1" applyBorder="1" applyAlignment="1">
      <alignment horizontal="left" vertical="center"/>
    </xf>
    <xf numFmtId="0" fontId="13" fillId="6" borderId="5" xfId="3" applyFont="1" applyFill="1" applyBorder="1" applyAlignment="1">
      <alignment horizontal="center" vertical="center" wrapText="1"/>
    </xf>
    <xf numFmtId="165" fontId="13" fillId="6" borderId="5" xfId="3" applyNumberFormat="1" applyFont="1" applyFill="1" applyBorder="1" applyAlignment="1">
      <alignment horizontal="center" vertical="center" wrapText="1"/>
    </xf>
    <xf numFmtId="4" fontId="14" fillId="6" borderId="6" xfId="3" applyNumberFormat="1" applyFont="1" applyFill="1" applyBorder="1" applyAlignment="1" applyProtection="1">
      <alignment horizontal="center" vertical="center"/>
      <protection locked="0"/>
    </xf>
    <xf numFmtId="4" fontId="13" fillId="6" borderId="13" xfId="3" applyNumberFormat="1" applyFont="1" applyFill="1" applyBorder="1" applyAlignment="1">
      <alignment horizontal="left" vertical="center"/>
    </xf>
    <xf numFmtId="49" fontId="4" fillId="6" borderId="13" xfId="3" applyNumberFormat="1" applyFont="1" applyFill="1" applyBorder="1" applyAlignment="1">
      <alignment horizontal="center" vertical="center"/>
    </xf>
    <xf numFmtId="0" fontId="14" fillId="6" borderId="4" xfId="3" applyFont="1" applyFill="1" applyBorder="1" applyAlignment="1">
      <alignment horizontal="left" vertical="center" wrapText="1"/>
    </xf>
    <xf numFmtId="4" fontId="14" fillId="6" borderId="13" xfId="3" applyNumberFormat="1" applyFont="1" applyFill="1" applyBorder="1" applyAlignment="1">
      <alignment horizontal="center" vertical="center"/>
    </xf>
    <xf numFmtId="164" fontId="0" fillId="0" borderId="0" xfId="5" applyFont="1" applyAlignment="1"/>
    <xf numFmtId="49" fontId="3" fillId="7" borderId="4" xfId="3" quotePrefix="1" applyNumberFormat="1" applyFill="1" applyBorder="1" applyAlignment="1">
      <alignment horizontal="center" vertical="center"/>
    </xf>
    <xf numFmtId="0" fontId="13" fillId="7" borderId="4" xfId="3" applyFont="1" applyFill="1" applyBorder="1" applyAlignment="1">
      <alignment vertical="center" wrapText="1"/>
    </xf>
    <xf numFmtId="0" fontId="13" fillId="7" borderId="5" xfId="3" applyFont="1" applyFill="1" applyBorder="1" applyAlignment="1">
      <alignment vertical="center" wrapText="1"/>
    </xf>
    <xf numFmtId="165" fontId="13" fillId="7" borderId="5" xfId="3" applyNumberFormat="1" applyFont="1" applyFill="1" applyBorder="1" applyAlignment="1">
      <alignment vertical="center" wrapText="1"/>
    </xf>
    <xf numFmtId="4" fontId="14" fillId="7" borderId="6" xfId="3" applyNumberFormat="1" applyFont="1" applyFill="1" applyBorder="1" applyAlignment="1" applyProtection="1">
      <alignment horizontal="right" vertical="center"/>
      <protection locked="0"/>
    </xf>
    <xf numFmtId="164" fontId="14" fillId="7" borderId="6" xfId="5" applyFont="1" applyFill="1" applyBorder="1" applyAlignment="1" applyProtection="1">
      <alignment horizontal="right" vertical="center"/>
    </xf>
    <xf numFmtId="164" fontId="3" fillId="0" borderId="0" xfId="5" applyFont="1" applyAlignment="1"/>
    <xf numFmtId="49" fontId="4" fillId="8" borderId="13" xfId="3" quotePrefix="1" applyNumberFormat="1" applyFont="1" applyFill="1" applyBorder="1" applyAlignment="1">
      <alignment horizontal="left" vertical="center"/>
    </xf>
    <xf numFmtId="0" fontId="14" fillId="8" borderId="4" xfId="3" applyFont="1" applyFill="1" applyBorder="1" applyAlignment="1">
      <alignment horizontal="left" vertical="center" wrapText="1"/>
    </xf>
    <xf numFmtId="0" fontId="13" fillId="8" borderId="5" xfId="3" applyFont="1" applyFill="1" applyBorder="1" applyAlignment="1">
      <alignment horizontal="center" vertical="center" wrapText="1"/>
    </xf>
    <xf numFmtId="165" fontId="13" fillId="8" borderId="5" xfId="3" applyNumberFormat="1" applyFont="1" applyFill="1" applyBorder="1" applyAlignment="1">
      <alignment horizontal="center" vertical="center" wrapText="1"/>
    </xf>
    <xf numFmtId="4" fontId="14" fillId="8" borderId="6" xfId="3" applyNumberFormat="1" applyFont="1" applyFill="1" applyBorder="1" applyAlignment="1" applyProtection="1">
      <alignment horizontal="center" vertical="center"/>
      <protection locked="0"/>
    </xf>
    <xf numFmtId="164" fontId="14" fillId="8" borderId="13" xfId="5" applyFont="1" applyFill="1" applyBorder="1" applyAlignment="1" applyProtection="1">
      <alignment horizontal="right" vertical="center"/>
    </xf>
    <xf numFmtId="49" fontId="4" fillId="7" borderId="4" xfId="3" quotePrefix="1" applyNumberFormat="1" applyFont="1" applyFill="1" applyBorder="1" applyAlignment="1">
      <alignment horizontal="center" vertical="center"/>
    </xf>
    <xf numFmtId="0" fontId="14" fillId="7" borderId="4" xfId="3" applyFont="1" applyFill="1" applyBorder="1" applyAlignment="1">
      <alignment vertical="center" wrapText="1"/>
    </xf>
    <xf numFmtId="165" fontId="13" fillId="7" borderId="6" xfId="3" applyNumberFormat="1" applyFont="1" applyFill="1" applyBorder="1" applyAlignment="1">
      <alignment vertical="center" wrapText="1"/>
    </xf>
    <xf numFmtId="9" fontId="14" fillId="7" borderId="6" xfId="3" applyNumberFormat="1" applyFont="1" applyFill="1" applyBorder="1" applyAlignment="1" applyProtection="1">
      <alignment horizontal="center" vertical="center"/>
      <protection locked="0"/>
    </xf>
    <xf numFmtId="0" fontId="14" fillId="7" borderId="4" xfId="3" applyFont="1" applyFill="1" applyBorder="1" applyAlignment="1">
      <alignment horizontal="left" vertical="center" wrapText="1"/>
    </xf>
    <xf numFmtId="0" fontId="14" fillId="7" borderId="5" xfId="3" applyFont="1" applyFill="1" applyBorder="1" applyAlignment="1">
      <alignment horizontal="left" vertical="center" wrapText="1"/>
    </xf>
    <xf numFmtId="0" fontId="14" fillId="7" borderId="6" xfId="3" applyFont="1" applyFill="1" applyBorder="1" applyAlignment="1">
      <alignment horizontal="left" vertical="center" wrapText="1"/>
    </xf>
    <xf numFmtId="10" fontId="14" fillId="7" borderId="6" xfId="3" applyNumberFormat="1" applyFont="1" applyFill="1" applyBorder="1" applyAlignment="1" applyProtection="1">
      <alignment horizontal="center" vertical="center"/>
      <protection locked="0"/>
    </xf>
    <xf numFmtId="49" fontId="4" fillId="8" borderId="4" xfId="3" quotePrefix="1" applyNumberFormat="1" applyFont="1" applyFill="1" applyBorder="1" applyAlignment="1">
      <alignment horizontal="center" vertical="center"/>
    </xf>
    <xf numFmtId="164" fontId="14" fillId="8" borderId="6" xfId="5" applyFont="1" applyFill="1" applyBorder="1" applyAlignment="1" applyProtection="1">
      <alignment horizontal="right" vertical="center"/>
    </xf>
    <xf numFmtId="0" fontId="15" fillId="0" borderId="0" xfId="2" applyFont="1" applyAlignment="1">
      <alignment horizontal="center"/>
    </xf>
    <xf numFmtId="0" fontId="14" fillId="0" borderId="0" xfId="2" applyFont="1" applyAlignment="1">
      <alignment wrapText="1"/>
    </xf>
    <xf numFmtId="0" fontId="14" fillId="0" borderId="0" xfId="2" applyFont="1" applyAlignment="1">
      <alignment horizontal="center" vertical="center"/>
    </xf>
    <xf numFmtId="165" fontId="14" fillId="0" borderId="0" xfId="4" applyNumberFormat="1" applyFont="1" applyFill="1" applyAlignment="1">
      <alignment horizontal="right" vertical="center"/>
    </xf>
    <xf numFmtId="4" fontId="14" fillId="0" borderId="0" xfId="4" applyNumberFormat="1" applyFont="1" applyFill="1" applyAlignment="1" applyProtection="1">
      <alignment horizontal="right" vertical="center"/>
      <protection locked="0"/>
    </xf>
    <xf numFmtId="4" fontId="13" fillId="0" borderId="0" xfId="4" applyNumberFormat="1" applyFont="1" applyFill="1" applyAlignment="1">
      <alignment vertical="center"/>
    </xf>
    <xf numFmtId="0" fontId="12" fillId="0" borderId="0" xfId="2" applyFont="1" applyAlignment="1">
      <alignment horizontal="center" vertical="top"/>
    </xf>
    <xf numFmtId="0" fontId="13" fillId="0" borderId="0" xfId="2" applyFont="1" applyAlignment="1">
      <alignment vertical="top" wrapText="1"/>
    </xf>
    <xf numFmtId="0" fontId="13" fillId="0" borderId="0" xfId="2" applyFont="1" applyAlignment="1">
      <alignment vertical="center"/>
    </xf>
    <xf numFmtId="165" fontId="13" fillId="0" borderId="0" xfId="4" applyNumberFormat="1" applyFont="1" applyFill="1" applyAlignment="1">
      <alignment vertical="center"/>
    </xf>
    <xf numFmtId="4" fontId="13" fillId="0" borderId="0" xfId="4" applyNumberFormat="1" applyFont="1" applyFill="1" applyAlignment="1" applyProtection="1">
      <alignment vertical="center"/>
      <protection locked="0"/>
    </xf>
    <xf numFmtId="0" fontId="14" fillId="4" borderId="5" xfId="6" applyFont="1" applyFill="1" applyBorder="1" applyAlignment="1">
      <alignment horizontal="left"/>
    </xf>
    <xf numFmtId="0" fontId="16" fillId="0" borderId="0" xfId="6"/>
    <xf numFmtId="49" fontId="4" fillId="4" borderId="4" xfId="6" applyNumberFormat="1" applyFont="1" applyFill="1" applyBorder="1" applyAlignment="1">
      <alignment horizontal="left" vertical="center"/>
    </xf>
    <xf numFmtId="0" fontId="14" fillId="4" borderId="5" xfId="6" applyFont="1" applyFill="1" applyBorder="1" applyAlignment="1">
      <alignment horizontal="left" vertical="center"/>
    </xf>
    <xf numFmtId="0" fontId="13" fillId="4" borderId="5" xfId="6" applyFont="1" applyFill="1" applyBorder="1" applyAlignment="1">
      <alignment horizontal="left" vertical="center"/>
    </xf>
    <xf numFmtId="165" fontId="13" fillId="4" borderId="5" xfId="6" applyNumberFormat="1" applyFont="1" applyFill="1" applyBorder="1" applyAlignment="1">
      <alignment horizontal="left" vertical="center"/>
    </xf>
    <xf numFmtId="4" fontId="13" fillId="4" borderId="5" xfId="6" applyNumberFormat="1" applyFont="1" applyFill="1" applyBorder="1" applyAlignment="1" applyProtection="1">
      <alignment horizontal="left" vertical="center"/>
      <protection locked="0"/>
    </xf>
    <xf numFmtId="4" fontId="13" fillId="4" borderId="6" xfId="6" applyNumberFormat="1" applyFont="1" applyFill="1" applyBorder="1" applyAlignment="1">
      <alignment horizontal="left" vertical="center"/>
    </xf>
    <xf numFmtId="49" fontId="4" fillId="0" borderId="0" xfId="6" applyNumberFormat="1" applyFont="1" applyAlignment="1">
      <alignment horizontal="left" vertical="center"/>
    </xf>
    <xf numFmtId="0" fontId="14" fillId="0" borderId="0" xfId="6" applyFont="1" applyAlignment="1">
      <alignment horizontal="left" vertical="center"/>
    </xf>
    <xf numFmtId="0" fontId="13" fillId="0" borderId="0" xfId="6" applyFont="1" applyAlignment="1">
      <alignment horizontal="left" vertical="center"/>
    </xf>
    <xf numFmtId="165" fontId="13" fillId="0" borderId="0" xfId="6" applyNumberFormat="1" applyFont="1" applyAlignment="1">
      <alignment horizontal="left" vertical="center"/>
    </xf>
    <xf numFmtId="4" fontId="13" fillId="0" borderId="0" xfId="6" applyNumberFormat="1" applyFont="1" applyAlignment="1" applyProtection="1">
      <alignment horizontal="left" vertical="center"/>
      <protection locked="0"/>
    </xf>
    <xf numFmtId="4" fontId="13" fillId="0" borderId="0" xfId="6" applyNumberFormat="1" applyFont="1" applyAlignment="1">
      <alignment horizontal="left" vertical="center"/>
    </xf>
    <xf numFmtId="0" fontId="10" fillId="0" borderId="0" xfId="6" applyFont="1"/>
    <xf numFmtId="0" fontId="10" fillId="0" borderId="0" xfId="6" applyFont="1" applyAlignment="1">
      <alignment horizontal="right"/>
    </xf>
    <xf numFmtId="4" fontId="13" fillId="0" borderId="14" xfId="6" applyNumberFormat="1" applyFont="1" applyBorder="1" applyAlignment="1">
      <alignment horizontal="left" vertical="center"/>
    </xf>
    <xf numFmtId="49" fontId="4" fillId="0" borderId="12" xfId="6" applyNumberFormat="1" applyFont="1" applyBorder="1" applyAlignment="1">
      <alignment horizontal="left" vertical="center"/>
    </xf>
    <xf numFmtId="0" fontId="14" fillId="0" borderId="10" xfId="6" applyFont="1" applyBorder="1" applyAlignment="1">
      <alignment horizontal="left" vertical="center"/>
    </xf>
    <xf numFmtId="0" fontId="13" fillId="0" borderId="3" xfId="6" applyFont="1" applyBorder="1" applyAlignment="1">
      <alignment horizontal="left" vertical="center"/>
    </xf>
    <xf numFmtId="165" fontId="13" fillId="0" borderId="11" xfId="6" applyNumberFormat="1" applyFont="1" applyBorder="1" applyAlignment="1">
      <alignment horizontal="left" vertical="center"/>
    </xf>
    <xf numFmtId="4" fontId="13" fillId="0" borderId="12" xfId="6" applyNumberFormat="1" applyFont="1" applyBorder="1" applyAlignment="1" applyProtection="1">
      <alignment horizontal="left" vertical="center"/>
      <protection locked="0"/>
    </xf>
    <xf numFmtId="4" fontId="13" fillId="0" borderId="12" xfId="6" applyNumberFormat="1" applyFont="1" applyBorder="1" applyAlignment="1">
      <alignment horizontal="left" vertical="center"/>
    </xf>
    <xf numFmtId="49" fontId="4" fillId="7" borderId="13" xfId="6" applyNumberFormat="1" applyFont="1" applyFill="1" applyBorder="1" applyAlignment="1">
      <alignment horizontal="left" vertical="center"/>
    </xf>
    <xf numFmtId="0" fontId="14" fillId="7" borderId="4" xfId="6" applyFont="1" applyFill="1" applyBorder="1" applyAlignment="1">
      <alignment horizontal="left" vertical="center"/>
    </xf>
    <xf numFmtId="0" fontId="13" fillId="7" borderId="5" xfId="6" applyFont="1" applyFill="1" applyBorder="1" applyAlignment="1">
      <alignment horizontal="left" vertical="center"/>
    </xf>
    <xf numFmtId="165" fontId="13" fillId="7" borderId="6" xfId="6" applyNumberFormat="1" applyFont="1" applyFill="1" applyBorder="1" applyAlignment="1">
      <alignment horizontal="left" vertical="center"/>
    </xf>
    <xf numFmtId="4" fontId="13" fillId="7" borderId="13" xfId="6" applyNumberFormat="1" applyFont="1" applyFill="1" applyBorder="1" applyAlignment="1" applyProtection="1">
      <alignment horizontal="left" vertical="center"/>
      <protection locked="0"/>
    </xf>
    <xf numFmtId="4" fontId="13" fillId="7" borderId="13" xfId="6" applyNumberFormat="1" applyFont="1" applyFill="1" applyBorder="1" applyAlignment="1">
      <alignment horizontal="left" vertical="center"/>
    </xf>
    <xf numFmtId="0" fontId="3" fillId="0" borderId="0" xfId="6" applyFont="1"/>
    <xf numFmtId="0" fontId="14" fillId="7" borderId="4" xfId="6" applyFont="1" applyFill="1" applyBorder="1" applyAlignment="1">
      <alignment horizontal="center" vertical="center"/>
    </xf>
    <xf numFmtId="0" fontId="13" fillId="7" borderId="5" xfId="6" applyFont="1" applyFill="1" applyBorder="1" applyAlignment="1">
      <alignment vertical="center"/>
    </xf>
    <xf numFmtId="165" fontId="13" fillId="7" borderId="6" xfId="6" applyNumberFormat="1" applyFont="1" applyFill="1" applyBorder="1" applyAlignment="1">
      <alignment vertical="center"/>
    </xf>
    <xf numFmtId="4" fontId="14" fillId="7" borderId="13" xfId="6" applyNumberFormat="1" applyFont="1" applyFill="1" applyBorder="1" applyAlignment="1" applyProtection="1">
      <alignment horizontal="center" vertical="center"/>
      <protection locked="0"/>
    </xf>
    <xf numFmtId="4" fontId="14" fillId="7" borderId="13" xfId="6" applyNumberFormat="1" applyFont="1" applyFill="1" applyBorder="1" applyAlignment="1">
      <alignment horizontal="center" vertical="center"/>
    </xf>
    <xf numFmtId="49" fontId="4" fillId="7" borderId="13" xfId="6" quotePrefix="1" applyNumberFormat="1" applyFont="1" applyFill="1" applyBorder="1" applyAlignment="1">
      <alignment horizontal="left"/>
    </xf>
    <xf numFmtId="0" fontId="14" fillId="7" borderId="13" xfId="6" applyFont="1" applyFill="1" applyBorder="1" applyAlignment="1">
      <alignment wrapText="1"/>
    </xf>
    <xf numFmtId="0" fontId="13" fillId="7" borderId="13" xfId="6" applyFont="1" applyFill="1" applyBorder="1" applyAlignment="1">
      <alignment vertical="center" wrapText="1"/>
    </xf>
    <xf numFmtId="165" fontId="13" fillId="7" borderId="13" xfId="6" applyNumberFormat="1" applyFont="1" applyFill="1" applyBorder="1" applyAlignment="1">
      <alignment vertical="center" wrapText="1"/>
    </xf>
    <xf numFmtId="4" fontId="14" fillId="7" borderId="13" xfId="6" applyNumberFormat="1" applyFont="1" applyFill="1" applyBorder="1" applyAlignment="1" applyProtection="1">
      <alignment horizontal="right" vertical="center"/>
      <protection locked="0"/>
    </xf>
    <xf numFmtId="164" fontId="14" fillId="7" borderId="13" xfId="5" applyFont="1" applyFill="1" applyBorder="1" applyAlignment="1" applyProtection="1">
      <alignment horizontal="right" vertical="center"/>
    </xf>
    <xf numFmtId="49" fontId="4" fillId="8" borderId="13" xfId="6" quotePrefix="1" applyNumberFormat="1" applyFont="1" applyFill="1" applyBorder="1" applyAlignment="1">
      <alignment horizontal="left"/>
    </xf>
    <xf numFmtId="0" fontId="14" fillId="8" borderId="13" xfId="6" applyFont="1" applyFill="1" applyBorder="1"/>
    <xf numFmtId="0" fontId="13" fillId="8" borderId="13" xfId="6" applyFont="1" applyFill="1" applyBorder="1" applyAlignment="1">
      <alignment vertical="center"/>
    </xf>
    <xf numFmtId="165" fontId="13" fillId="8" borderId="13" xfId="6" applyNumberFormat="1" applyFont="1" applyFill="1" applyBorder="1" applyAlignment="1">
      <alignment vertical="center"/>
    </xf>
    <xf numFmtId="4" fontId="14" fillId="8" borderId="4" xfId="6" applyNumberFormat="1" applyFont="1" applyFill="1" applyBorder="1" applyAlignment="1" applyProtection="1">
      <alignment horizontal="right" vertical="center"/>
      <protection locked="0"/>
    </xf>
    <xf numFmtId="4" fontId="13" fillId="0" borderId="0" xfId="4" applyNumberFormat="1" applyFont="1" applyFill="1" applyBorder="1" applyAlignment="1">
      <alignment vertical="center"/>
    </xf>
    <xf numFmtId="0" fontId="15" fillId="8" borderId="13" xfId="2" applyFont="1" applyFill="1" applyBorder="1" applyAlignment="1">
      <alignment horizontal="center" vertical="center" wrapText="1"/>
    </xf>
    <xf numFmtId="0" fontId="14" fillId="8" borderId="13" xfId="2" applyFont="1" applyFill="1" applyBorder="1" applyAlignment="1">
      <alignment horizontal="center" vertical="center" wrapText="1"/>
    </xf>
    <xf numFmtId="0" fontId="14" fillId="8" borderId="13" xfId="2" applyFont="1" applyFill="1" applyBorder="1" applyAlignment="1">
      <alignment horizontal="justify" vertical="center" wrapText="1"/>
    </xf>
    <xf numFmtId="165" fontId="14" fillId="8" borderId="13" xfId="4" applyNumberFormat="1" applyFont="1" applyFill="1" applyBorder="1" applyAlignment="1">
      <alignment vertical="center"/>
    </xf>
    <xf numFmtId="4" fontId="14" fillId="8" borderId="13" xfId="4" applyNumberFormat="1" applyFont="1" applyFill="1" applyBorder="1" applyAlignment="1" applyProtection="1">
      <alignment horizontal="center" vertical="center" wrapText="1"/>
      <protection locked="0"/>
    </xf>
    <xf numFmtId="4" fontId="14" fillId="8" borderId="13" xfId="4" applyNumberFormat="1" applyFont="1" applyFill="1" applyBorder="1" applyAlignment="1">
      <alignment horizontal="center" vertical="center"/>
    </xf>
    <xf numFmtId="0" fontId="12" fillId="0" borderId="13" xfId="2" applyFont="1" applyBorder="1" applyAlignment="1">
      <alignment horizontal="center" vertical="top"/>
    </xf>
    <xf numFmtId="0" fontId="13" fillId="0" borderId="13" xfId="2" applyFont="1" applyBorder="1" applyAlignment="1">
      <alignment vertical="top" wrapText="1"/>
    </xf>
    <xf numFmtId="0" fontId="13" fillId="0" borderId="13" xfId="2" applyFont="1" applyBorder="1" applyAlignment="1">
      <alignment vertical="center"/>
    </xf>
    <xf numFmtId="165" fontId="13" fillId="0" borderId="13" xfId="4" applyNumberFormat="1" applyFont="1" applyFill="1" applyBorder="1" applyAlignment="1">
      <alignment vertical="center"/>
    </xf>
    <xf numFmtId="4" fontId="13" fillId="0" borderId="13" xfId="4" applyNumberFormat="1" applyFont="1" applyFill="1" applyBorder="1" applyAlignment="1" applyProtection="1">
      <alignment vertical="center"/>
      <protection locked="0"/>
    </xf>
    <xf numFmtId="4" fontId="13" fillId="0" borderId="13" xfId="4" applyNumberFormat="1" applyFont="1" applyFill="1" applyBorder="1" applyAlignment="1">
      <alignment vertical="center"/>
    </xf>
    <xf numFmtId="0" fontId="17" fillId="7" borderId="13" xfId="2" applyFont="1" applyFill="1" applyBorder="1" applyAlignment="1">
      <alignment horizontal="center" vertical="top"/>
    </xf>
    <xf numFmtId="0" fontId="9" fillId="7" borderId="13" xfId="2" applyFont="1" applyFill="1" applyBorder="1" applyAlignment="1">
      <alignment vertical="center"/>
    </xf>
    <xf numFmtId="0" fontId="18" fillId="7" borderId="13" xfId="2" applyFont="1" applyFill="1" applyBorder="1" applyAlignment="1">
      <alignment vertical="center"/>
    </xf>
    <xf numFmtId="165" fontId="18" fillId="7" borderId="13" xfId="4" applyNumberFormat="1" applyFont="1" applyFill="1" applyBorder="1" applyAlignment="1">
      <alignment vertical="center"/>
    </xf>
    <xf numFmtId="4" fontId="18" fillId="7" borderId="13" xfId="4" applyNumberFormat="1" applyFont="1" applyFill="1" applyBorder="1" applyAlignment="1" applyProtection="1">
      <alignment vertical="center"/>
      <protection locked="0"/>
    </xf>
    <xf numFmtId="4" fontId="18" fillId="7" borderId="13" xfId="4" applyNumberFormat="1" applyFont="1" applyFill="1" applyBorder="1" applyAlignment="1">
      <alignment vertical="center"/>
    </xf>
    <xf numFmtId="164" fontId="18" fillId="0" borderId="0" xfId="5" applyFont="1" applyAlignment="1"/>
    <xf numFmtId="0" fontId="18" fillId="0" borderId="0" xfId="2" applyFont="1"/>
    <xf numFmtId="0" fontId="13" fillId="0" borderId="13" xfId="2" applyFont="1" applyBorder="1" applyAlignment="1">
      <alignment horizontal="justify" vertical="top" wrapText="1"/>
    </xf>
    <xf numFmtId="0" fontId="13" fillId="0" borderId="13" xfId="2" applyFont="1" applyBorder="1" applyAlignment="1">
      <alignment horizontal="center" vertical="center"/>
    </xf>
    <xf numFmtId="164" fontId="13" fillId="0" borderId="13" xfId="5" applyFont="1" applyFill="1" applyBorder="1" applyAlignment="1" applyProtection="1">
      <alignment vertical="center"/>
      <protection locked="0"/>
    </xf>
    <xf numFmtId="164" fontId="13" fillId="0" borderId="13" xfId="5" applyFont="1" applyFill="1" applyBorder="1" applyAlignment="1">
      <alignment vertical="center"/>
    </xf>
    <xf numFmtId="164" fontId="12" fillId="0" borderId="0" xfId="5" applyFont="1" applyFill="1" applyAlignment="1"/>
    <xf numFmtId="0" fontId="13" fillId="0" borderId="13" xfId="2" applyFont="1" applyBorder="1" applyAlignment="1">
      <alignment horizontal="left" vertical="top" wrapText="1"/>
    </xf>
    <xf numFmtId="0" fontId="13" fillId="0" borderId="13" xfId="2" applyFont="1" applyBorder="1" applyAlignment="1">
      <alignment horizontal="center" vertical="center" wrapText="1"/>
    </xf>
    <xf numFmtId="0" fontId="13" fillId="0" borderId="13" xfId="7" applyFont="1" applyBorder="1" applyAlignment="1">
      <alignment horizontal="center" vertical="center" wrapText="1"/>
    </xf>
    <xf numFmtId="0" fontId="20" fillId="0" borderId="13" xfId="6" applyFont="1" applyBorder="1" applyAlignment="1">
      <alignment vertical="top" wrapText="1"/>
    </xf>
    <xf numFmtId="0" fontId="13" fillId="0" borderId="13" xfId="3" applyFont="1" applyBorder="1" applyAlignment="1">
      <alignment wrapText="1"/>
    </xf>
    <xf numFmtId="165" fontId="13" fillId="0" borderId="13" xfId="4" applyNumberFormat="1" applyFont="1" applyFill="1" applyBorder="1" applyAlignment="1">
      <alignment vertical="center" wrapText="1"/>
    </xf>
    <xf numFmtId="0" fontId="13" fillId="0" borderId="13" xfId="3" applyFont="1" applyBorder="1" applyAlignment="1">
      <alignment vertical="center" wrapText="1"/>
    </xf>
    <xf numFmtId="0" fontId="15" fillId="7" borderId="13" xfId="2" applyFont="1" applyFill="1" applyBorder="1" applyAlignment="1">
      <alignment horizontal="center" vertical="top"/>
    </xf>
    <xf numFmtId="0" fontId="14" fillId="7" borderId="13" xfId="2" applyFont="1" applyFill="1" applyBorder="1" applyAlignment="1">
      <alignment vertical="top"/>
    </xf>
    <xf numFmtId="0" fontId="14" fillId="7" borderId="13" xfId="2" applyFont="1" applyFill="1" applyBorder="1" applyAlignment="1">
      <alignment vertical="center"/>
    </xf>
    <xf numFmtId="165" fontId="14" fillId="7" borderId="13" xfId="4" applyNumberFormat="1" applyFont="1" applyFill="1" applyBorder="1" applyAlignment="1">
      <alignment vertical="center"/>
    </xf>
    <xf numFmtId="4" fontId="14" fillId="7" borderId="13" xfId="4" applyNumberFormat="1" applyFont="1" applyFill="1" applyBorder="1" applyAlignment="1" applyProtection="1">
      <alignment vertical="center"/>
      <protection locked="0"/>
    </xf>
    <xf numFmtId="164" fontId="14" fillId="7" borderId="13" xfId="4" applyFont="1" applyFill="1" applyBorder="1" applyAlignment="1">
      <alignment vertical="center"/>
    </xf>
    <xf numFmtId="0" fontId="15" fillId="0" borderId="13" xfId="2" applyFont="1" applyBorder="1" applyAlignment="1">
      <alignment horizontal="center" vertical="center" wrapText="1"/>
    </xf>
    <xf numFmtId="0" fontId="14" fillId="0" borderId="13" xfId="2" applyFont="1" applyBorder="1" applyAlignment="1">
      <alignment horizontal="center" vertical="center" wrapText="1"/>
    </xf>
    <xf numFmtId="0" fontId="14" fillId="0" borderId="13" xfId="2" applyFont="1" applyBorder="1" applyAlignment="1">
      <alignment horizontal="justify" vertical="center" wrapText="1"/>
    </xf>
    <xf numFmtId="165" fontId="14" fillId="0" borderId="13" xfId="4" applyNumberFormat="1" applyFont="1" applyFill="1" applyBorder="1" applyAlignment="1">
      <alignment vertical="center"/>
    </xf>
    <xf numFmtId="4" fontId="14" fillId="0" borderId="13" xfId="4" applyNumberFormat="1" applyFont="1" applyFill="1" applyBorder="1" applyAlignment="1" applyProtection="1">
      <alignment horizontal="center" vertical="center" wrapText="1"/>
      <protection locked="0"/>
    </xf>
    <xf numFmtId="4" fontId="14" fillId="0" borderId="13" xfId="4" applyNumberFormat="1" applyFont="1" applyFill="1" applyBorder="1" applyAlignment="1">
      <alignment horizontal="center" vertical="center"/>
    </xf>
    <xf numFmtId="0" fontId="13" fillId="0" borderId="13" xfId="2" applyFont="1" applyBorder="1" applyAlignment="1">
      <alignment wrapText="1"/>
    </xf>
    <xf numFmtId="0" fontId="17" fillId="7" borderId="13" xfId="2" applyFont="1" applyFill="1" applyBorder="1" applyAlignment="1">
      <alignment wrapText="1"/>
    </xf>
    <xf numFmtId="0" fontId="18" fillId="7" borderId="13" xfId="2" applyFont="1" applyFill="1" applyBorder="1" applyAlignment="1">
      <alignment horizontal="center" vertical="center"/>
    </xf>
    <xf numFmtId="0" fontId="12" fillId="0" borderId="0" xfId="7" applyFont="1"/>
    <xf numFmtId="0" fontId="12" fillId="0" borderId="13" xfId="2" applyFont="1" applyBorder="1" applyAlignment="1">
      <alignment horizontal="center" vertical="top" wrapText="1"/>
    </xf>
    <xf numFmtId="0" fontId="20" fillId="0" borderId="13" xfId="2" applyFont="1" applyBorder="1" applyAlignment="1">
      <alignment horizontal="justify" vertical="center" wrapText="1"/>
    </xf>
    <xf numFmtId="49" fontId="20" fillId="0" borderId="13" xfId="8" applyNumberFormat="1" applyFont="1" applyBorder="1" applyAlignment="1">
      <alignment horizontal="center" vertical="center" wrapText="1"/>
    </xf>
    <xf numFmtId="165" fontId="20" fillId="0" borderId="13" xfId="4" applyNumberFormat="1" applyFont="1" applyFill="1" applyBorder="1" applyAlignment="1">
      <alignment horizontal="right" vertical="center" wrapText="1"/>
    </xf>
    <xf numFmtId="0" fontId="22" fillId="0" borderId="13" xfId="2" applyFont="1" applyBorder="1" applyAlignment="1">
      <alignment horizontal="justify" vertical="top" wrapText="1"/>
    </xf>
    <xf numFmtId="0" fontId="22" fillId="0" borderId="13" xfId="2" applyFont="1" applyBorder="1" applyAlignment="1">
      <alignment horizontal="center" vertical="center" wrapText="1"/>
    </xf>
    <xf numFmtId="165" fontId="22" fillId="0" borderId="13" xfId="4" applyNumberFormat="1" applyFont="1" applyFill="1" applyBorder="1" applyAlignment="1">
      <alignment vertical="center"/>
    </xf>
    <xf numFmtId="164" fontId="22" fillId="0" borderId="13" xfId="5" applyFont="1" applyFill="1" applyBorder="1" applyAlignment="1" applyProtection="1">
      <alignment vertical="center"/>
      <protection locked="0"/>
    </xf>
    <xf numFmtId="164" fontId="22" fillId="0" borderId="13" xfId="5" applyFont="1" applyFill="1" applyBorder="1" applyAlignment="1">
      <alignment vertical="center"/>
    </xf>
    <xf numFmtId="0" fontId="23" fillId="0" borderId="0" xfId="2" applyFont="1"/>
    <xf numFmtId="0" fontId="13" fillId="0" borderId="13" xfId="7" applyFont="1" applyBorder="1" applyAlignment="1">
      <alignment horizontal="justify" vertical="top" wrapText="1"/>
    </xf>
    <xf numFmtId="0" fontId="13" fillId="0" borderId="13" xfId="7" applyFont="1" applyBorder="1" applyAlignment="1">
      <alignment horizontal="justify" vertical="center" wrapText="1"/>
    </xf>
    <xf numFmtId="0" fontId="12" fillId="0" borderId="0" xfId="2" applyFont="1" applyAlignment="1">
      <alignment vertical="center"/>
    </xf>
    <xf numFmtId="0" fontId="13" fillId="0" borderId="13" xfId="2" applyFont="1" applyBorder="1" applyAlignment="1">
      <alignment horizontal="justify" wrapText="1"/>
    </xf>
    <xf numFmtId="49" fontId="13" fillId="0" borderId="13" xfId="8" applyNumberFormat="1" applyFont="1" applyBorder="1" applyAlignment="1">
      <alignment horizontal="left" vertical="top" wrapText="1"/>
    </xf>
    <xf numFmtId="0" fontId="20" fillId="0" borderId="13" xfId="8" applyFont="1" applyBorder="1" applyAlignment="1">
      <alignment horizontal="center" vertical="center"/>
    </xf>
    <xf numFmtId="165" fontId="20" fillId="0" borderId="13" xfId="4" applyNumberFormat="1" applyFont="1" applyFill="1" applyBorder="1" applyAlignment="1">
      <alignment vertical="center"/>
    </xf>
    <xf numFmtId="49" fontId="20" fillId="0" borderId="13" xfId="8" applyNumberFormat="1" applyFont="1" applyBorder="1" applyAlignment="1">
      <alignment horizontal="left" vertical="center" wrapText="1"/>
    </xf>
    <xf numFmtId="0" fontId="14" fillId="7" borderId="13" xfId="2" applyFont="1" applyFill="1" applyBorder="1" applyAlignment="1">
      <alignment horizontal="center" vertical="center"/>
    </xf>
    <xf numFmtId="16" fontId="17" fillId="7" borderId="13" xfId="2" applyNumberFormat="1" applyFont="1" applyFill="1" applyBorder="1" applyAlignment="1">
      <alignment horizontal="center" vertical="top"/>
    </xf>
    <xf numFmtId="0" fontId="17" fillId="7" borderId="13" xfId="2" applyFont="1" applyFill="1" applyBorder="1" applyAlignment="1">
      <alignment horizontal="justify" vertical="top" wrapText="1"/>
    </xf>
    <xf numFmtId="0" fontId="4" fillId="0" borderId="13" xfId="2" applyFont="1" applyBorder="1" applyAlignment="1">
      <alignment horizontal="center" vertical="center"/>
    </xf>
    <xf numFmtId="0" fontId="14" fillId="0" borderId="13" xfId="6" applyFont="1" applyBorder="1" applyAlignment="1">
      <alignment horizontal="left" vertical="top" wrapText="1"/>
    </xf>
    <xf numFmtId="0" fontId="13" fillId="0" borderId="13" xfId="8" applyFont="1" applyBorder="1" applyAlignment="1">
      <alignment horizontal="center" vertical="center"/>
    </xf>
    <xf numFmtId="0" fontId="15" fillId="0" borderId="13" xfId="2" applyFont="1" applyBorder="1" applyAlignment="1">
      <alignment horizontal="center" vertical="center"/>
    </xf>
    <xf numFmtId="0" fontId="20" fillId="0" borderId="13" xfId="6" applyFont="1" applyBorder="1" applyAlignment="1">
      <alignment vertical="center" wrapText="1"/>
    </xf>
    <xf numFmtId="0" fontId="14" fillId="0" borderId="13" xfId="7" applyFont="1" applyBorder="1" applyAlignment="1">
      <alignment horizontal="justify" vertical="top" wrapText="1"/>
    </xf>
    <xf numFmtId="0" fontId="13" fillId="0" borderId="13" xfId="7" applyFont="1" applyBorder="1" applyAlignment="1">
      <alignment horizontal="center" vertical="center"/>
    </xf>
    <xf numFmtId="0" fontId="13" fillId="0" borderId="13" xfId="7" applyFont="1" applyBorder="1" applyAlignment="1">
      <alignment wrapText="1"/>
    </xf>
    <xf numFmtId="0" fontId="4" fillId="0" borderId="13" xfId="9" applyFont="1" applyBorder="1" applyAlignment="1">
      <alignment horizontal="center" vertical="center" wrapText="1"/>
    </xf>
    <xf numFmtId="0" fontId="14" fillId="0" borderId="13" xfId="7" applyFont="1" applyBorder="1" applyAlignment="1">
      <alignment horizontal="left" vertical="top" wrapText="1"/>
    </xf>
    <xf numFmtId="165" fontId="13" fillId="0" borderId="13" xfId="4" applyNumberFormat="1" applyFont="1" applyFill="1" applyBorder="1" applyAlignment="1">
      <alignment horizontal="right" vertical="center"/>
    </xf>
    <xf numFmtId="49" fontId="4" fillId="0" borderId="13" xfId="2" applyNumberFormat="1" applyFont="1" applyBorder="1" applyAlignment="1">
      <alignment horizontal="center" vertical="center"/>
    </xf>
    <xf numFmtId="0" fontId="14" fillId="0" borderId="13" xfId="2" applyFont="1" applyBorder="1" applyAlignment="1">
      <alignment vertical="top" wrapText="1"/>
    </xf>
    <xf numFmtId="49" fontId="4" fillId="0" borderId="13" xfId="2" applyNumberFormat="1" applyFont="1" applyBorder="1" applyAlignment="1">
      <alignment horizontal="center" vertical="top"/>
    </xf>
    <xf numFmtId="0" fontId="25" fillId="9" borderId="13" xfId="6" applyFont="1" applyFill="1" applyBorder="1" applyAlignment="1">
      <alignment vertical="top" wrapText="1"/>
    </xf>
    <xf numFmtId="0" fontId="13" fillId="9" borderId="13" xfId="2" applyFont="1" applyFill="1" applyBorder="1" applyAlignment="1">
      <alignment vertical="center"/>
    </xf>
    <xf numFmtId="165" fontId="13" fillId="9" borderId="13" xfId="4" applyNumberFormat="1" applyFont="1" applyFill="1" applyBorder="1" applyAlignment="1">
      <alignment vertical="center"/>
    </xf>
    <xf numFmtId="4" fontId="13" fillId="9" borderId="13" xfId="4" applyNumberFormat="1" applyFont="1" applyFill="1" applyBorder="1" applyAlignment="1" applyProtection="1">
      <alignment vertical="center"/>
      <protection locked="0"/>
    </xf>
    <xf numFmtId="4" fontId="13" fillId="9" borderId="13" xfId="4" applyNumberFormat="1" applyFont="1" applyFill="1" applyBorder="1" applyAlignment="1">
      <alignment vertical="center"/>
    </xf>
    <xf numFmtId="0" fontId="12" fillId="0" borderId="13" xfId="2" applyFont="1" applyBorder="1" applyAlignment="1">
      <alignment horizontal="center" vertical="center"/>
    </xf>
    <xf numFmtId="0" fontId="20" fillId="9" borderId="13" xfId="6" applyFont="1" applyFill="1" applyBorder="1" applyAlignment="1">
      <alignment vertical="center" wrapText="1"/>
    </xf>
    <xf numFmtId="0" fontId="13" fillId="9" borderId="13" xfId="2" applyFont="1" applyFill="1" applyBorder="1" applyAlignment="1">
      <alignment horizontal="center" vertical="center"/>
    </xf>
    <xf numFmtId="164" fontId="13" fillId="9" borderId="13" xfId="5" applyFont="1" applyFill="1" applyBorder="1" applyAlignment="1" applyProtection="1">
      <alignment vertical="center"/>
      <protection locked="0"/>
    </xf>
    <xf numFmtId="164" fontId="13" fillId="9" borderId="13" xfId="5" applyFont="1" applyFill="1" applyBorder="1" applyAlignment="1">
      <alignment vertical="center"/>
    </xf>
    <xf numFmtId="0" fontId="14" fillId="10" borderId="13" xfId="2" applyFont="1" applyFill="1" applyBorder="1" applyAlignment="1">
      <alignment vertical="top" wrapText="1"/>
    </xf>
    <xf numFmtId="0" fontId="13" fillId="10" borderId="13" xfId="2" applyFont="1" applyFill="1" applyBorder="1" applyAlignment="1">
      <alignment vertical="center"/>
    </xf>
    <xf numFmtId="165" fontId="13" fillId="10" borderId="13" xfId="4" applyNumberFormat="1" applyFont="1" applyFill="1" applyBorder="1" applyAlignment="1">
      <alignment horizontal="right" vertical="center"/>
    </xf>
    <xf numFmtId="4" fontId="13" fillId="10" borderId="13" xfId="4" applyNumberFormat="1" applyFont="1" applyFill="1" applyBorder="1" applyAlignment="1" applyProtection="1">
      <alignment horizontal="right" vertical="center"/>
      <protection locked="0"/>
    </xf>
    <xf numFmtId="4" fontId="13" fillId="10" borderId="13" xfId="4" applyNumberFormat="1" applyFont="1" applyFill="1" applyBorder="1" applyAlignment="1">
      <alignment vertical="center"/>
    </xf>
    <xf numFmtId="0" fontId="11" fillId="0" borderId="0" xfId="2"/>
    <xf numFmtId="49" fontId="3" fillId="0" borderId="13" xfId="2" applyNumberFormat="1" applyFont="1" applyBorder="1" applyAlignment="1">
      <alignment horizontal="center" vertical="top"/>
    </xf>
    <xf numFmtId="0" fontId="13" fillId="10" borderId="13" xfId="2" applyFont="1" applyFill="1" applyBorder="1" applyAlignment="1">
      <alignment vertical="top" wrapText="1"/>
    </xf>
    <xf numFmtId="164" fontId="13" fillId="10" borderId="13" xfId="5" applyFont="1" applyFill="1" applyBorder="1" applyAlignment="1" applyProtection="1">
      <alignment horizontal="right" vertical="center"/>
      <protection locked="0"/>
    </xf>
    <xf numFmtId="164" fontId="13" fillId="10" borderId="13" xfId="5" applyFont="1" applyFill="1" applyBorder="1" applyAlignment="1">
      <alignment vertical="center"/>
    </xf>
    <xf numFmtId="0" fontId="13" fillId="10" borderId="13" xfId="2" applyFont="1" applyFill="1" applyBorder="1" applyAlignment="1">
      <alignment wrapText="1"/>
    </xf>
    <xf numFmtId="0" fontId="14" fillId="11" borderId="13" xfId="2" applyFont="1" applyFill="1" applyBorder="1" applyAlignment="1">
      <alignment vertical="top" wrapText="1"/>
    </xf>
    <xf numFmtId="0" fontId="13" fillId="11" borderId="13" xfId="2" applyFont="1" applyFill="1" applyBorder="1" applyAlignment="1">
      <alignment vertical="center"/>
    </xf>
    <xf numFmtId="165" fontId="13" fillId="11" borderId="13" xfId="4" applyNumberFormat="1" applyFont="1" applyFill="1" applyBorder="1" applyAlignment="1">
      <alignment horizontal="right" vertical="center"/>
    </xf>
    <xf numFmtId="4" fontId="13" fillId="11" borderId="13" xfId="4" applyNumberFormat="1" applyFont="1" applyFill="1" applyBorder="1" applyAlignment="1" applyProtection="1">
      <alignment horizontal="right" vertical="center"/>
      <protection locked="0"/>
    </xf>
    <xf numFmtId="4" fontId="13" fillId="11" borderId="13" xfId="4" applyNumberFormat="1" applyFont="1" applyFill="1" applyBorder="1" applyAlignment="1">
      <alignment vertical="center"/>
    </xf>
    <xf numFmtId="0" fontId="13" fillId="11" borderId="13" xfId="2" applyFont="1" applyFill="1" applyBorder="1" applyAlignment="1">
      <alignment vertical="top" wrapText="1"/>
    </xf>
    <xf numFmtId="164" fontId="13" fillId="11" borderId="13" xfId="5" applyFont="1" applyFill="1" applyBorder="1" applyAlignment="1" applyProtection="1">
      <alignment horizontal="right" vertical="center"/>
      <protection locked="0"/>
    </xf>
    <xf numFmtId="164" fontId="13" fillId="11" borderId="13" xfId="5" applyFont="1" applyFill="1" applyBorder="1" applyAlignment="1">
      <alignment vertical="center"/>
    </xf>
    <xf numFmtId="0" fontId="13" fillId="11" borderId="13" xfId="2" applyFont="1" applyFill="1" applyBorder="1" applyAlignment="1">
      <alignment wrapText="1"/>
    </xf>
    <xf numFmtId="0" fontId="20" fillId="11" borderId="13" xfId="6" applyFont="1" applyFill="1" applyBorder="1" applyAlignment="1">
      <alignment vertical="center" wrapText="1"/>
    </xf>
    <xf numFmtId="0" fontId="20" fillId="11" borderId="13" xfId="6" applyFont="1" applyFill="1" applyBorder="1" applyAlignment="1">
      <alignment vertical="top" wrapText="1"/>
    </xf>
    <xf numFmtId="0" fontId="20" fillId="10" borderId="13" xfId="6" applyFont="1" applyFill="1" applyBorder="1" applyAlignment="1">
      <alignment vertical="center" wrapText="1"/>
    </xf>
    <xf numFmtId="0" fontId="20" fillId="10" borderId="13" xfId="6" applyFont="1" applyFill="1" applyBorder="1" applyAlignment="1">
      <alignment vertical="top" wrapText="1"/>
    </xf>
    <xf numFmtId="0" fontId="20" fillId="11" borderId="13" xfId="10" applyFont="1" applyFill="1" applyBorder="1" applyAlignment="1">
      <alignment vertical="center" wrapText="1"/>
    </xf>
    <xf numFmtId="0" fontId="20" fillId="11" borderId="13" xfId="10" applyFont="1" applyFill="1" applyBorder="1" applyAlignment="1">
      <alignment vertical="top" wrapText="1"/>
    </xf>
    <xf numFmtId="0" fontId="14" fillId="7" borderId="13" xfId="2" applyFont="1" applyFill="1" applyBorder="1" applyAlignment="1">
      <alignment vertical="top" wrapText="1"/>
    </xf>
    <xf numFmtId="0" fontId="13" fillId="7" borderId="13" xfId="2" applyFont="1" applyFill="1" applyBorder="1" applyAlignment="1">
      <alignment vertical="center"/>
    </xf>
    <xf numFmtId="165" fontId="13" fillId="7" borderId="13" xfId="4" applyNumberFormat="1" applyFont="1" applyFill="1" applyBorder="1" applyAlignment="1">
      <alignment horizontal="right" vertical="center"/>
    </xf>
    <xf numFmtId="4" fontId="13" fillId="7" borderId="13" xfId="4" applyNumberFormat="1" applyFont="1" applyFill="1" applyBorder="1" applyAlignment="1" applyProtection="1">
      <alignment horizontal="right" vertical="center"/>
      <protection locked="0"/>
    </xf>
    <xf numFmtId="4" fontId="13" fillId="7" borderId="13" xfId="4" applyNumberFormat="1" applyFont="1" applyFill="1" applyBorder="1" applyAlignment="1">
      <alignment vertical="center"/>
    </xf>
    <xf numFmtId="0" fontId="13" fillId="7" borderId="13" xfId="2" applyFont="1" applyFill="1" applyBorder="1" applyAlignment="1">
      <alignment vertical="top" wrapText="1"/>
    </xf>
    <xf numFmtId="164" fontId="13" fillId="7" borderId="13" xfId="5" applyFont="1" applyFill="1" applyBorder="1" applyAlignment="1" applyProtection="1">
      <alignment horizontal="right" vertical="center"/>
      <protection locked="0"/>
    </xf>
    <xf numFmtId="164" fontId="13" fillId="7" borderId="13" xfId="5" applyFont="1" applyFill="1" applyBorder="1" applyAlignment="1">
      <alignment vertical="center"/>
    </xf>
    <xf numFmtId="0" fontId="20" fillId="7" borderId="13" xfId="6" applyFont="1" applyFill="1" applyBorder="1" applyAlignment="1">
      <alignment vertical="center" wrapText="1"/>
    </xf>
    <xf numFmtId="0" fontId="20" fillId="7" borderId="13" xfId="6" applyFont="1" applyFill="1" applyBorder="1" applyAlignment="1">
      <alignment vertical="top" wrapText="1"/>
    </xf>
    <xf numFmtId="0" fontId="14" fillId="12" borderId="13" xfId="2" applyFont="1" applyFill="1" applyBorder="1" applyAlignment="1">
      <alignment wrapText="1"/>
    </xf>
    <xf numFmtId="0" fontId="14" fillId="12" borderId="13" xfId="2" applyFont="1" applyFill="1" applyBorder="1" applyAlignment="1">
      <alignment horizontal="center" vertical="center"/>
    </xf>
    <xf numFmtId="165" fontId="14" fillId="12" borderId="13" xfId="4" applyNumberFormat="1" applyFont="1" applyFill="1" applyBorder="1" applyAlignment="1">
      <alignment vertical="center"/>
    </xf>
    <xf numFmtId="4" fontId="14" fillId="12" borderId="13" xfId="4" applyNumberFormat="1" applyFont="1" applyFill="1" applyBorder="1" applyAlignment="1" applyProtection="1">
      <alignment vertical="center"/>
      <protection locked="0"/>
    </xf>
    <xf numFmtId="164" fontId="14" fillId="12" borderId="13" xfId="5" applyFont="1" applyFill="1" applyBorder="1" applyAlignment="1">
      <alignment vertical="center"/>
    </xf>
    <xf numFmtId="0" fontId="13" fillId="12" borderId="13" xfId="2" applyFont="1" applyFill="1" applyBorder="1" applyAlignment="1">
      <alignment wrapText="1"/>
    </xf>
    <xf numFmtId="0" fontId="13" fillId="12" borderId="13" xfId="2" applyFont="1" applyFill="1" applyBorder="1" applyAlignment="1">
      <alignment vertical="center"/>
    </xf>
    <xf numFmtId="165" fontId="13" fillId="12" borderId="13" xfId="4" applyNumberFormat="1" applyFont="1" applyFill="1" applyBorder="1" applyAlignment="1">
      <alignment horizontal="right" vertical="center"/>
    </xf>
    <xf numFmtId="164" fontId="13" fillId="12" borderId="13" xfId="5" applyFont="1" applyFill="1" applyBorder="1" applyAlignment="1" applyProtection="1">
      <alignment horizontal="right" vertical="center"/>
      <protection locked="0"/>
    </xf>
    <xf numFmtId="164" fontId="13" fillId="12" borderId="13" xfId="5" applyFont="1" applyFill="1" applyBorder="1" applyAlignment="1">
      <alignment vertical="center"/>
    </xf>
    <xf numFmtId="16" fontId="15" fillId="7" borderId="13" xfId="2" applyNumberFormat="1" applyFont="1" applyFill="1" applyBorder="1" applyAlignment="1">
      <alignment horizontal="center" vertical="center"/>
    </xf>
    <xf numFmtId="0" fontId="14" fillId="7" borderId="13" xfId="2" applyFont="1" applyFill="1" applyBorder="1" applyAlignment="1">
      <alignment horizontal="justify" vertical="center" wrapText="1"/>
    </xf>
    <xf numFmtId="0" fontId="13" fillId="7" borderId="13" xfId="2" applyFont="1" applyFill="1" applyBorder="1" applyAlignment="1">
      <alignment horizontal="center" vertical="center"/>
    </xf>
    <xf numFmtId="165" fontId="13" fillId="7" borderId="13" xfId="4" applyNumberFormat="1" applyFont="1" applyFill="1" applyBorder="1" applyAlignment="1">
      <alignment vertical="center"/>
    </xf>
    <xf numFmtId="4" fontId="13" fillId="7" borderId="13" xfId="4" applyNumberFormat="1" applyFont="1" applyFill="1" applyBorder="1" applyAlignment="1" applyProtection="1">
      <alignment vertical="center"/>
      <protection locked="0"/>
    </xf>
    <xf numFmtId="164" fontId="14" fillId="7" borderId="13" xfId="5" applyFont="1" applyFill="1" applyBorder="1" applyAlignment="1">
      <alignment vertical="center"/>
    </xf>
    <xf numFmtId="0" fontId="12" fillId="0" borderId="0" xfId="2" applyFont="1" applyAlignment="1">
      <alignment horizontal="justify" wrapText="1"/>
    </xf>
    <xf numFmtId="4" fontId="12" fillId="0" borderId="0" xfId="2" applyNumberFormat="1" applyFont="1" applyAlignment="1">
      <alignment horizontal="justify" wrapText="1"/>
    </xf>
    <xf numFmtId="0" fontId="12" fillId="0" borderId="0" xfId="2" applyFont="1" applyAlignment="1">
      <alignment horizontal="justify" vertical="top" wrapText="1"/>
    </xf>
    <xf numFmtId="164" fontId="23" fillId="0" borderId="0" xfId="5" applyFont="1" applyAlignment="1"/>
    <xf numFmtId="4" fontId="23" fillId="0" borderId="0" xfId="2" applyNumberFormat="1" applyFont="1"/>
    <xf numFmtId="164" fontId="12" fillId="0" borderId="0" xfId="5" applyFont="1" applyFill="1" applyAlignment="1">
      <alignment vertical="center"/>
    </xf>
    <xf numFmtId="4" fontId="12" fillId="0" borderId="0" xfId="2" applyNumberFormat="1" applyFont="1"/>
    <xf numFmtId="0" fontId="13" fillId="0" borderId="13" xfId="6" applyFont="1" applyBorder="1" applyAlignment="1">
      <alignment horizontal="left" vertical="center" wrapText="1"/>
    </xf>
    <xf numFmtId="0" fontId="20" fillId="11" borderId="13" xfId="11" applyFont="1" applyFill="1" applyBorder="1" applyAlignment="1">
      <alignment vertical="center" wrapText="1"/>
    </xf>
    <xf numFmtId="0" fontId="20" fillId="11" borderId="13" xfId="11" applyFont="1" applyFill="1" applyBorder="1" applyAlignment="1">
      <alignment vertical="top" wrapText="1"/>
    </xf>
    <xf numFmtId="0" fontId="22" fillId="0" borderId="13" xfId="7" applyFont="1" applyBorder="1" applyAlignment="1">
      <alignment horizontal="justify" vertical="top" wrapText="1"/>
    </xf>
    <xf numFmtId="0" fontId="22" fillId="0" borderId="13" xfId="7" applyFont="1" applyBorder="1" applyAlignment="1">
      <alignment horizontal="center" vertical="center" wrapText="1"/>
    </xf>
    <xf numFmtId="0" fontId="22" fillId="0" borderId="13" xfId="7" applyFont="1" applyBorder="1" applyAlignment="1">
      <alignment horizontal="justify" vertical="center" wrapText="1"/>
    </xf>
    <xf numFmtId="0" fontId="22" fillId="0" borderId="13" xfId="2" applyFont="1" applyBorder="1" applyAlignment="1">
      <alignment horizontal="center" vertical="center"/>
    </xf>
    <xf numFmtId="0" fontId="22" fillId="0" borderId="13" xfId="2" applyFont="1" applyBorder="1" applyAlignment="1">
      <alignment horizontal="justify" wrapText="1"/>
    </xf>
    <xf numFmtId="0" fontId="13" fillId="11" borderId="13" xfId="6" applyFont="1" applyFill="1" applyBorder="1" applyAlignment="1">
      <alignment vertical="center" wrapText="1"/>
    </xf>
    <xf numFmtId="0" fontId="20" fillId="9" borderId="13" xfId="6" applyFont="1" applyFill="1" applyBorder="1" applyAlignment="1">
      <alignment vertical="top" wrapText="1"/>
    </xf>
    <xf numFmtId="0" fontId="3" fillId="5" borderId="13" xfId="3" applyFill="1" applyBorder="1"/>
    <xf numFmtId="0" fontId="13" fillId="5" borderId="13" xfId="3" applyFont="1" applyFill="1" applyBorder="1"/>
    <xf numFmtId="0" fontId="13" fillId="5" borderId="13" xfId="3" applyFont="1" applyFill="1" applyBorder="1" applyAlignment="1">
      <alignment vertical="center"/>
    </xf>
    <xf numFmtId="0" fontId="4" fillId="5" borderId="13" xfId="3" applyFont="1" applyFill="1" applyBorder="1"/>
    <xf numFmtId="0" fontId="12" fillId="0" borderId="0" xfId="12" applyFont="1" applyAlignment="1">
      <alignment horizontal="center" vertical="top"/>
    </xf>
    <xf numFmtId="0" fontId="13" fillId="0" borderId="0" xfId="12" applyFont="1" applyAlignment="1">
      <alignment vertical="top" wrapText="1"/>
    </xf>
    <xf numFmtId="0" fontId="13" fillId="0" borderId="0" xfId="12" applyFont="1" applyAlignment="1">
      <alignment vertical="center"/>
    </xf>
    <xf numFmtId="0" fontId="12" fillId="13" borderId="4" xfId="12" applyFont="1" applyFill="1" applyBorder="1" applyAlignment="1">
      <alignment horizontal="center" vertical="top"/>
    </xf>
    <xf numFmtId="0" fontId="6" fillId="13" borderId="5" xfId="6" applyFont="1" applyFill="1" applyBorder="1" applyAlignment="1">
      <alignment horizontal="left" vertical="center"/>
    </xf>
    <xf numFmtId="0" fontId="13" fillId="13" borderId="5" xfId="12" applyFont="1" applyFill="1" applyBorder="1" applyAlignment="1">
      <alignment vertical="center"/>
    </xf>
    <xf numFmtId="165" fontId="13" fillId="13" borderId="5" xfId="4" applyNumberFormat="1" applyFont="1" applyFill="1" applyBorder="1" applyAlignment="1">
      <alignment vertical="center"/>
    </xf>
    <xf numFmtId="4" fontId="13" fillId="13" borderId="5" xfId="4" applyNumberFormat="1" applyFont="1" applyFill="1" applyBorder="1" applyAlignment="1" applyProtection="1">
      <alignment vertical="center"/>
      <protection locked="0"/>
    </xf>
    <xf numFmtId="4" fontId="3" fillId="13" borderId="6" xfId="4" applyNumberFormat="1" applyFont="1" applyFill="1" applyBorder="1" applyAlignment="1">
      <alignment horizontal="right" vertical="center"/>
    </xf>
    <xf numFmtId="0" fontId="3" fillId="14" borderId="7" xfId="3" applyFill="1" applyBorder="1"/>
    <xf numFmtId="0" fontId="13" fillId="14" borderId="8" xfId="3" applyFont="1" applyFill="1" applyBorder="1"/>
    <xf numFmtId="0" fontId="13" fillId="14" borderId="8" xfId="3" applyFont="1" applyFill="1" applyBorder="1" applyAlignment="1">
      <alignment vertical="center"/>
    </xf>
    <xf numFmtId="0" fontId="13" fillId="14" borderId="9" xfId="3" applyFont="1" applyFill="1" applyBorder="1" applyAlignment="1">
      <alignment vertical="center"/>
    </xf>
    <xf numFmtId="0" fontId="4" fillId="14" borderId="10" xfId="3" applyFont="1" applyFill="1" applyBorder="1"/>
    <xf numFmtId="0" fontId="13" fillId="14" borderId="3" xfId="3" applyFont="1" applyFill="1" applyBorder="1"/>
    <xf numFmtId="0" fontId="13" fillId="14" borderId="11" xfId="3" applyFont="1" applyFill="1" applyBorder="1" applyAlignment="1">
      <alignment vertical="center"/>
    </xf>
    <xf numFmtId="0" fontId="13" fillId="14" borderId="3" xfId="3" applyFont="1" applyFill="1" applyBorder="1" applyAlignment="1">
      <alignment vertical="center"/>
    </xf>
    <xf numFmtId="49" fontId="4" fillId="15" borderId="13" xfId="6" applyNumberFormat="1" applyFont="1" applyFill="1" applyBorder="1" applyAlignment="1">
      <alignment horizontal="left" vertical="center"/>
    </xf>
    <xf numFmtId="0" fontId="7" fillId="15" borderId="4" xfId="6" applyFont="1" applyFill="1" applyBorder="1" applyAlignment="1">
      <alignment horizontal="left" vertical="center" wrapText="1"/>
    </xf>
    <xf numFmtId="0" fontId="13" fillId="15" borderId="5" xfId="6" applyFont="1" applyFill="1" applyBorder="1" applyAlignment="1">
      <alignment horizontal="center" vertical="center" wrapText="1"/>
    </xf>
    <xf numFmtId="165" fontId="13" fillId="15" borderId="5" xfId="6" applyNumberFormat="1" applyFont="1" applyFill="1" applyBorder="1" applyAlignment="1">
      <alignment horizontal="center" vertical="center" wrapText="1"/>
    </xf>
    <xf numFmtId="4" fontId="14" fillId="15" borderId="6" xfId="6" applyNumberFormat="1" applyFont="1" applyFill="1" applyBorder="1" applyAlignment="1" applyProtection="1">
      <alignment horizontal="center" vertical="center"/>
      <protection locked="0"/>
    </xf>
    <xf numFmtId="49" fontId="4" fillId="17" borderId="13" xfId="6" quotePrefix="1" applyNumberFormat="1" applyFont="1" applyFill="1" applyBorder="1" applyAlignment="1">
      <alignment horizontal="left" vertical="center"/>
    </xf>
    <xf numFmtId="0" fontId="10" fillId="0" borderId="0" xfId="6" applyFont="1" applyAlignment="1">
      <alignment horizontal="left"/>
    </xf>
    <xf numFmtId="0" fontId="10" fillId="0" borderId="13" xfId="6" applyFont="1" applyBorder="1" applyAlignment="1">
      <alignment horizontal="left"/>
    </xf>
    <xf numFmtId="0" fontId="10" fillId="0" borderId="13" xfId="6" applyFont="1" applyBorder="1"/>
    <xf numFmtId="0" fontId="10" fillId="0" borderId="4" xfId="6" applyFont="1" applyBorder="1" applyAlignment="1">
      <alignment horizontal="left"/>
    </xf>
    <xf numFmtId="0" fontId="12" fillId="0" borderId="0" xfId="12" applyFont="1"/>
    <xf numFmtId="0" fontId="14" fillId="13" borderId="5" xfId="6" applyFont="1" applyFill="1" applyBorder="1" applyAlignment="1">
      <alignment horizontal="left"/>
    </xf>
    <xf numFmtId="4" fontId="2" fillId="13" borderId="6" xfId="4" applyNumberFormat="1" applyFont="1" applyFill="1" applyBorder="1" applyAlignment="1">
      <alignment horizontal="right" vertical="center"/>
    </xf>
    <xf numFmtId="167" fontId="12" fillId="0" borderId="0" xfId="13" applyFont="1" applyAlignment="1"/>
    <xf numFmtId="49" fontId="4" fillId="13" borderId="4" xfId="6" applyNumberFormat="1" applyFont="1" applyFill="1" applyBorder="1" applyAlignment="1">
      <alignment horizontal="left" vertical="center"/>
    </xf>
    <xf numFmtId="0" fontId="14" fillId="13" borderId="5" xfId="6" applyFont="1" applyFill="1" applyBorder="1" applyAlignment="1">
      <alignment horizontal="center" vertical="center"/>
    </xf>
    <xf numFmtId="0" fontId="13" fillId="13" borderId="5" xfId="6" applyFont="1" applyFill="1" applyBorder="1" applyAlignment="1">
      <alignment horizontal="left" vertical="center"/>
    </xf>
    <xf numFmtId="165" fontId="13" fillId="13" borderId="5" xfId="6" applyNumberFormat="1" applyFont="1" applyFill="1" applyBorder="1" applyAlignment="1">
      <alignment horizontal="left" vertical="center"/>
    </xf>
    <xf numFmtId="4" fontId="13" fillId="13" borderId="5" xfId="6" applyNumberFormat="1" applyFont="1" applyFill="1" applyBorder="1" applyAlignment="1" applyProtection="1">
      <alignment horizontal="left" vertical="center"/>
      <protection locked="0"/>
    </xf>
    <xf numFmtId="4" fontId="13" fillId="13" borderId="6" xfId="6" applyNumberFormat="1" applyFont="1" applyFill="1" applyBorder="1" applyAlignment="1">
      <alignment horizontal="left" vertical="center"/>
    </xf>
    <xf numFmtId="167" fontId="0" fillId="0" borderId="0" xfId="13" applyFont="1" applyAlignment="1"/>
    <xf numFmtId="49" fontId="7" fillId="13" borderId="4" xfId="6" applyNumberFormat="1" applyFont="1" applyFill="1" applyBorder="1" applyAlignment="1">
      <alignment horizontal="left" vertical="center"/>
    </xf>
    <xf numFmtId="0" fontId="4" fillId="13" borderId="5" xfId="6" applyFont="1" applyFill="1" applyBorder="1" applyAlignment="1">
      <alignment horizontal="center" vertical="center"/>
    </xf>
    <xf numFmtId="167" fontId="10" fillId="0" borderId="0" xfId="13" applyFont="1" applyFill="1" applyAlignment="1">
      <alignment horizontal="right"/>
    </xf>
    <xf numFmtId="49" fontId="4" fillId="16" borderId="13" xfId="6" applyNumberFormat="1" applyFont="1" applyFill="1" applyBorder="1" applyAlignment="1">
      <alignment horizontal="left" vertical="center"/>
    </xf>
    <xf numFmtId="0" fontId="7" fillId="16" borderId="4" xfId="6" applyFont="1" applyFill="1" applyBorder="1" applyAlignment="1">
      <alignment horizontal="left" vertical="center"/>
    </xf>
    <xf numFmtId="0" fontId="13" fillId="16" borderId="5" xfId="6" applyFont="1" applyFill="1" applyBorder="1" applyAlignment="1">
      <alignment horizontal="left" vertical="center"/>
    </xf>
    <xf numFmtId="165" fontId="13" fillId="16" borderId="6" xfId="6" applyNumberFormat="1" applyFont="1" applyFill="1" applyBorder="1" applyAlignment="1">
      <alignment horizontal="left" vertical="center"/>
    </xf>
    <xf numFmtId="4" fontId="13" fillId="16" borderId="13" xfId="6" applyNumberFormat="1" applyFont="1" applyFill="1" applyBorder="1" applyAlignment="1" applyProtection="1">
      <alignment horizontal="left" vertical="center"/>
      <protection locked="0"/>
    </xf>
    <xf numFmtId="4" fontId="13" fillId="16" borderId="13" xfId="6" applyNumberFormat="1" applyFont="1" applyFill="1" applyBorder="1" applyAlignment="1">
      <alignment horizontal="left" vertical="center"/>
    </xf>
    <xf numFmtId="49" fontId="4" fillId="16" borderId="13" xfId="6" applyNumberFormat="1" applyFont="1" applyFill="1" applyBorder="1" applyAlignment="1">
      <alignment horizontal="center" vertical="center"/>
    </xf>
    <xf numFmtId="0" fontId="4" fillId="16" borderId="4" xfId="6" applyFont="1" applyFill="1" applyBorder="1" applyAlignment="1">
      <alignment horizontal="center" vertical="center"/>
    </xf>
    <xf numFmtId="0" fontId="3" fillId="16" borderId="5" xfId="6" applyFont="1" applyFill="1" applyBorder="1" applyAlignment="1">
      <alignment vertical="center"/>
    </xf>
    <xf numFmtId="165" fontId="3" fillId="16" borderId="6" xfId="6" applyNumberFormat="1" applyFont="1" applyFill="1" applyBorder="1" applyAlignment="1">
      <alignment vertical="center"/>
    </xf>
    <xf numFmtId="4" fontId="4" fillId="16" borderId="13" xfId="6" applyNumberFormat="1" applyFont="1" applyFill="1" applyBorder="1" applyAlignment="1" applyProtection="1">
      <alignment horizontal="center" vertical="center"/>
      <protection locked="0"/>
    </xf>
    <xf numFmtId="4" fontId="4" fillId="16" borderId="13" xfId="6" applyNumberFormat="1" applyFont="1" applyFill="1" applyBorder="1" applyAlignment="1">
      <alignment horizontal="center" vertical="center"/>
    </xf>
    <xf numFmtId="167" fontId="3" fillId="0" borderId="0" xfId="13" applyFont="1" applyAlignment="1"/>
    <xf numFmtId="0" fontId="3" fillId="0" borderId="0" xfId="6" applyFont="1" applyAlignment="1">
      <alignment vertical="center"/>
    </xf>
    <xf numFmtId="49" fontId="4" fillId="16" borderId="13" xfId="6" quotePrefix="1" applyNumberFormat="1" applyFont="1" applyFill="1" applyBorder="1" applyAlignment="1">
      <alignment vertical="center"/>
    </xf>
    <xf numFmtId="0" fontId="4" fillId="16" borderId="13" xfId="6" applyFont="1" applyFill="1" applyBorder="1" applyAlignment="1">
      <alignment vertical="center" wrapText="1"/>
    </xf>
    <xf numFmtId="0" fontId="3" fillId="16" borderId="13" xfId="6" applyFont="1" applyFill="1" applyBorder="1" applyAlignment="1">
      <alignment vertical="center" wrapText="1"/>
    </xf>
    <xf numFmtId="165" fontId="3" fillId="16" borderId="13" xfId="6" applyNumberFormat="1" applyFont="1" applyFill="1" applyBorder="1" applyAlignment="1">
      <alignment vertical="center" wrapText="1"/>
    </xf>
    <xf numFmtId="4" fontId="4" fillId="16" borderId="13" xfId="6" applyNumberFormat="1" applyFont="1" applyFill="1" applyBorder="1" applyAlignment="1" applyProtection="1">
      <alignment vertical="center"/>
      <protection locked="0"/>
    </xf>
    <xf numFmtId="168" fontId="4" fillId="16" borderId="13" xfId="13" applyNumberFormat="1" applyFont="1" applyFill="1" applyBorder="1" applyAlignment="1" applyProtection="1">
      <alignment vertical="center"/>
    </xf>
    <xf numFmtId="167" fontId="3" fillId="0" borderId="0" xfId="13" applyFont="1" applyAlignment="1">
      <alignment vertical="center"/>
    </xf>
    <xf numFmtId="49" fontId="4" fillId="17" borderId="13" xfId="6" quotePrefix="1" applyNumberFormat="1" applyFont="1" applyFill="1" applyBorder="1" applyAlignment="1">
      <alignment vertical="center"/>
    </xf>
    <xf numFmtId="0" fontId="4" fillId="17" borderId="13" xfId="6" applyFont="1" applyFill="1" applyBorder="1" applyAlignment="1">
      <alignment vertical="center"/>
    </xf>
    <xf numFmtId="0" fontId="3" fillId="17" borderId="13" xfId="6" applyFont="1" applyFill="1" applyBorder="1" applyAlignment="1">
      <alignment vertical="center"/>
    </xf>
    <xf numFmtId="165" fontId="3" fillId="17" borderId="13" xfId="6" applyNumberFormat="1" applyFont="1" applyFill="1" applyBorder="1" applyAlignment="1">
      <alignment vertical="center"/>
    </xf>
    <xf numFmtId="4" fontId="4" fillId="17" borderId="4" xfId="6" applyNumberFormat="1" applyFont="1" applyFill="1" applyBorder="1" applyAlignment="1" applyProtection="1">
      <alignment vertical="center"/>
      <protection locked="0"/>
    </xf>
    <xf numFmtId="168" fontId="4" fillId="17" borderId="13" xfId="13" applyNumberFormat="1" applyFont="1" applyFill="1" applyBorder="1" applyAlignment="1" applyProtection="1">
      <alignment vertical="center"/>
    </xf>
    <xf numFmtId="0" fontId="15" fillId="0" borderId="0" xfId="12" applyFont="1" applyAlignment="1">
      <alignment horizontal="center"/>
    </xf>
    <xf numFmtId="0" fontId="14" fillId="0" borderId="0" xfId="12" applyFont="1" applyAlignment="1">
      <alignment wrapText="1"/>
    </xf>
    <xf numFmtId="0" fontId="14" fillId="0" borderId="0" xfId="12" applyFont="1" applyAlignment="1">
      <alignment horizontal="center" vertical="center"/>
    </xf>
    <xf numFmtId="0" fontId="15" fillId="17" borderId="13" xfId="12" applyFont="1" applyFill="1" applyBorder="1" applyAlignment="1">
      <alignment horizontal="center" vertical="center" wrapText="1"/>
    </xf>
    <xf numFmtId="0" fontId="14" fillId="17" borderId="13" xfId="12" applyFont="1" applyFill="1" applyBorder="1" applyAlignment="1">
      <alignment horizontal="center" vertical="center" wrapText="1"/>
    </xf>
    <xf numFmtId="0" fontId="14" fillId="17" borderId="13" xfId="12" applyFont="1" applyFill="1" applyBorder="1" applyAlignment="1">
      <alignment horizontal="justify" vertical="center" wrapText="1"/>
    </xf>
    <xf numFmtId="165" fontId="14" fillId="17" borderId="13" xfId="4" applyNumberFormat="1" applyFont="1" applyFill="1" applyBorder="1" applyAlignment="1">
      <alignment vertical="center"/>
    </xf>
    <xf numFmtId="4" fontId="14" fillId="17" borderId="13" xfId="4" applyNumberFormat="1" applyFont="1" applyFill="1" applyBorder="1" applyAlignment="1" applyProtection="1">
      <alignment horizontal="center" vertical="center" wrapText="1"/>
      <protection locked="0"/>
    </xf>
    <xf numFmtId="4" fontId="14" fillId="17" borderId="13" xfId="4" applyNumberFormat="1" applyFont="1" applyFill="1" applyBorder="1" applyAlignment="1">
      <alignment horizontal="center" vertical="center"/>
    </xf>
    <xf numFmtId="0" fontId="12" fillId="0" borderId="13" xfId="12" applyFont="1" applyBorder="1" applyAlignment="1">
      <alignment horizontal="center" vertical="top"/>
    </xf>
    <xf numFmtId="0" fontId="13" fillId="0" borderId="13" xfId="12" applyFont="1" applyBorder="1" applyAlignment="1">
      <alignment vertical="top" wrapText="1"/>
    </xf>
    <xf numFmtId="0" fontId="13" fillId="0" borderId="13" xfId="12" applyFont="1" applyBorder="1" applyAlignment="1">
      <alignment vertical="center"/>
    </xf>
    <xf numFmtId="0" fontId="17" fillId="16" borderId="13" xfId="12" applyFont="1" applyFill="1" applyBorder="1" applyAlignment="1">
      <alignment horizontal="center" vertical="top"/>
    </xf>
    <xf numFmtId="0" fontId="9" fillId="16" borderId="13" xfId="12" applyFont="1" applyFill="1" applyBorder="1" applyAlignment="1">
      <alignment vertical="center"/>
    </xf>
    <xf numFmtId="0" fontId="18" fillId="16" borderId="13" xfId="12" applyFont="1" applyFill="1" applyBorder="1" applyAlignment="1">
      <alignment vertical="center"/>
    </xf>
    <xf numFmtId="165" fontId="18" fillId="16" borderId="13" xfId="4" applyNumberFormat="1" applyFont="1" applyFill="1" applyBorder="1" applyAlignment="1">
      <alignment vertical="center"/>
    </xf>
    <xf numFmtId="4" fontId="18" fillId="16" borderId="13" xfId="4" applyNumberFormat="1" applyFont="1" applyFill="1" applyBorder="1" applyAlignment="1" applyProtection="1">
      <alignment vertical="center"/>
      <protection locked="0"/>
    </xf>
    <xf numFmtId="4" fontId="18" fillId="16" borderId="13" xfId="4" applyNumberFormat="1" applyFont="1" applyFill="1" applyBorder="1" applyAlignment="1">
      <alignment vertical="center"/>
    </xf>
    <xf numFmtId="167" fontId="18" fillId="0" borderId="0" xfId="13" applyFont="1" applyAlignment="1"/>
    <xf numFmtId="0" fontId="18" fillId="0" borderId="0" xfId="12" applyFont="1"/>
    <xf numFmtId="0" fontId="13" fillId="0" borderId="13" xfId="12" applyFont="1" applyBorder="1" applyAlignment="1">
      <alignment horizontal="justify" vertical="top" wrapText="1"/>
    </xf>
    <xf numFmtId="0" fontId="13" fillId="0" borderId="13" xfId="12" applyFont="1" applyBorder="1" applyAlignment="1">
      <alignment horizontal="center" vertical="center"/>
    </xf>
    <xf numFmtId="167" fontId="13" fillId="0" borderId="13" xfId="13" applyFont="1" applyFill="1" applyBorder="1" applyAlignment="1" applyProtection="1">
      <alignment vertical="center"/>
      <protection locked="0"/>
    </xf>
    <xf numFmtId="167" fontId="13" fillId="0" borderId="13" xfId="13" applyFont="1" applyFill="1" applyBorder="1" applyAlignment="1">
      <alignment vertical="center"/>
    </xf>
    <xf numFmtId="164" fontId="12" fillId="0" borderId="0" xfId="12" applyNumberFormat="1" applyFont="1"/>
    <xf numFmtId="167" fontId="12" fillId="0" borderId="0" xfId="13" applyFont="1" applyFill="1" applyAlignment="1"/>
    <xf numFmtId="0" fontId="13" fillId="0" borderId="13" xfId="12" applyFont="1" applyBorder="1" applyAlignment="1">
      <alignment horizontal="left" vertical="top" wrapText="1"/>
    </xf>
    <xf numFmtId="0" fontId="13" fillId="0" borderId="13" xfId="12" applyFont="1" applyBorder="1" applyAlignment="1">
      <alignment horizontal="center" vertical="center" wrapText="1"/>
    </xf>
    <xf numFmtId="167" fontId="0" fillId="0" borderId="0" xfId="13" applyFont="1" applyFill="1" applyAlignment="1"/>
    <xf numFmtId="0" fontId="15" fillId="16" borderId="13" xfId="12" applyFont="1" applyFill="1" applyBorder="1" applyAlignment="1">
      <alignment horizontal="center" vertical="center"/>
    </xf>
    <xf numFmtId="0" fontId="14" fillId="16" borderId="13" xfId="12" applyFont="1" applyFill="1" applyBorder="1" applyAlignment="1">
      <alignment vertical="center"/>
    </xf>
    <xf numFmtId="165" fontId="14" fillId="16" borderId="13" xfId="4" applyNumberFormat="1" applyFont="1" applyFill="1" applyBorder="1" applyAlignment="1">
      <alignment vertical="center"/>
    </xf>
    <xf numFmtId="4" fontId="14" fillId="16" borderId="13" xfId="4" applyNumberFormat="1" applyFont="1" applyFill="1" applyBorder="1" applyAlignment="1" applyProtection="1">
      <alignment vertical="center"/>
      <protection locked="0"/>
    </xf>
    <xf numFmtId="168" fontId="14" fillId="16" borderId="13" xfId="13" applyNumberFormat="1" applyFont="1" applyFill="1" applyBorder="1" applyAlignment="1">
      <alignment vertical="center"/>
    </xf>
    <xf numFmtId="167" fontId="12" fillId="0" borderId="0" xfId="13" applyFont="1" applyAlignment="1">
      <alignment vertical="center"/>
    </xf>
    <xf numFmtId="0" fontId="12" fillId="0" borderId="0" xfId="12" applyFont="1" applyAlignment="1">
      <alignment vertical="center"/>
    </xf>
    <xf numFmtId="0" fontId="13" fillId="0" borderId="13" xfId="12" applyFont="1" applyBorder="1" applyAlignment="1">
      <alignment wrapText="1"/>
    </xf>
    <xf numFmtId="0" fontId="17" fillId="16" borderId="13" xfId="12" applyFont="1" applyFill="1" applyBorder="1" applyAlignment="1">
      <alignment wrapText="1"/>
    </xf>
    <xf numFmtId="0" fontId="18" fillId="16" borderId="13" xfId="12" applyFont="1" applyFill="1" applyBorder="1" applyAlignment="1">
      <alignment horizontal="center" vertical="center"/>
    </xf>
    <xf numFmtId="0" fontId="12" fillId="0" borderId="13" xfId="12" applyFont="1" applyBorder="1" applyAlignment="1">
      <alignment horizontal="center" vertical="top" wrapText="1"/>
    </xf>
    <xf numFmtId="0" fontId="12" fillId="0" borderId="0" xfId="12" applyFont="1" applyAlignment="1">
      <alignment horizontal="justify" vertical="top" wrapText="1"/>
    </xf>
    <xf numFmtId="4" fontId="12" fillId="0" borderId="0" xfId="12" applyNumberFormat="1" applyFont="1" applyAlignment="1">
      <alignment horizontal="justify" vertical="top" wrapText="1"/>
    </xf>
    <xf numFmtId="4" fontId="12" fillId="0" borderId="0" xfId="12" applyNumberFormat="1" applyFont="1"/>
    <xf numFmtId="0" fontId="13" fillId="0" borderId="13" xfId="12" applyFont="1" applyBorder="1" applyAlignment="1">
      <alignment horizontal="justify" vertical="center" wrapText="1"/>
    </xf>
    <xf numFmtId="0" fontId="13" fillId="0" borderId="13" xfId="7" applyFont="1" applyBorder="1" applyAlignment="1">
      <alignment horizontal="left" vertical="top" wrapText="1"/>
    </xf>
    <xf numFmtId="49" fontId="12" fillId="0" borderId="15" xfId="12" applyNumberFormat="1" applyFont="1" applyBorder="1" applyAlignment="1">
      <alignment horizontal="center" vertical="top" wrapText="1"/>
    </xf>
    <xf numFmtId="167" fontId="12" fillId="0" borderId="0" xfId="13" applyFont="1" applyFill="1" applyAlignment="1">
      <alignment vertical="center"/>
    </xf>
    <xf numFmtId="49" fontId="12" fillId="0" borderId="13" xfId="12" applyNumberFormat="1" applyFont="1" applyBorder="1" applyAlignment="1">
      <alignment horizontal="center" vertical="top" wrapText="1"/>
    </xf>
    <xf numFmtId="0" fontId="12" fillId="0" borderId="13" xfId="12" applyFont="1" applyBorder="1" applyAlignment="1">
      <alignment horizontal="center" vertical="center" wrapText="1"/>
    </xf>
    <xf numFmtId="49" fontId="20" fillId="0" borderId="13" xfId="8" applyNumberFormat="1" applyFont="1" applyBorder="1" applyAlignment="1">
      <alignment horizontal="left" vertical="top" wrapText="1"/>
    </xf>
    <xf numFmtId="0" fontId="14" fillId="16" borderId="13" xfId="12" applyFont="1" applyFill="1" applyBorder="1" applyAlignment="1">
      <alignment horizontal="center" vertical="center"/>
    </xf>
    <xf numFmtId="16" fontId="17" fillId="16" borderId="13" xfId="12" applyNumberFormat="1" applyFont="1" applyFill="1" applyBorder="1" applyAlignment="1">
      <alignment horizontal="center" vertical="top"/>
    </xf>
    <xf numFmtId="0" fontId="17" fillId="16" borderId="13" xfId="12" applyFont="1" applyFill="1" applyBorder="1" applyAlignment="1">
      <alignment horizontal="justify" vertical="top" wrapText="1"/>
    </xf>
    <xf numFmtId="0" fontId="4" fillId="0" borderId="13" xfId="12" applyFont="1" applyBorder="1" applyAlignment="1">
      <alignment horizontal="center" vertical="center"/>
    </xf>
    <xf numFmtId="0" fontId="13" fillId="0" borderId="13" xfId="6" applyFont="1" applyBorder="1" applyAlignment="1">
      <alignment horizontal="left" vertical="top" wrapText="1"/>
    </xf>
    <xf numFmtId="0" fontId="15" fillId="0" borderId="13" xfId="12" applyFont="1" applyBorder="1" applyAlignment="1">
      <alignment horizontal="center" vertical="center"/>
    </xf>
    <xf numFmtId="49" fontId="4" fillId="0" borderId="13" xfId="12" applyNumberFormat="1" applyFont="1" applyBorder="1" applyAlignment="1">
      <alignment horizontal="center" vertical="center"/>
    </xf>
    <xf numFmtId="0" fontId="14" fillId="0" borderId="13" xfId="12" applyFont="1" applyBorder="1" applyAlignment="1">
      <alignment vertical="top" wrapText="1"/>
    </xf>
    <xf numFmtId="49" fontId="4" fillId="0" borderId="13" xfId="12" applyNumberFormat="1" applyFont="1" applyBorder="1" applyAlignment="1">
      <alignment horizontal="center" vertical="top"/>
    </xf>
    <xf numFmtId="0" fontId="25" fillId="18" borderId="13" xfId="6" applyFont="1" applyFill="1" applyBorder="1" applyAlignment="1">
      <alignment vertical="top" wrapText="1"/>
    </xf>
    <xf numFmtId="0" fontId="13" fillId="18" borderId="13" xfId="12" applyFont="1" applyFill="1" applyBorder="1" applyAlignment="1">
      <alignment vertical="center"/>
    </xf>
    <xf numFmtId="165" fontId="13" fillId="18" borderId="13" xfId="4" applyNumberFormat="1" applyFont="1" applyFill="1" applyBorder="1" applyAlignment="1">
      <alignment vertical="center"/>
    </xf>
    <xf numFmtId="4" fontId="13" fillId="18" borderId="13" xfId="4" applyNumberFormat="1" applyFont="1" applyFill="1" applyBorder="1" applyAlignment="1" applyProtection="1">
      <alignment vertical="center"/>
      <protection locked="0"/>
    </xf>
    <xf numFmtId="4" fontId="13" fillId="18" borderId="13" xfId="4" applyNumberFormat="1" applyFont="1" applyFill="1" applyBorder="1" applyAlignment="1">
      <alignment vertical="center"/>
    </xf>
    <xf numFmtId="0" fontId="20" fillId="18" borderId="13" xfId="6" applyFont="1" applyFill="1" applyBorder="1" applyAlignment="1">
      <alignment vertical="top" wrapText="1"/>
    </xf>
    <xf numFmtId="0" fontId="13" fillId="18" borderId="13" xfId="12" applyFont="1" applyFill="1" applyBorder="1" applyAlignment="1">
      <alignment horizontal="center" vertical="center"/>
    </xf>
    <xf numFmtId="167" fontId="13" fillId="18" borderId="13" xfId="13" applyFont="1" applyFill="1" applyBorder="1" applyAlignment="1" applyProtection="1">
      <alignment vertical="center"/>
      <protection locked="0"/>
    </xf>
    <xf numFmtId="167" fontId="13" fillId="18" borderId="13" xfId="13" applyFont="1" applyFill="1" applyBorder="1" applyAlignment="1">
      <alignment vertical="center"/>
    </xf>
    <xf numFmtId="0" fontId="12" fillId="0" borderId="13" xfId="12" applyFont="1" applyBorder="1" applyAlignment="1">
      <alignment horizontal="center" vertical="center"/>
    </xf>
    <xf numFmtId="0" fontId="20" fillId="18" borderId="13" xfId="6" applyFont="1" applyFill="1" applyBorder="1" applyAlignment="1">
      <alignment vertical="center" wrapText="1"/>
    </xf>
    <xf numFmtId="0" fontId="3" fillId="0" borderId="0" xfId="12"/>
    <xf numFmtId="49" fontId="3" fillId="0" borderId="13" xfId="12" applyNumberFormat="1" applyBorder="1" applyAlignment="1">
      <alignment horizontal="center" vertical="top"/>
    </xf>
    <xf numFmtId="0" fontId="14" fillId="16" borderId="13" xfId="12" applyFont="1" applyFill="1" applyBorder="1" applyAlignment="1">
      <alignment horizontal="justify" vertical="center" wrapText="1"/>
    </xf>
    <xf numFmtId="0" fontId="13" fillId="16" borderId="13" xfId="12" applyFont="1" applyFill="1" applyBorder="1" applyAlignment="1">
      <alignment horizontal="center" vertical="center"/>
    </xf>
    <xf numFmtId="165" fontId="13" fillId="16" borderId="13" xfId="4" applyNumberFormat="1" applyFont="1" applyFill="1" applyBorder="1" applyAlignment="1">
      <alignment vertical="center"/>
    </xf>
    <xf numFmtId="4" fontId="13" fillId="16" borderId="13" xfId="4" applyNumberFormat="1" applyFont="1" applyFill="1" applyBorder="1" applyAlignment="1" applyProtection="1">
      <alignment vertical="center"/>
      <protection locked="0"/>
    </xf>
    <xf numFmtId="0" fontId="13" fillId="0" borderId="13" xfId="7" applyFont="1" applyBorder="1" applyAlignment="1">
      <alignment vertical="center" wrapText="1"/>
    </xf>
    <xf numFmtId="165" fontId="12" fillId="0" borderId="0" xfId="12" applyNumberFormat="1" applyFont="1"/>
    <xf numFmtId="165" fontId="13" fillId="16" borderId="13" xfId="4" applyNumberFormat="1" applyFont="1" applyFill="1" applyBorder="1" applyAlignment="1">
      <alignment horizontal="right" vertical="center"/>
    </xf>
    <xf numFmtId="165" fontId="13" fillId="18" borderId="13" xfId="4" applyNumberFormat="1" applyFont="1" applyFill="1" applyBorder="1" applyAlignment="1">
      <alignment horizontal="right" vertical="center"/>
    </xf>
    <xf numFmtId="16" fontId="15" fillId="16" borderId="13" xfId="12" applyNumberFormat="1" applyFont="1" applyFill="1" applyBorder="1" applyAlignment="1">
      <alignment horizontal="center" vertical="center"/>
    </xf>
    <xf numFmtId="167" fontId="4" fillId="16" borderId="13" xfId="13" applyFont="1" applyFill="1" applyBorder="1" applyAlignment="1" applyProtection="1">
      <alignment vertical="center"/>
    </xf>
    <xf numFmtId="167" fontId="4" fillId="17" borderId="13" xfId="13" applyFont="1" applyFill="1" applyBorder="1" applyAlignment="1" applyProtection="1">
      <alignment vertical="center"/>
    </xf>
    <xf numFmtId="167" fontId="14" fillId="16" borderId="13" xfId="13" applyFont="1" applyFill="1" applyBorder="1" applyAlignment="1">
      <alignment vertical="center"/>
    </xf>
    <xf numFmtId="165" fontId="12" fillId="0" borderId="0" xfId="12" applyNumberFormat="1" applyFont="1" applyAlignment="1">
      <alignment vertical="center"/>
    </xf>
    <xf numFmtId="0" fontId="12" fillId="0" borderId="0" xfId="9" applyFont="1" applyAlignment="1">
      <alignment horizontal="left" vertical="top"/>
    </xf>
    <xf numFmtId="0" fontId="12" fillId="0" borderId="0" xfId="9" applyFont="1"/>
    <xf numFmtId="167" fontId="12" fillId="0" borderId="0" xfId="13" applyFont="1" applyFill="1" applyBorder="1" applyAlignment="1"/>
    <xf numFmtId="4" fontId="12" fillId="0" borderId="0" xfId="9" applyNumberFormat="1" applyFont="1"/>
    <xf numFmtId="0" fontId="12" fillId="0" borderId="0" xfId="12" applyFont="1" applyAlignment="1">
      <alignment horizontal="left" vertical="top"/>
    </xf>
    <xf numFmtId="0" fontId="3" fillId="14" borderId="7" xfId="3" applyFill="1" applyBorder="1" applyAlignment="1">
      <alignment horizontal="left"/>
    </xf>
    <xf numFmtId="0" fontId="4" fillId="14" borderId="10" xfId="3" applyFont="1" applyFill="1" applyBorder="1" applyAlignment="1">
      <alignment horizontal="left"/>
    </xf>
    <xf numFmtId="49" fontId="4" fillId="16" borderId="13" xfId="6" quotePrefix="1" applyNumberFormat="1" applyFont="1" applyFill="1" applyBorder="1" applyAlignment="1">
      <alignment horizontal="left" vertical="center"/>
    </xf>
    <xf numFmtId="4" fontId="4" fillId="16" borderId="4" xfId="6" applyNumberFormat="1" applyFont="1" applyFill="1" applyBorder="1" applyAlignment="1" applyProtection="1">
      <alignment vertical="center"/>
      <protection locked="0"/>
    </xf>
    <xf numFmtId="0" fontId="15" fillId="0" borderId="0" xfId="9" applyFont="1" applyAlignment="1">
      <alignment horizontal="left"/>
    </xf>
    <xf numFmtId="0" fontId="15" fillId="0" borderId="0" xfId="9" applyFont="1" applyAlignment="1">
      <alignment wrapText="1"/>
    </xf>
    <xf numFmtId="0" fontId="15" fillId="0" borderId="0" xfId="9" applyFont="1" applyAlignment="1">
      <alignment horizontal="center"/>
    </xf>
    <xf numFmtId="4" fontId="15" fillId="0" borderId="0" xfId="13" applyNumberFormat="1" applyFont="1" applyFill="1" applyBorder="1"/>
    <xf numFmtId="167" fontId="15" fillId="0" borderId="0" xfId="13" applyFont="1" applyFill="1" applyBorder="1"/>
    <xf numFmtId="0" fontId="15" fillId="17" borderId="13" xfId="12" applyFont="1" applyFill="1" applyBorder="1" applyAlignment="1">
      <alignment horizontal="left" vertical="center" wrapText="1"/>
    </xf>
    <xf numFmtId="0" fontId="12" fillId="0" borderId="13" xfId="12" applyFont="1" applyBorder="1" applyAlignment="1">
      <alignment horizontal="left" vertical="top"/>
    </xf>
    <xf numFmtId="0" fontId="17" fillId="16" borderId="13" xfId="12" applyFont="1" applyFill="1" applyBorder="1" applyAlignment="1">
      <alignment horizontal="left" vertical="top"/>
    </xf>
    <xf numFmtId="0" fontId="12" fillId="0" borderId="13" xfId="7" applyFont="1" applyBorder="1" applyAlignment="1">
      <alignment horizontal="left" vertical="top"/>
    </xf>
    <xf numFmtId="0" fontId="12" fillId="0" borderId="13" xfId="12" applyFont="1" applyBorder="1" applyAlignment="1">
      <alignment horizontal="justify" vertical="top" wrapText="1"/>
    </xf>
    <xf numFmtId="165" fontId="12" fillId="0" borderId="13" xfId="4" applyNumberFormat="1" applyFont="1" applyFill="1" applyBorder="1" applyAlignment="1">
      <alignment vertical="center"/>
    </xf>
    <xf numFmtId="167" fontId="12" fillId="0" borderId="13" xfId="13" applyFont="1" applyFill="1" applyBorder="1" applyAlignment="1" applyProtection="1">
      <alignment vertical="center"/>
      <protection locked="0"/>
    </xf>
    <xf numFmtId="167" fontId="12" fillId="0" borderId="13" xfId="13" applyFont="1" applyFill="1" applyBorder="1" applyAlignment="1">
      <alignment vertical="center"/>
    </xf>
    <xf numFmtId="0" fontId="3" fillId="0" borderId="13" xfId="12" applyBorder="1" applyAlignment="1">
      <alignment horizontal="left" vertical="top" wrapText="1"/>
    </xf>
    <xf numFmtId="4" fontId="12" fillId="0" borderId="13" xfId="13" applyNumberFormat="1" applyFont="1" applyBorder="1" applyAlignment="1"/>
    <xf numFmtId="167" fontId="12" fillId="0" borderId="13" xfId="13" applyFont="1" applyBorder="1"/>
    <xf numFmtId="0" fontId="12" fillId="0" borderId="13" xfId="9" applyFont="1" applyBorder="1" applyAlignment="1">
      <alignment horizontal="left" vertical="top" wrapText="1"/>
    </xf>
    <xf numFmtId="0" fontId="12" fillId="0" borderId="13" xfId="9" applyFont="1" applyBorder="1" applyAlignment="1">
      <alignment horizontal="justify" vertical="top" wrapText="1"/>
    </xf>
    <xf numFmtId="0" fontId="12" fillId="0" borderId="13" xfId="9" applyFont="1" applyBorder="1" applyAlignment="1">
      <alignment horizontal="center" wrapText="1"/>
    </xf>
    <xf numFmtId="4" fontId="12" fillId="0" borderId="13" xfId="13" applyNumberFormat="1" applyFont="1" applyFill="1" applyBorder="1" applyAlignment="1"/>
    <xf numFmtId="167" fontId="12" fillId="0" borderId="13" xfId="13" applyFont="1" applyFill="1" applyBorder="1" applyAlignment="1"/>
    <xf numFmtId="0" fontId="12" fillId="0" borderId="13" xfId="9" applyFont="1" applyBorder="1" applyAlignment="1">
      <alignment horizontal="left" vertical="top"/>
    </xf>
    <xf numFmtId="0" fontId="12" fillId="0" borderId="13" xfId="9" applyFont="1" applyBorder="1" applyAlignment="1">
      <alignment vertical="top" wrapText="1"/>
    </xf>
    <xf numFmtId="0" fontId="12" fillId="0" borderId="0" xfId="7" applyFont="1" applyAlignment="1">
      <alignment horizontal="center" vertical="top" wrapText="1"/>
    </xf>
    <xf numFmtId="0" fontId="12" fillId="0" borderId="0" xfId="6" applyFont="1" applyAlignment="1">
      <alignment horizontal="center" wrapText="1"/>
    </xf>
    <xf numFmtId="4" fontId="12" fillId="0" borderId="0" xfId="13" applyNumberFormat="1" applyFont="1" applyBorder="1" applyAlignment="1"/>
    <xf numFmtId="4" fontId="3" fillId="0" borderId="0" xfId="13" applyNumberFormat="1" applyFont="1" applyFill="1" applyBorder="1" applyAlignment="1" applyProtection="1">
      <alignment horizontal="right"/>
      <protection locked="0"/>
    </xf>
    <xf numFmtId="4" fontId="3" fillId="0" borderId="0" xfId="13" applyNumberFormat="1" applyFont="1" applyFill="1" applyBorder="1" applyAlignment="1">
      <alignment horizontal="right"/>
    </xf>
    <xf numFmtId="16" fontId="12" fillId="0" borderId="13" xfId="9" applyNumberFormat="1" applyFont="1" applyBorder="1" applyAlignment="1">
      <alignment horizontal="left" vertical="top" wrapText="1"/>
    </xf>
    <xf numFmtId="0" fontId="12" fillId="0" borderId="13" xfId="9" applyFont="1" applyBorder="1"/>
    <xf numFmtId="0" fontId="3" fillId="0" borderId="13" xfId="3" applyBorder="1" applyAlignment="1">
      <alignment wrapText="1"/>
    </xf>
    <xf numFmtId="0" fontId="12" fillId="0" borderId="13" xfId="7" applyFont="1" applyBorder="1" applyAlignment="1">
      <alignment horizontal="center" wrapText="1"/>
    </xf>
    <xf numFmtId="0" fontId="32" fillId="0" borderId="13" xfId="6" applyFont="1" applyBorder="1" applyAlignment="1">
      <alignment vertical="top" wrapText="1"/>
    </xf>
    <xf numFmtId="0" fontId="12" fillId="0" borderId="13" xfId="7" applyFont="1" applyBorder="1" applyAlignment="1">
      <alignment horizontal="center" vertical="center" wrapText="1"/>
    </xf>
    <xf numFmtId="0" fontId="15" fillId="16" borderId="13" xfId="12" applyFont="1" applyFill="1" applyBorder="1" applyAlignment="1">
      <alignment horizontal="left" vertical="center"/>
    </xf>
    <xf numFmtId="0" fontId="15" fillId="16" borderId="13" xfId="12" applyFont="1" applyFill="1" applyBorder="1" applyAlignment="1">
      <alignment vertical="center"/>
    </xf>
    <xf numFmtId="165" fontId="15" fillId="16" borderId="13" xfId="4" applyNumberFormat="1" applyFont="1" applyFill="1" applyBorder="1" applyAlignment="1">
      <alignment vertical="center"/>
    </xf>
    <xf numFmtId="4" fontId="15" fillId="16" borderId="13" xfId="4" applyNumberFormat="1" applyFont="1" applyFill="1" applyBorder="1" applyAlignment="1" applyProtection="1">
      <alignment vertical="center"/>
      <protection locked="0"/>
    </xf>
    <xf numFmtId="167" fontId="15" fillId="16" borderId="13" xfId="13" applyFont="1" applyFill="1" applyBorder="1" applyAlignment="1">
      <alignment vertical="center"/>
    </xf>
    <xf numFmtId="0" fontId="15" fillId="0" borderId="0" xfId="9" applyFont="1" applyAlignment="1">
      <alignment horizontal="left" vertical="top"/>
    </xf>
    <xf numFmtId="169" fontId="12" fillId="0" borderId="0" xfId="9" applyNumberFormat="1" applyFont="1"/>
    <xf numFmtId="4" fontId="34" fillId="0" borderId="0" xfId="9" applyNumberFormat="1" applyFont="1"/>
    <xf numFmtId="170" fontId="12" fillId="0" borderId="0" xfId="9" applyNumberFormat="1" applyFont="1"/>
    <xf numFmtId="49" fontId="32" fillId="0" borderId="13" xfId="8" applyNumberFormat="1" applyFont="1" applyBorder="1" applyAlignment="1">
      <alignment horizontal="left" vertical="top" wrapText="1"/>
    </xf>
    <xf numFmtId="2" fontId="12" fillId="0" borderId="0" xfId="9" applyNumberFormat="1" applyFont="1"/>
    <xf numFmtId="49" fontId="12" fillId="0" borderId="13" xfId="9" applyNumberFormat="1" applyFont="1" applyBorder="1" applyAlignment="1">
      <alignment horizontal="left" vertical="top" wrapText="1"/>
    </xf>
    <xf numFmtId="0" fontId="32" fillId="0" borderId="0" xfId="6" applyFont="1" applyAlignment="1">
      <alignment horizontal="justify" vertical="top" wrapText="1"/>
    </xf>
    <xf numFmtId="0" fontId="32" fillId="0" borderId="0" xfId="6" applyFont="1" applyAlignment="1">
      <alignment horizontal="center" wrapText="1"/>
    </xf>
    <xf numFmtId="0" fontId="22" fillId="0" borderId="0" xfId="6" applyFont="1" applyAlignment="1">
      <alignment horizontal="justify" vertical="top" wrapText="1"/>
    </xf>
    <xf numFmtId="0" fontId="22" fillId="0" borderId="0" xfId="6" applyFont="1" applyAlignment="1">
      <alignment horizontal="center" wrapText="1"/>
    </xf>
    <xf numFmtId="0" fontId="13" fillId="0" borderId="0" xfId="6" applyFont="1" applyAlignment="1">
      <alignment horizontal="justify" vertical="top" wrapText="1"/>
    </xf>
    <xf numFmtId="0" fontId="13" fillId="0" borderId="0" xfId="6" applyFont="1" applyAlignment="1">
      <alignment horizontal="center" wrapText="1"/>
    </xf>
    <xf numFmtId="167" fontId="12" fillId="0" borderId="13" xfId="13" applyFont="1" applyBorder="1" applyAlignment="1"/>
    <xf numFmtId="49" fontId="12" fillId="0" borderId="0" xfId="9" applyNumberFormat="1" applyFont="1" applyAlignment="1">
      <alignment horizontal="center" vertical="top" wrapText="1"/>
    </xf>
    <xf numFmtId="0" fontId="12" fillId="0" borderId="0" xfId="9" applyFont="1" applyAlignment="1">
      <alignment horizontal="justify" vertical="top" wrapText="1"/>
    </xf>
    <xf numFmtId="49" fontId="32" fillId="0" borderId="0" xfId="8" applyNumberFormat="1" applyFont="1" applyAlignment="1">
      <alignment horizontal="left" vertical="top" wrapText="1"/>
    </xf>
    <xf numFmtId="16" fontId="32" fillId="0" borderId="13" xfId="8" applyNumberFormat="1" applyFont="1" applyBorder="1" applyAlignment="1">
      <alignment horizontal="left" vertical="top"/>
    </xf>
    <xf numFmtId="49" fontId="32" fillId="0" borderId="13" xfId="8" applyNumberFormat="1" applyFont="1" applyBorder="1" applyAlignment="1">
      <alignment horizontal="left" vertical="center" wrapText="1"/>
    </xf>
    <xf numFmtId="4" fontId="12" fillId="0" borderId="0" xfId="7" applyNumberFormat="1" applyFont="1"/>
    <xf numFmtId="0" fontId="36" fillId="0" borderId="13" xfId="6" applyFont="1" applyBorder="1" applyAlignment="1">
      <alignment horizontal="left" vertical="top"/>
    </xf>
    <xf numFmtId="0" fontId="15" fillId="0" borderId="13" xfId="9" applyFont="1" applyBorder="1" applyAlignment="1">
      <alignment horizontal="left" vertical="top"/>
    </xf>
    <xf numFmtId="16" fontId="17" fillId="16" borderId="13" xfId="12" applyNumberFormat="1" applyFont="1" applyFill="1" applyBorder="1" applyAlignment="1">
      <alignment horizontal="left" vertical="top"/>
    </xf>
    <xf numFmtId="0" fontId="32" fillId="0" borderId="13" xfId="7" applyFont="1" applyBorder="1" applyAlignment="1">
      <alignment vertical="top" wrapText="1"/>
    </xf>
    <xf numFmtId="4" fontId="32" fillId="0" borderId="13" xfId="13" applyNumberFormat="1" applyFont="1" applyFill="1" applyBorder="1" applyAlignment="1">
      <alignment vertical="top" wrapText="1"/>
    </xf>
    <xf numFmtId="167" fontId="32" fillId="0" borderId="13" xfId="13" applyFont="1" applyFill="1" applyBorder="1" applyAlignment="1" applyProtection="1">
      <alignment vertical="top" wrapText="1"/>
      <protection locked="0"/>
    </xf>
    <xf numFmtId="167" fontId="32" fillId="0" borderId="13" xfId="13" applyFont="1" applyFill="1" applyBorder="1" applyAlignment="1">
      <alignment horizontal="right" vertical="top" wrapText="1"/>
    </xf>
    <xf numFmtId="0" fontId="12" fillId="0" borderId="13" xfId="6" applyFont="1" applyBorder="1" applyAlignment="1">
      <alignment horizontal="left" vertical="center" wrapText="1"/>
    </xf>
    <xf numFmtId="0" fontId="12" fillId="0" borderId="13" xfId="8" applyFont="1" applyBorder="1" applyAlignment="1">
      <alignment horizontal="center" vertical="center"/>
    </xf>
    <xf numFmtId="165" fontId="12" fillId="0" borderId="13" xfId="4" applyNumberFormat="1" applyFont="1" applyFill="1" applyBorder="1" applyAlignment="1">
      <alignment horizontal="center" vertical="center"/>
    </xf>
    <xf numFmtId="167" fontId="32" fillId="0" borderId="13" xfId="13" applyFont="1" applyFill="1" applyBorder="1" applyAlignment="1" applyProtection="1">
      <alignment horizontal="center" vertical="top" wrapText="1"/>
      <protection locked="0"/>
    </xf>
    <xf numFmtId="0" fontId="32" fillId="0" borderId="13" xfId="6" applyFont="1" applyBorder="1" applyAlignment="1">
      <alignment vertical="center" wrapText="1"/>
    </xf>
    <xf numFmtId="165" fontId="12" fillId="0" borderId="0" xfId="9" applyNumberFormat="1" applyFont="1"/>
    <xf numFmtId="0" fontId="15" fillId="0" borderId="13" xfId="9" applyFont="1" applyBorder="1" applyAlignment="1">
      <alignment horizontal="left" vertical="center" wrapText="1"/>
    </xf>
    <xf numFmtId="0" fontId="15" fillId="0" borderId="13" xfId="7" applyFont="1" applyBorder="1" applyAlignment="1">
      <alignment horizontal="left" vertical="top" wrapText="1"/>
    </xf>
    <xf numFmtId="165" fontId="12" fillId="0" borderId="13" xfId="4" applyNumberFormat="1" applyFont="1" applyFill="1" applyBorder="1" applyAlignment="1">
      <alignment horizontal="right" vertical="center"/>
    </xf>
    <xf numFmtId="49" fontId="15" fillId="0" borderId="13" xfId="12" applyNumberFormat="1" applyFont="1" applyBorder="1" applyAlignment="1">
      <alignment horizontal="left" vertical="center"/>
    </xf>
    <xf numFmtId="49" fontId="16" fillId="0" borderId="13" xfId="6" applyNumberFormat="1" applyBorder="1" applyAlignment="1">
      <alignment horizontal="left" vertical="top"/>
    </xf>
    <xf numFmtId="4" fontId="16" fillId="0" borderId="0" xfId="13" applyNumberFormat="1" applyFont="1" applyFill="1" applyAlignment="1">
      <alignment horizontal="right"/>
    </xf>
    <xf numFmtId="0" fontId="11" fillId="0" borderId="0" xfId="6" applyFont="1"/>
    <xf numFmtId="0" fontId="21" fillId="0" borderId="13" xfId="6" applyFont="1" applyBorder="1" applyAlignment="1">
      <alignment vertical="center" wrapText="1"/>
    </xf>
    <xf numFmtId="165" fontId="3" fillId="0" borderId="13" xfId="4" applyNumberFormat="1" applyFont="1" applyFill="1" applyBorder="1" applyAlignment="1">
      <alignment horizontal="right" vertical="center"/>
    </xf>
    <xf numFmtId="49" fontId="4" fillId="0" borderId="13" xfId="12" applyNumberFormat="1" applyFont="1" applyBorder="1" applyAlignment="1">
      <alignment horizontal="left" vertical="top"/>
    </xf>
    <xf numFmtId="167" fontId="3" fillId="0" borderId="13" xfId="13" applyFont="1" applyFill="1" applyBorder="1" applyAlignment="1">
      <alignment vertical="center"/>
    </xf>
    <xf numFmtId="165" fontId="4" fillId="0" borderId="13" xfId="4" applyNumberFormat="1" applyFont="1" applyFill="1" applyBorder="1" applyAlignment="1">
      <alignment vertical="center"/>
    </xf>
    <xf numFmtId="49" fontId="3" fillId="0" borderId="13" xfId="12" applyNumberFormat="1" applyBorder="1" applyAlignment="1">
      <alignment horizontal="left" vertical="top"/>
    </xf>
    <xf numFmtId="0" fontId="15" fillId="0" borderId="8" xfId="9" applyFont="1" applyBorder="1" applyAlignment="1">
      <alignment horizontal="left" vertical="top"/>
    </xf>
    <xf numFmtId="16" fontId="15" fillId="16" borderId="13" xfId="12" applyNumberFormat="1" applyFont="1" applyFill="1" applyBorder="1" applyAlignment="1">
      <alignment horizontal="left" vertical="center"/>
    </xf>
    <xf numFmtId="0" fontId="15" fillId="16" borderId="13" xfId="12" applyFont="1" applyFill="1" applyBorder="1" applyAlignment="1">
      <alignment horizontal="justify" vertical="center" wrapText="1"/>
    </xf>
    <xf numFmtId="0" fontId="12" fillId="16" borderId="13" xfId="12" applyFont="1" applyFill="1" applyBorder="1" applyAlignment="1">
      <alignment horizontal="center" vertical="center"/>
    </xf>
    <xf numFmtId="165" fontId="12" fillId="16" borderId="13" xfId="4" applyNumberFormat="1" applyFont="1" applyFill="1" applyBorder="1" applyAlignment="1">
      <alignment vertical="center"/>
    </xf>
    <xf numFmtId="4" fontId="12" fillId="16" borderId="13" xfId="4" applyNumberFormat="1" applyFont="1" applyFill="1" applyBorder="1" applyAlignment="1" applyProtection="1">
      <alignment vertical="center"/>
      <protection locked="0"/>
    </xf>
    <xf numFmtId="0" fontId="12" fillId="0" borderId="0" xfId="9" applyFont="1" applyAlignment="1">
      <alignment horizontal="left"/>
    </xf>
    <xf numFmtId="49" fontId="6" fillId="0" borderId="0" xfId="6" applyNumberFormat="1" applyFont="1" applyAlignment="1">
      <alignment horizontal="left" vertical="center" shrinkToFit="1"/>
    </xf>
    <xf numFmtId="0" fontId="3" fillId="0" borderId="13" xfId="6" applyFont="1" applyBorder="1" applyAlignment="1">
      <alignment horizontal="left" vertical="top"/>
    </xf>
    <xf numFmtId="0" fontId="10" fillId="0" borderId="0" xfId="6" applyFont="1" applyAlignment="1">
      <alignment horizontal="left" vertical="top"/>
    </xf>
    <xf numFmtId="0" fontId="12" fillId="0" borderId="0" xfId="6" applyFont="1"/>
    <xf numFmtId="0" fontId="13" fillId="0" borderId="0" xfId="12" applyFont="1" applyAlignment="1">
      <alignment horizontal="left" vertical="center" wrapText="1"/>
    </xf>
    <xf numFmtId="171" fontId="16" fillId="0" borderId="0" xfId="6" applyNumberFormat="1" applyAlignment="1">
      <alignment horizontal="right" vertical="center" wrapText="1"/>
    </xf>
    <xf numFmtId="0" fontId="12" fillId="0" borderId="0" xfId="9" applyFont="1" applyAlignment="1">
      <alignment vertical="center"/>
    </xf>
    <xf numFmtId="0" fontId="16" fillId="0" borderId="0" xfId="6" applyAlignment="1">
      <alignment vertical="center"/>
    </xf>
    <xf numFmtId="0" fontId="3" fillId="0" borderId="0" xfId="12" applyAlignment="1">
      <alignment vertical="center"/>
    </xf>
    <xf numFmtId="0" fontId="53" fillId="0" borderId="0" xfId="21" applyFont="1" applyAlignment="1">
      <alignment horizontal="left" vertical="center" wrapText="1"/>
    </xf>
    <xf numFmtId="0" fontId="53" fillId="0" borderId="0" xfId="20" applyFont="1" applyAlignment="1">
      <alignment horizontal="left" vertical="center" wrapText="1" readingOrder="1"/>
    </xf>
    <xf numFmtId="0" fontId="56" fillId="0" borderId="13" xfId="12" applyFont="1" applyBorder="1" applyAlignment="1">
      <alignment horizontal="left" vertical="center" wrapText="1"/>
    </xf>
    <xf numFmtId="0" fontId="56" fillId="0" borderId="0" xfId="12" applyFont="1" applyAlignment="1">
      <alignment horizontal="left" vertical="center" wrapText="1"/>
    </xf>
    <xf numFmtId="4" fontId="12" fillId="0" borderId="0" xfId="9" applyNumberFormat="1" applyFont="1" applyAlignment="1">
      <alignment vertical="center"/>
    </xf>
    <xf numFmtId="172" fontId="56" fillId="0" borderId="0" xfId="22" applyNumberFormat="1" applyFont="1" applyFill="1" applyBorder="1" applyAlignment="1">
      <alignment horizontal="left" vertical="center" wrapText="1"/>
    </xf>
    <xf numFmtId="0" fontId="56" fillId="0" borderId="0" xfId="21" applyFont="1" applyAlignment="1">
      <alignment horizontal="left" vertical="center" wrapText="1"/>
    </xf>
    <xf numFmtId="0" fontId="64" fillId="0" borderId="0" xfId="23" applyFont="1" applyAlignment="1">
      <alignment horizontal="left" vertical="center" wrapText="1"/>
    </xf>
    <xf numFmtId="0" fontId="10" fillId="0" borderId="0" xfId="24" applyFont="1" applyAlignment="1">
      <alignment horizontal="left" vertical="top"/>
    </xf>
    <xf numFmtId="0" fontId="16" fillId="0" borderId="26" xfId="6" applyBorder="1" applyAlignment="1">
      <alignment horizontal="left" vertical="top" wrapText="1"/>
    </xf>
    <xf numFmtId="0" fontId="48" fillId="0" borderId="0" xfId="20" applyFont="1" applyAlignment="1">
      <alignment horizontal="left" vertical="center" wrapText="1" readingOrder="1"/>
    </xf>
    <xf numFmtId="0" fontId="42" fillId="0" borderId="0" xfId="6" applyFont="1" applyAlignment="1">
      <alignment horizontal="left" vertical="center" shrinkToFit="1"/>
    </xf>
    <xf numFmtId="0" fontId="3" fillId="0" borderId="0" xfId="6" applyFont="1" applyAlignment="1">
      <alignment horizontal="left" vertical="top"/>
    </xf>
    <xf numFmtId="0" fontId="16" fillId="0" borderId="0" xfId="6" applyAlignment="1">
      <alignment horizontal="left" vertical="top" wrapText="1"/>
    </xf>
    <xf numFmtId="0" fontId="4" fillId="0" borderId="0" xfId="6" applyFont="1" applyAlignment="1">
      <alignment horizontal="left"/>
    </xf>
    <xf numFmtId="0" fontId="3" fillId="0" borderId="0" xfId="6" applyFont="1" applyAlignment="1">
      <alignment horizontal="left"/>
    </xf>
    <xf numFmtId="173" fontId="3" fillId="0" borderId="0" xfId="6" applyNumberFormat="1" applyFont="1"/>
    <xf numFmtId="4" fontId="3" fillId="0" borderId="0" xfId="6" applyNumberFormat="1" applyFont="1"/>
    <xf numFmtId="4" fontId="3" fillId="0" borderId="0" xfId="6" applyNumberFormat="1" applyFont="1" applyAlignment="1">
      <alignment horizontal="right"/>
    </xf>
    <xf numFmtId="0" fontId="14" fillId="13" borderId="5" xfId="6" applyFont="1" applyFill="1" applyBorder="1" applyAlignment="1">
      <alignment horizontal="left" vertical="center"/>
    </xf>
    <xf numFmtId="0" fontId="15" fillId="0" borderId="0" xfId="9" applyFont="1" applyAlignment="1">
      <alignment horizontal="center" vertical="top"/>
    </xf>
    <xf numFmtId="0" fontId="74" fillId="0" borderId="0" xfId="6" applyFont="1"/>
    <xf numFmtId="1" fontId="3" fillId="0" borderId="13" xfId="6" applyNumberFormat="1" applyFont="1" applyBorder="1" applyAlignment="1">
      <alignment horizontal="left" vertical="top"/>
    </xf>
    <xf numFmtId="0" fontId="3" fillId="0" borderId="13" xfId="6" applyFont="1" applyBorder="1" applyAlignment="1">
      <alignment horizontal="left"/>
    </xf>
    <xf numFmtId="0" fontId="3" fillId="0" borderId="13" xfId="6" applyFont="1" applyBorder="1"/>
    <xf numFmtId="173" fontId="3" fillId="0" borderId="13" xfId="6" applyNumberFormat="1" applyFont="1" applyBorder="1"/>
    <xf numFmtId="164" fontId="3" fillId="0" borderId="13" xfId="6" applyNumberFormat="1" applyFont="1" applyBorder="1"/>
    <xf numFmtId="164" fontId="3" fillId="0" borderId="13" xfId="6" applyNumberFormat="1" applyFont="1" applyBorder="1" applyAlignment="1">
      <alignment horizontal="right"/>
    </xf>
    <xf numFmtId="0" fontId="3" fillId="0" borderId="13" xfId="6" applyFont="1" applyBorder="1" applyAlignment="1">
      <alignment horizontal="left" vertical="top" wrapText="1"/>
    </xf>
    <xf numFmtId="49" fontId="40" fillId="0" borderId="13" xfId="26" applyNumberFormat="1" applyFont="1" applyFill="1" applyBorder="1" applyAlignment="1" applyProtection="1">
      <alignment horizontal="left" vertical="top"/>
    </xf>
    <xf numFmtId="1" fontId="40" fillId="0" borderId="13" xfId="26" applyNumberFormat="1" applyFont="1" applyFill="1" applyBorder="1" applyAlignment="1" applyProtection="1">
      <alignment horizontal="left" vertical="top"/>
    </xf>
    <xf numFmtId="173" fontId="76" fillId="0" borderId="13" xfId="6" applyNumberFormat="1" applyFont="1" applyBorder="1"/>
    <xf numFmtId="164" fontId="76" fillId="0" borderId="13" xfId="6" applyNumberFormat="1" applyFont="1" applyBorder="1"/>
    <xf numFmtId="49" fontId="12" fillId="0" borderId="13" xfId="9" applyNumberFormat="1" applyFont="1" applyBorder="1" applyAlignment="1">
      <alignment horizontal="center" vertical="top"/>
    </xf>
    <xf numFmtId="49" fontId="3" fillId="0" borderId="13" xfId="6" applyNumberFormat="1" applyFont="1" applyBorder="1" applyAlignment="1">
      <alignment horizontal="left" vertical="top"/>
    </xf>
    <xf numFmtId="49" fontId="12" fillId="0" borderId="13" xfId="7" applyNumberFormat="1" applyFont="1" applyBorder="1" applyAlignment="1">
      <alignment horizontal="center" vertical="top" wrapText="1"/>
    </xf>
    <xf numFmtId="0" fontId="3" fillId="0" borderId="13" xfId="7" applyFont="1" applyBorder="1" applyAlignment="1">
      <alignment horizontal="center" vertical="center" wrapText="1"/>
    </xf>
    <xf numFmtId="165" fontId="3" fillId="0" borderId="13" xfId="4" applyNumberFormat="1" applyFont="1" applyFill="1" applyBorder="1" applyAlignment="1">
      <alignment vertical="center"/>
    </xf>
    <xf numFmtId="167" fontId="3" fillId="0" borderId="13" xfId="13" applyFont="1" applyFill="1" applyBorder="1" applyAlignment="1" applyProtection="1">
      <alignment vertical="center"/>
      <protection locked="0"/>
    </xf>
    <xf numFmtId="1" fontId="45" fillId="0" borderId="16" xfId="26" applyNumberFormat="1" applyFont="1" applyFill="1" applyBorder="1" applyAlignment="1" applyProtection="1">
      <alignment horizontal="left" vertical="top"/>
    </xf>
    <xf numFmtId="0" fontId="32" fillId="0" borderId="16" xfId="6" applyFont="1" applyBorder="1" applyAlignment="1">
      <alignment vertical="top" wrapText="1"/>
    </xf>
    <xf numFmtId="0" fontId="12" fillId="0" borderId="16" xfId="7" applyFont="1" applyBorder="1" applyAlignment="1">
      <alignment horizontal="center" vertical="center" wrapText="1"/>
    </xf>
    <xf numFmtId="165" fontId="12" fillId="0" borderId="14" xfId="4" applyNumberFormat="1" applyFont="1" applyFill="1" applyBorder="1" applyAlignment="1">
      <alignment vertical="center"/>
    </xf>
    <xf numFmtId="167" fontId="12" fillId="0" borderId="16" xfId="13" applyFont="1" applyFill="1" applyBorder="1" applyAlignment="1"/>
    <xf numFmtId="167" fontId="12" fillId="0" borderId="16" xfId="13" applyFont="1" applyBorder="1"/>
    <xf numFmtId="1" fontId="45" fillId="0" borderId="13" xfId="26" applyNumberFormat="1" applyFont="1" applyFill="1" applyBorder="1" applyAlignment="1" applyProtection="1">
      <alignment horizontal="left" vertical="top"/>
    </xf>
    <xf numFmtId="49" fontId="45" fillId="0" borderId="13" xfId="26" applyNumberFormat="1" applyFont="1" applyFill="1" applyBorder="1" applyAlignment="1" applyProtection="1">
      <alignment horizontal="left" vertical="top"/>
    </xf>
    <xf numFmtId="0" fontId="3" fillId="0" borderId="13" xfId="27" applyBorder="1" applyAlignment="1">
      <alignment horizontal="justify" vertical="center" wrapText="1"/>
    </xf>
    <xf numFmtId="170" fontId="16" fillId="0" borderId="13" xfId="6" applyNumberFormat="1" applyBorder="1"/>
    <xf numFmtId="1" fontId="16" fillId="0" borderId="0" xfId="6" applyNumberFormat="1"/>
    <xf numFmtId="170" fontId="16" fillId="0" borderId="13" xfId="6" applyNumberFormat="1" applyBorder="1" applyAlignment="1">
      <alignment wrapText="1"/>
    </xf>
    <xf numFmtId="170" fontId="16" fillId="0" borderId="0" xfId="6" applyNumberFormat="1"/>
    <xf numFmtId="170" fontId="3" fillId="0" borderId="0" xfId="6" applyNumberFormat="1" applyFont="1"/>
    <xf numFmtId="164" fontId="16" fillId="0" borderId="0" xfId="6" applyNumberFormat="1"/>
    <xf numFmtId="1" fontId="3" fillId="0" borderId="13" xfId="6" applyNumberFormat="1" applyFont="1" applyBorder="1" applyAlignment="1">
      <alignment horizontal="center" vertical="top"/>
    </xf>
    <xf numFmtId="0" fontId="3" fillId="0" borderId="13" xfId="6" applyFont="1" applyBorder="1" applyAlignment="1">
      <alignment horizontal="justify" vertical="top" wrapText="1"/>
    </xf>
    <xf numFmtId="0" fontId="3" fillId="0" borderId="13" xfId="6" applyFont="1" applyBorder="1" applyAlignment="1">
      <alignment horizontal="center"/>
    </xf>
    <xf numFmtId="49" fontId="21" fillId="0" borderId="13" xfId="8" applyNumberFormat="1" applyBorder="1" applyAlignment="1">
      <alignment horizontal="left" vertical="center" wrapText="1"/>
    </xf>
    <xf numFmtId="0" fontId="21" fillId="0" borderId="13" xfId="8" applyBorder="1" applyAlignment="1">
      <alignment horizontal="center" vertical="center"/>
    </xf>
    <xf numFmtId="165" fontId="21" fillId="0" borderId="13" xfId="4" applyNumberFormat="1" applyFont="1" applyFill="1" applyBorder="1" applyAlignment="1">
      <alignment vertical="center"/>
    </xf>
    <xf numFmtId="0" fontId="15" fillId="16" borderId="12" xfId="12" applyFont="1" applyFill="1" applyBorder="1" applyAlignment="1">
      <alignment horizontal="center" vertical="center"/>
    </xf>
    <xf numFmtId="0" fontId="15" fillId="16" borderId="12" xfId="12" applyFont="1" applyFill="1" applyBorder="1" applyAlignment="1">
      <alignment vertical="center"/>
    </xf>
    <xf numFmtId="165" fontId="15" fillId="16" borderId="12" xfId="4" applyNumberFormat="1" applyFont="1" applyFill="1" applyBorder="1" applyAlignment="1">
      <alignment vertical="center"/>
    </xf>
    <xf numFmtId="4" fontId="15" fillId="16" borderId="12" xfId="4" applyNumberFormat="1" applyFont="1" applyFill="1" applyBorder="1" applyAlignment="1" applyProtection="1">
      <alignment vertical="center"/>
      <protection locked="0"/>
    </xf>
    <xf numFmtId="167" fontId="15" fillId="16" borderId="12" xfId="13" applyFont="1" applyFill="1" applyBorder="1" applyAlignment="1">
      <alignment vertical="center"/>
    </xf>
    <xf numFmtId="1" fontId="3" fillId="0" borderId="27" xfId="6" applyNumberFormat="1" applyFont="1" applyBorder="1" applyAlignment="1">
      <alignment horizontal="left"/>
    </xf>
    <xf numFmtId="0" fontId="3" fillId="0" borderId="26" xfId="6" applyFont="1" applyBorder="1"/>
    <xf numFmtId="173" fontId="3" fillId="0" borderId="26" xfId="6" applyNumberFormat="1" applyFont="1" applyBorder="1"/>
    <xf numFmtId="164" fontId="3" fillId="0" borderId="26" xfId="6" applyNumberFormat="1" applyFont="1" applyBorder="1"/>
    <xf numFmtId="164" fontId="3" fillId="0" borderId="28" xfId="6" applyNumberFormat="1" applyFont="1" applyBorder="1" applyAlignment="1">
      <alignment horizontal="right"/>
    </xf>
    <xf numFmtId="49" fontId="4" fillId="0" borderId="4" xfId="6" applyNumberFormat="1" applyFont="1" applyBorder="1" applyAlignment="1">
      <alignment horizontal="left" vertical="top"/>
    </xf>
    <xf numFmtId="0" fontId="4" fillId="0" borderId="5" xfId="6" applyFont="1" applyBorder="1" applyAlignment="1">
      <alignment horizontal="left"/>
    </xf>
    <xf numFmtId="0" fontId="74" fillId="0" borderId="5" xfId="6" applyFont="1" applyBorder="1"/>
    <xf numFmtId="173" fontId="74" fillId="0" borderId="5" xfId="6" applyNumberFormat="1" applyFont="1" applyBorder="1"/>
    <xf numFmtId="164" fontId="74" fillId="0" borderId="5" xfId="6" applyNumberFormat="1" applyFont="1" applyBorder="1"/>
    <xf numFmtId="164" fontId="74" fillId="0" borderId="6" xfId="6" applyNumberFormat="1" applyFont="1" applyBorder="1" applyAlignment="1">
      <alignment horizontal="right"/>
    </xf>
    <xf numFmtId="49" fontId="4" fillId="0" borderId="29" xfId="6" applyNumberFormat="1" applyFont="1" applyBorder="1" applyAlignment="1">
      <alignment horizontal="left" vertical="top"/>
    </xf>
    <xf numFmtId="173" fontId="74" fillId="0" borderId="0" xfId="6" applyNumberFormat="1" applyFont="1"/>
    <xf numFmtId="164" fontId="74" fillId="0" borderId="0" xfId="6" applyNumberFormat="1" applyFont="1"/>
    <xf numFmtId="164" fontId="74" fillId="0" borderId="14" xfId="6" applyNumberFormat="1" applyFont="1" applyBorder="1" applyAlignment="1">
      <alignment horizontal="right"/>
    </xf>
    <xf numFmtId="0" fontId="12" fillId="0" borderId="13" xfId="9" applyFont="1" applyBorder="1" applyAlignment="1">
      <alignment horizontal="center" vertical="top"/>
    </xf>
    <xf numFmtId="0" fontId="12" fillId="0" borderId="13" xfId="7" applyFont="1" applyBorder="1" applyAlignment="1">
      <alignment horizontal="center" vertical="top"/>
    </xf>
    <xf numFmtId="49" fontId="4" fillId="0" borderId="13" xfId="6" applyNumberFormat="1" applyFont="1" applyBorder="1" applyAlignment="1">
      <alignment horizontal="left" vertical="top"/>
    </xf>
    <xf numFmtId="0" fontId="15" fillId="0" borderId="13" xfId="9" applyFont="1" applyBorder="1" applyAlignment="1">
      <alignment horizontal="center" vertical="center" wrapText="1"/>
    </xf>
    <xf numFmtId="49" fontId="15" fillId="0" borderId="13" xfId="12" applyNumberFormat="1" applyFont="1" applyBorder="1" applyAlignment="1">
      <alignment horizontal="center" vertical="center"/>
    </xf>
    <xf numFmtId="1" fontId="4" fillId="0" borderId="13" xfId="6" applyNumberFormat="1" applyFont="1" applyBorder="1" applyAlignment="1">
      <alignment horizontal="left" vertical="top"/>
    </xf>
    <xf numFmtId="0" fontId="4" fillId="0" borderId="13" xfId="6" applyFont="1" applyBorder="1" applyAlignment="1">
      <alignment horizontal="left"/>
    </xf>
    <xf numFmtId="0" fontId="74" fillId="0" borderId="13" xfId="6" applyFont="1" applyBorder="1"/>
    <xf numFmtId="173" fontId="74" fillId="0" borderId="13" xfId="6" applyNumberFormat="1" applyFont="1" applyBorder="1"/>
    <xf numFmtId="164" fontId="77" fillId="0" borderId="13" xfId="6" applyNumberFormat="1" applyFont="1" applyBorder="1"/>
    <xf numFmtId="164" fontId="4" fillId="0" borderId="13" xfId="6" applyNumberFormat="1" applyFont="1" applyBorder="1" applyAlignment="1">
      <alignment horizontal="right"/>
    </xf>
    <xf numFmtId="16" fontId="15" fillId="16" borderId="12" xfId="12" applyNumberFormat="1" applyFont="1" applyFill="1" applyBorder="1" applyAlignment="1">
      <alignment horizontal="center" vertical="center"/>
    </xf>
    <xf numFmtId="0" fontId="15" fillId="16" borderId="12" xfId="12" applyFont="1" applyFill="1" applyBorder="1" applyAlignment="1">
      <alignment horizontal="justify" vertical="center" wrapText="1"/>
    </xf>
    <xf numFmtId="0" fontId="12" fillId="16" borderId="12" xfId="12" applyFont="1" applyFill="1" applyBorder="1" applyAlignment="1">
      <alignment horizontal="center" vertical="center"/>
    </xf>
    <xf numFmtId="165" fontId="12" fillId="16" borderId="12" xfId="4" applyNumberFormat="1" applyFont="1" applyFill="1" applyBorder="1" applyAlignment="1">
      <alignment vertical="center"/>
    </xf>
    <xf numFmtId="4" fontId="12" fillId="16" borderId="12" xfId="4" applyNumberFormat="1" applyFont="1" applyFill="1" applyBorder="1" applyAlignment="1" applyProtection="1">
      <alignment vertical="center"/>
      <protection locked="0"/>
    </xf>
    <xf numFmtId="1" fontId="3" fillId="0" borderId="0" xfId="6" applyNumberFormat="1" applyFont="1" applyAlignment="1">
      <alignment horizontal="left"/>
    </xf>
    <xf numFmtId="164" fontId="3" fillId="0" borderId="0" xfId="6" applyNumberFormat="1" applyFont="1"/>
    <xf numFmtId="164" fontId="3" fillId="0" borderId="0" xfId="6" applyNumberFormat="1" applyFont="1" applyAlignment="1">
      <alignment horizontal="right"/>
    </xf>
    <xf numFmtId="1" fontId="4" fillId="0" borderId="0" xfId="6" quotePrefix="1" applyNumberFormat="1" applyFont="1" applyAlignment="1">
      <alignment horizontal="left" vertical="top"/>
    </xf>
    <xf numFmtId="164" fontId="74" fillId="0" borderId="0" xfId="6" applyNumberFormat="1" applyFont="1" applyAlignment="1">
      <alignment horizontal="right"/>
    </xf>
    <xf numFmtId="1" fontId="3" fillId="0" borderId="0" xfId="6" applyNumberFormat="1" applyFont="1" applyAlignment="1">
      <alignment horizontal="left" vertical="top"/>
    </xf>
    <xf numFmtId="1" fontId="3" fillId="0" borderId="0" xfId="6" quotePrefix="1" applyNumberFormat="1" applyFont="1" applyAlignment="1">
      <alignment horizontal="left" vertical="top"/>
    </xf>
    <xf numFmtId="0" fontId="3" fillId="0" borderId="0" xfId="6" applyFont="1" applyAlignment="1">
      <alignment horizontal="left" vertical="top" wrapText="1"/>
    </xf>
    <xf numFmtId="1" fontId="74" fillId="0" borderId="0" xfId="6" applyNumberFormat="1" applyFont="1" applyAlignment="1">
      <alignment horizontal="left"/>
    </xf>
    <xf numFmtId="0" fontId="74" fillId="0" borderId="0" xfId="6" applyFont="1" applyAlignment="1">
      <alignment horizontal="left"/>
    </xf>
    <xf numFmtId="10" fontId="3" fillId="0" borderId="0" xfId="6" applyNumberFormat="1" applyFont="1"/>
    <xf numFmtId="1" fontId="4" fillId="0" borderId="0" xfId="6" applyNumberFormat="1" applyFont="1" applyAlignment="1">
      <alignment horizontal="left" vertical="top"/>
    </xf>
    <xf numFmtId="164" fontId="4" fillId="0" borderId="0" xfId="6" applyNumberFormat="1" applyFont="1" applyAlignment="1">
      <alignment horizontal="right"/>
    </xf>
    <xf numFmtId="0" fontId="3" fillId="0" borderId="16" xfId="6" applyFont="1" applyBorder="1" applyAlignment="1">
      <alignment horizontal="left"/>
    </xf>
    <xf numFmtId="0" fontId="3" fillId="0" borderId="16" xfId="6" applyFont="1" applyBorder="1"/>
    <xf numFmtId="173" fontId="3" fillId="0" borderId="14" xfId="6" applyNumberFormat="1" applyFont="1" applyBorder="1"/>
    <xf numFmtId="4" fontId="3" fillId="0" borderId="16" xfId="6" applyNumberFormat="1" applyFont="1" applyBorder="1"/>
    <xf numFmtId="4" fontId="3" fillId="0" borderId="16" xfId="6" applyNumberFormat="1" applyFont="1" applyBorder="1" applyAlignment="1">
      <alignment horizontal="right"/>
    </xf>
    <xf numFmtId="0" fontId="6" fillId="4" borderId="5" xfId="6" applyFont="1" applyFill="1" applyBorder="1" applyAlignment="1">
      <alignment horizontal="left" vertical="center"/>
    </xf>
    <xf numFmtId="49" fontId="4" fillId="6" borderId="13" xfId="6" applyNumberFormat="1" applyFont="1" applyFill="1" applyBorder="1" applyAlignment="1">
      <alignment horizontal="center" vertical="center"/>
    </xf>
    <xf numFmtId="0" fontId="14" fillId="6" borderId="4" xfId="6" applyFont="1" applyFill="1" applyBorder="1" applyAlignment="1">
      <alignment horizontal="left" vertical="center" wrapText="1"/>
    </xf>
    <xf numFmtId="49" fontId="3" fillId="7" borderId="4" xfId="6" quotePrefix="1" applyNumberFormat="1" applyFont="1" applyFill="1" applyBorder="1" applyAlignment="1">
      <alignment horizontal="center" vertical="center"/>
    </xf>
    <xf numFmtId="0" fontId="13" fillId="7" borderId="4" xfId="6" applyFont="1" applyFill="1" applyBorder="1" applyAlignment="1">
      <alignment vertical="center" wrapText="1"/>
    </xf>
    <xf numFmtId="0" fontId="13" fillId="7" borderId="5" xfId="6" applyFont="1" applyFill="1" applyBorder="1" applyAlignment="1">
      <alignment vertical="center" wrapText="1"/>
    </xf>
    <xf numFmtId="165" fontId="13" fillId="7" borderId="5" xfId="6" applyNumberFormat="1" applyFont="1" applyFill="1" applyBorder="1" applyAlignment="1">
      <alignment vertical="center" wrapText="1"/>
    </xf>
    <xf numFmtId="4" fontId="14" fillId="7" borderId="6" xfId="6" applyNumberFormat="1" applyFont="1" applyFill="1" applyBorder="1" applyAlignment="1" applyProtection="1">
      <alignment horizontal="right" vertical="center"/>
      <protection locked="0"/>
    </xf>
    <xf numFmtId="174" fontId="13" fillId="0" borderId="0" xfId="4" applyNumberFormat="1" applyFont="1" applyFill="1" applyAlignment="1" applyProtection="1">
      <alignment vertical="center"/>
      <protection locked="0"/>
    </xf>
    <xf numFmtId="174" fontId="13" fillId="4" borderId="5" xfId="4" applyNumberFormat="1" applyFont="1" applyFill="1" applyBorder="1" applyAlignment="1" applyProtection="1">
      <alignment vertical="center"/>
      <protection locked="0"/>
    </xf>
    <xf numFmtId="4" fontId="2" fillId="4" borderId="6" xfId="4" applyNumberFormat="1" applyFont="1" applyFill="1" applyBorder="1" applyAlignment="1">
      <alignment horizontal="right" vertical="center"/>
    </xf>
    <xf numFmtId="0" fontId="14" fillId="4" borderId="5" xfId="6" applyFont="1" applyFill="1" applyBorder="1" applyAlignment="1">
      <alignment horizontal="center" vertical="center"/>
    </xf>
    <xf numFmtId="174" fontId="13" fillId="4" borderId="5" xfId="6" applyNumberFormat="1" applyFont="1" applyFill="1" applyBorder="1" applyAlignment="1" applyProtection="1">
      <alignment horizontal="left" vertical="center"/>
      <protection locked="0"/>
    </xf>
    <xf numFmtId="174" fontId="13" fillId="0" borderId="0" xfId="6" applyNumberFormat="1" applyFont="1" applyAlignment="1" applyProtection="1">
      <alignment horizontal="left" vertical="center"/>
      <protection locked="0"/>
    </xf>
    <xf numFmtId="49" fontId="7" fillId="4" borderId="4" xfId="6" applyNumberFormat="1" applyFont="1" applyFill="1" applyBorder="1" applyAlignment="1">
      <alignment horizontal="left" vertical="center"/>
    </xf>
    <xf numFmtId="0" fontId="7" fillId="4" borderId="5" xfId="6" applyFont="1" applyFill="1" applyBorder="1" applyAlignment="1">
      <alignment horizontal="center" vertical="center"/>
    </xf>
    <xf numFmtId="0" fontId="10" fillId="4" borderId="5" xfId="6" applyFont="1" applyFill="1" applyBorder="1" applyAlignment="1">
      <alignment horizontal="left" vertical="center"/>
    </xf>
    <xf numFmtId="165" fontId="10" fillId="4" borderId="5" xfId="6" applyNumberFormat="1" applyFont="1" applyFill="1" applyBorder="1" applyAlignment="1">
      <alignment horizontal="left" vertical="center"/>
    </xf>
    <xf numFmtId="174" fontId="10" fillId="4" borderId="5" xfId="6" applyNumberFormat="1" applyFont="1" applyFill="1" applyBorder="1" applyAlignment="1" applyProtection="1">
      <alignment horizontal="left" vertical="center"/>
      <protection locked="0"/>
    </xf>
    <xf numFmtId="4" fontId="10" fillId="4" borderId="6" xfId="6" applyNumberFormat="1" applyFont="1" applyFill="1" applyBorder="1" applyAlignment="1">
      <alignment horizontal="left" vertical="center"/>
    </xf>
    <xf numFmtId="49" fontId="4" fillId="21" borderId="0" xfId="6" applyNumberFormat="1" applyFont="1" applyFill="1" applyAlignment="1">
      <alignment horizontal="left" vertical="center"/>
    </xf>
    <xf numFmtId="0" fontId="14" fillId="21" borderId="0" xfId="6" applyFont="1" applyFill="1" applyAlignment="1">
      <alignment horizontal="left" vertical="center"/>
    </xf>
    <xf numFmtId="0" fontId="13" fillId="21" borderId="0" xfId="6" applyFont="1" applyFill="1" applyAlignment="1">
      <alignment horizontal="left" vertical="center"/>
    </xf>
    <xf numFmtId="165" fontId="13" fillId="21" borderId="0" xfId="6" applyNumberFormat="1" applyFont="1" applyFill="1" applyAlignment="1">
      <alignment horizontal="left" vertical="center"/>
    </xf>
    <xf numFmtId="174" fontId="13" fillId="21" borderId="0" xfId="6" applyNumberFormat="1" applyFont="1" applyFill="1" applyAlignment="1" applyProtection="1">
      <alignment horizontal="left" vertical="center"/>
      <protection locked="0"/>
    </xf>
    <xf numFmtId="4" fontId="13" fillId="21" borderId="14" xfId="6" applyNumberFormat="1" applyFont="1" applyFill="1" applyBorder="1" applyAlignment="1">
      <alignment horizontal="left" vertical="center"/>
    </xf>
    <xf numFmtId="174" fontId="13" fillId="5" borderId="8" xfId="3" applyNumberFormat="1" applyFont="1" applyFill="1" applyBorder="1" applyAlignment="1">
      <alignment vertical="center"/>
    </xf>
    <xf numFmtId="174" fontId="13" fillId="5" borderId="3" xfId="3" applyNumberFormat="1" applyFont="1" applyFill="1" applyBorder="1" applyAlignment="1">
      <alignment vertical="center"/>
    </xf>
    <xf numFmtId="174" fontId="13" fillId="0" borderId="12" xfId="6" applyNumberFormat="1" applyFont="1" applyBorder="1" applyAlignment="1" applyProtection="1">
      <alignment horizontal="left" vertical="center"/>
      <protection locked="0"/>
    </xf>
    <xf numFmtId="174" fontId="13" fillId="7" borderId="13" xfId="6" applyNumberFormat="1" applyFont="1" applyFill="1" applyBorder="1" applyAlignment="1" applyProtection="1">
      <alignment horizontal="left" vertical="center"/>
      <protection locked="0"/>
    </xf>
    <xf numFmtId="174" fontId="14" fillId="7" borderId="13" xfId="6" applyNumberFormat="1" applyFont="1" applyFill="1" applyBorder="1" applyAlignment="1" applyProtection="1">
      <alignment horizontal="center" vertical="center"/>
      <protection locked="0"/>
    </xf>
    <xf numFmtId="49" fontId="4" fillId="7" borderId="13" xfId="6" quotePrefix="1" applyNumberFormat="1" applyFont="1" applyFill="1" applyBorder="1" applyAlignment="1">
      <alignment horizontal="center" vertical="center"/>
    </xf>
    <xf numFmtId="0" fontId="14" fillId="7" borderId="13" xfId="6" applyFont="1" applyFill="1" applyBorder="1" applyAlignment="1">
      <alignment vertical="center" wrapText="1"/>
    </xf>
    <xf numFmtId="174" fontId="14" fillId="7" borderId="13" xfId="6" applyNumberFormat="1" applyFont="1" applyFill="1" applyBorder="1" applyAlignment="1" applyProtection="1">
      <alignment horizontal="right" vertical="center"/>
      <protection locked="0"/>
    </xf>
    <xf numFmtId="49" fontId="4" fillId="22" borderId="13" xfId="6" quotePrefix="1" applyNumberFormat="1" applyFont="1" applyFill="1" applyBorder="1" applyAlignment="1">
      <alignment horizontal="left"/>
    </xf>
    <xf numFmtId="0" fontId="14" fillId="22" borderId="13" xfId="6" applyFont="1" applyFill="1" applyBorder="1"/>
    <xf numFmtId="0" fontId="13" fillId="22" borderId="13" xfId="6" applyFont="1" applyFill="1" applyBorder="1" applyAlignment="1">
      <alignment vertical="center"/>
    </xf>
    <xf numFmtId="165" fontId="13" fillId="22" borderId="13" xfId="6" applyNumberFormat="1" applyFont="1" applyFill="1" applyBorder="1" applyAlignment="1">
      <alignment vertical="center"/>
    </xf>
    <xf numFmtId="174" fontId="14" fillId="22" borderId="4" xfId="6" applyNumberFormat="1" applyFont="1" applyFill="1" applyBorder="1" applyAlignment="1" applyProtection="1">
      <alignment horizontal="right" vertical="center"/>
      <protection locked="0"/>
    </xf>
    <xf numFmtId="174" fontId="14" fillId="0" borderId="0" xfId="4" applyNumberFormat="1" applyFont="1" applyFill="1" applyAlignment="1" applyProtection="1">
      <alignment horizontal="right" vertical="center"/>
      <protection locked="0"/>
    </xf>
    <xf numFmtId="0" fontId="15" fillId="22" borderId="13" xfId="2" applyFont="1" applyFill="1" applyBorder="1" applyAlignment="1">
      <alignment horizontal="center" vertical="center" wrapText="1"/>
    </xf>
    <xf numFmtId="0" fontId="14" fillId="22" borderId="13" xfId="2" applyFont="1" applyFill="1" applyBorder="1" applyAlignment="1">
      <alignment horizontal="center" vertical="center" wrapText="1"/>
    </xf>
    <xf numFmtId="0" fontId="14" fillId="22" borderId="13" xfId="2" applyFont="1" applyFill="1" applyBorder="1" applyAlignment="1">
      <alignment horizontal="justify" vertical="center" wrapText="1"/>
    </xf>
    <xf numFmtId="165" fontId="14" fillId="22" borderId="13" xfId="4" applyNumberFormat="1" applyFont="1" applyFill="1" applyBorder="1" applyAlignment="1">
      <alignment vertical="center"/>
    </xf>
    <xf numFmtId="174" fontId="14" fillId="22" borderId="13" xfId="4" applyNumberFormat="1" applyFont="1" applyFill="1" applyBorder="1" applyAlignment="1" applyProtection="1">
      <alignment horizontal="center" vertical="center" wrapText="1"/>
      <protection locked="0"/>
    </xf>
    <xf numFmtId="4" fontId="14" fillId="22" borderId="13" xfId="4" applyNumberFormat="1" applyFont="1" applyFill="1" applyBorder="1" applyAlignment="1">
      <alignment horizontal="center" vertical="center"/>
    </xf>
    <xf numFmtId="174" fontId="13" fillId="0" borderId="13" xfId="4" applyNumberFormat="1" applyFont="1" applyFill="1" applyBorder="1" applyAlignment="1" applyProtection="1">
      <alignment vertical="center"/>
      <protection locked="0"/>
    </xf>
    <xf numFmtId="174" fontId="18" fillId="7" borderId="13" xfId="4" applyNumberFormat="1" applyFont="1" applyFill="1" applyBorder="1" applyAlignment="1" applyProtection="1">
      <alignment vertical="center"/>
      <protection locked="0"/>
    </xf>
    <xf numFmtId="174" fontId="13" fillId="0" borderId="13" xfId="5" applyNumberFormat="1" applyFont="1" applyFill="1" applyBorder="1" applyAlignment="1" applyProtection="1">
      <alignment vertical="center"/>
      <protection locked="0"/>
    </xf>
    <xf numFmtId="174" fontId="13" fillId="0" borderId="13" xfId="5" applyNumberFormat="1" applyFont="1" applyFill="1" applyBorder="1" applyAlignment="1">
      <alignment vertical="center"/>
    </xf>
    <xf numFmtId="165" fontId="13" fillId="23" borderId="13" xfId="4" applyNumberFormat="1" applyFont="1" applyFill="1" applyBorder="1" applyAlignment="1">
      <alignment vertical="center"/>
    </xf>
    <xf numFmtId="0" fontId="15" fillId="7" borderId="13" xfId="2" applyFont="1" applyFill="1" applyBorder="1" applyAlignment="1">
      <alignment horizontal="center" vertical="center"/>
    </xf>
    <xf numFmtId="174" fontId="14" fillId="7" borderId="13" xfId="4" applyNumberFormat="1" applyFont="1" applyFill="1" applyBorder="1" applyAlignment="1" applyProtection="1">
      <alignment vertical="center"/>
      <protection locked="0"/>
    </xf>
    <xf numFmtId="49" fontId="12" fillId="0" borderId="15" xfId="2" applyNumberFormat="1" applyFont="1" applyBorder="1" applyAlignment="1">
      <alignment horizontal="center" vertical="top" wrapText="1"/>
    </xf>
    <xf numFmtId="0" fontId="13" fillId="0" borderId="13" xfId="2" applyFont="1" applyBorder="1" applyAlignment="1">
      <alignment horizontal="justify" vertical="center" wrapText="1"/>
    </xf>
    <xf numFmtId="0" fontId="12" fillId="0" borderId="4" xfId="2" applyFont="1" applyBorder="1" applyAlignment="1">
      <alignment horizontal="center" vertical="top" wrapText="1"/>
    </xf>
    <xf numFmtId="0" fontId="78" fillId="0" borderId="13" xfId="28" applyFont="1" applyBorder="1" applyAlignment="1">
      <alignment horizontal="left" vertical="top" wrapText="1"/>
    </xf>
    <xf numFmtId="165" fontId="13" fillId="0" borderId="13" xfId="4" applyNumberFormat="1" applyFont="1" applyBorder="1" applyAlignment="1">
      <alignment vertical="center"/>
    </xf>
    <xf numFmtId="174" fontId="13" fillId="0" borderId="13" xfId="5" applyNumberFormat="1" applyFont="1" applyBorder="1" applyAlignment="1" applyProtection="1">
      <alignment vertical="center"/>
      <protection locked="0"/>
    </xf>
    <xf numFmtId="174" fontId="13" fillId="0" borderId="13" xfId="5" applyNumberFormat="1" applyFont="1" applyBorder="1" applyAlignment="1">
      <alignment vertical="center"/>
    </xf>
    <xf numFmtId="0" fontId="13" fillId="0" borderId="13" xfId="7" applyFont="1" applyBorder="1" applyAlignment="1">
      <alignment vertical="top" wrapText="1"/>
    </xf>
    <xf numFmtId="0" fontId="13" fillId="0" borderId="13" xfId="7" applyFont="1" applyBorder="1" applyAlignment="1">
      <alignment horizontal="center" vertical="top"/>
    </xf>
    <xf numFmtId="165" fontId="13" fillId="0" borderId="13" xfId="4" applyNumberFormat="1" applyFont="1" applyFill="1" applyBorder="1" applyAlignment="1">
      <alignment vertical="top"/>
    </xf>
    <xf numFmtId="164" fontId="12" fillId="0" borderId="0" xfId="5" applyFont="1" applyAlignment="1">
      <alignment vertical="top"/>
    </xf>
    <xf numFmtId="0" fontId="12" fillId="0" borderId="0" xfId="2" applyFont="1" applyAlignment="1">
      <alignment vertical="top"/>
    </xf>
    <xf numFmtId="9" fontId="12" fillId="0" borderId="0" xfId="29" applyFont="1" applyAlignment="1"/>
    <xf numFmtId="49" fontId="12" fillId="0" borderId="13" xfId="2" applyNumberFormat="1" applyFont="1" applyBorder="1" applyAlignment="1">
      <alignment horizontal="center" vertical="top" wrapText="1"/>
    </xf>
    <xf numFmtId="0" fontId="12" fillId="0" borderId="13" xfId="2" applyFont="1" applyBorder="1" applyAlignment="1">
      <alignment horizontal="center" vertical="center" wrapText="1"/>
    </xf>
    <xf numFmtId="174" fontId="13" fillId="0" borderId="13" xfId="4" applyNumberFormat="1" applyFont="1" applyBorder="1" applyAlignment="1" applyProtection="1">
      <alignment vertical="center"/>
      <protection locked="0"/>
    </xf>
    <xf numFmtId="4" fontId="13" fillId="0" borderId="13" xfId="4" applyNumberFormat="1" applyFont="1" applyBorder="1" applyAlignment="1">
      <alignment vertical="center"/>
    </xf>
    <xf numFmtId="165" fontId="13" fillId="0" borderId="13" xfId="4" applyNumberFormat="1" applyFont="1" applyBorder="1" applyAlignment="1">
      <alignment horizontal="right" vertical="center"/>
    </xf>
    <xf numFmtId="174" fontId="13" fillId="0" borderId="13" xfId="4" applyNumberFormat="1" applyFont="1" applyBorder="1" applyAlignment="1">
      <alignment vertical="center"/>
    </xf>
    <xf numFmtId="174" fontId="13" fillId="10" borderId="13" xfId="4" applyNumberFormat="1" applyFont="1" applyFill="1" applyBorder="1" applyAlignment="1">
      <alignment vertical="center"/>
    </xf>
    <xf numFmtId="0" fontId="14" fillId="10" borderId="13" xfId="2" applyFont="1" applyFill="1" applyBorder="1" applyAlignment="1">
      <alignment vertical="center"/>
    </xf>
    <xf numFmtId="165" fontId="14" fillId="10" borderId="13" xfId="4" applyNumberFormat="1" applyFont="1" applyFill="1" applyBorder="1" applyAlignment="1">
      <alignment horizontal="right" vertical="center"/>
    </xf>
    <xf numFmtId="0" fontId="14" fillId="11" borderId="13" xfId="2" applyFont="1" applyFill="1" applyBorder="1" applyAlignment="1">
      <alignment vertical="center"/>
    </xf>
    <xf numFmtId="165" fontId="14" fillId="11" borderId="13" xfId="4" applyNumberFormat="1" applyFont="1" applyFill="1" applyBorder="1" applyAlignment="1">
      <alignment horizontal="right" vertical="center"/>
    </xf>
    <xf numFmtId="0" fontId="20" fillId="11" borderId="13" xfId="3" applyFont="1" applyFill="1" applyBorder="1" applyAlignment="1">
      <alignment vertical="center" wrapText="1"/>
    </xf>
    <xf numFmtId="0" fontId="20" fillId="11" borderId="13" xfId="3" applyFont="1" applyFill="1" applyBorder="1" applyAlignment="1">
      <alignment vertical="top" wrapText="1"/>
    </xf>
    <xf numFmtId="165" fontId="14" fillId="7" borderId="13" xfId="4" applyNumberFormat="1" applyFont="1" applyFill="1" applyBorder="1" applyAlignment="1">
      <alignment horizontal="right" vertical="center"/>
    </xf>
    <xf numFmtId="0" fontId="14" fillId="24" borderId="13" xfId="2" applyFont="1" applyFill="1" applyBorder="1" applyAlignment="1">
      <alignment wrapText="1"/>
    </xf>
    <xf numFmtId="0" fontId="14" fillId="24" borderId="13" xfId="2" applyFont="1" applyFill="1" applyBorder="1" applyAlignment="1">
      <alignment horizontal="center" vertical="center"/>
    </xf>
    <xf numFmtId="165" fontId="14" fillId="24" borderId="13" xfId="4" applyNumberFormat="1" applyFont="1" applyFill="1" applyBorder="1" applyAlignment="1">
      <alignment vertical="center"/>
    </xf>
    <xf numFmtId="0" fontId="13" fillId="24" borderId="13" xfId="2" applyFont="1" applyFill="1" applyBorder="1" applyAlignment="1">
      <alignment wrapText="1"/>
    </xf>
    <xf numFmtId="0" fontId="14" fillId="24" borderId="13" xfId="2" applyFont="1" applyFill="1" applyBorder="1" applyAlignment="1">
      <alignment vertical="center"/>
    </xf>
    <xf numFmtId="165" fontId="14" fillId="24" borderId="13" xfId="4" applyNumberFormat="1" applyFont="1" applyFill="1" applyBorder="1" applyAlignment="1">
      <alignment horizontal="right" vertical="center"/>
    </xf>
    <xf numFmtId="0" fontId="12" fillId="0" borderId="5" xfId="2" applyFont="1" applyBorder="1" applyAlignment="1">
      <alignment horizontal="left" vertical="top"/>
    </xf>
    <xf numFmtId="0" fontId="13" fillId="0" borderId="5" xfId="2" applyFont="1" applyBorder="1" applyAlignment="1">
      <alignment vertical="top" wrapText="1"/>
    </xf>
    <xf numFmtId="0" fontId="13" fillId="0" borderId="5" xfId="2" applyFont="1" applyBorder="1" applyAlignment="1">
      <alignment vertical="center"/>
    </xf>
    <xf numFmtId="165" fontId="13" fillId="0" borderId="5" xfId="4" applyNumberFormat="1" applyFont="1" applyBorder="1" applyAlignment="1">
      <alignment horizontal="right" vertical="center"/>
    </xf>
    <xf numFmtId="174" fontId="13" fillId="0" borderId="5" xfId="4" applyNumberFormat="1" applyFont="1" applyBorder="1" applyAlignment="1" applyProtection="1">
      <alignment vertical="center"/>
      <protection locked="0"/>
    </xf>
    <xf numFmtId="174" fontId="13" fillId="0" borderId="5" xfId="4" applyNumberFormat="1" applyFont="1" applyBorder="1" applyAlignment="1">
      <alignment vertical="center"/>
    </xf>
    <xf numFmtId="0" fontId="15" fillId="8" borderId="13" xfId="2" applyFont="1" applyFill="1" applyBorder="1" applyAlignment="1">
      <alignment horizontal="center" vertical="top" wrapText="1"/>
    </xf>
    <xf numFmtId="165" fontId="14" fillId="8" borderId="13" xfId="4" applyNumberFormat="1" applyFont="1" applyFill="1" applyBorder="1" applyAlignment="1">
      <alignment horizontal="center" vertical="center"/>
    </xf>
    <xf numFmtId="174" fontId="14" fillId="8" borderId="13" xfId="4" applyNumberFormat="1" applyFont="1" applyFill="1" applyBorder="1" applyAlignment="1" applyProtection="1">
      <alignment horizontal="center" vertical="center" wrapText="1"/>
      <protection locked="0"/>
    </xf>
    <xf numFmtId="174" fontId="14" fillId="8" borderId="13" xfId="4" applyNumberFormat="1" applyFont="1" applyFill="1" applyBorder="1" applyAlignment="1">
      <alignment horizontal="center" vertical="center"/>
    </xf>
    <xf numFmtId="164" fontId="12" fillId="0" borderId="0" xfId="5" applyFont="1" applyAlignment="1">
      <alignment horizontal="center"/>
    </xf>
    <xf numFmtId="0" fontId="12" fillId="0" borderId="0" xfId="2" applyFont="1" applyAlignment="1">
      <alignment horizontal="center"/>
    </xf>
    <xf numFmtId="0" fontId="15" fillId="0" borderId="4" xfId="2" applyFont="1" applyBorder="1" applyAlignment="1">
      <alignment horizontal="left" vertical="top" wrapText="1"/>
    </xf>
    <xf numFmtId="0" fontId="14" fillId="0" borderId="5" xfId="2" applyFont="1" applyBorder="1" applyAlignment="1">
      <alignment horizontal="center" vertical="center" wrapText="1"/>
    </xf>
    <xf numFmtId="0" fontId="14" fillId="0" borderId="5" xfId="2" applyFont="1" applyBorder="1" applyAlignment="1">
      <alignment horizontal="justify" vertical="center" wrapText="1"/>
    </xf>
    <xf numFmtId="165" fontId="14" fillId="0" borderId="5" xfId="4" applyNumberFormat="1" applyFont="1" applyBorder="1" applyAlignment="1">
      <alignment horizontal="right" vertical="center"/>
    </xf>
    <xf numFmtId="174" fontId="14" fillId="0" borderId="5" xfId="4" applyNumberFormat="1" applyFont="1" applyBorder="1" applyAlignment="1" applyProtection="1">
      <alignment vertical="center" wrapText="1"/>
      <protection locked="0"/>
    </xf>
    <xf numFmtId="174" fontId="14" fillId="0" borderId="6" xfId="4" applyNumberFormat="1" applyFont="1" applyBorder="1" applyAlignment="1">
      <alignment vertical="center"/>
    </xf>
    <xf numFmtId="0" fontId="17" fillId="7" borderId="13" xfId="2" applyFont="1" applyFill="1" applyBorder="1" applyAlignment="1">
      <alignment horizontal="left" vertical="center"/>
    </xf>
    <xf numFmtId="165" fontId="18" fillId="7" borderId="13" xfId="4" applyNumberFormat="1" applyFont="1" applyFill="1" applyBorder="1" applyAlignment="1">
      <alignment horizontal="right" vertical="center"/>
    </xf>
    <xf numFmtId="174" fontId="79" fillId="7" borderId="13" xfId="4" applyNumberFormat="1" applyFont="1" applyFill="1" applyBorder="1" applyAlignment="1" applyProtection="1">
      <alignment vertical="center"/>
      <protection locked="0"/>
    </xf>
    <xf numFmtId="174" fontId="18" fillId="7" borderId="13" xfId="4" applyNumberFormat="1" applyFont="1" applyFill="1" applyBorder="1" applyAlignment="1">
      <alignment vertical="center"/>
    </xf>
    <xf numFmtId="164" fontId="18" fillId="0" borderId="0" xfId="5" applyFont="1" applyAlignment="1">
      <alignment vertical="top"/>
    </xf>
    <xf numFmtId="0" fontId="18" fillId="0" borderId="0" xfId="2" applyFont="1" applyAlignment="1">
      <alignment vertical="top"/>
    </xf>
    <xf numFmtId="0" fontId="22" fillId="0" borderId="13" xfId="2" applyFont="1" applyBorder="1" applyAlignment="1">
      <alignment horizontal="left" vertical="top"/>
    </xf>
    <xf numFmtId="165" fontId="22" fillId="0" borderId="13" xfId="4" applyNumberFormat="1" applyFont="1" applyBorder="1" applyAlignment="1">
      <alignment horizontal="right" vertical="center"/>
    </xf>
    <xf numFmtId="0" fontId="22" fillId="0" borderId="13" xfId="6" applyFont="1" applyBorder="1" applyAlignment="1">
      <alignment horizontal="left" vertical="top"/>
    </xf>
    <xf numFmtId="0" fontId="22" fillId="0" borderId="4" xfId="6" applyFont="1" applyBorder="1" applyAlignment="1">
      <alignment vertical="top" wrapText="1"/>
    </xf>
    <xf numFmtId="0" fontId="80" fillId="0" borderId="13" xfId="6" applyFont="1" applyBorder="1" applyAlignment="1">
      <alignment horizontal="left" vertical="top"/>
    </xf>
    <xf numFmtId="0" fontId="22" fillId="0" borderId="4" xfId="6" applyFont="1" applyBorder="1" applyAlignment="1">
      <alignment horizontal="left" vertical="top" wrapText="1"/>
    </xf>
    <xf numFmtId="0" fontId="80" fillId="0" borderId="4" xfId="6" applyFont="1" applyBorder="1" applyAlignment="1">
      <alignment vertical="top" wrapText="1"/>
    </xf>
    <xf numFmtId="0" fontId="81" fillId="0" borderId="29" xfId="6" applyFont="1" applyBorder="1" applyAlignment="1">
      <alignment horizontal="left" vertical="top"/>
    </xf>
    <xf numFmtId="0" fontId="81" fillId="0" borderId="29" xfId="6" applyFont="1" applyBorder="1" applyAlignment="1">
      <alignment vertical="top" wrapText="1"/>
    </xf>
    <xf numFmtId="174" fontId="81" fillId="0" borderId="29" xfId="6" applyNumberFormat="1" applyFont="1" applyBorder="1" applyAlignment="1">
      <alignment vertical="top"/>
    </xf>
    <xf numFmtId="0" fontId="12" fillId="0" borderId="0" xfId="2" applyFont="1" applyAlignment="1">
      <alignment horizontal="left" vertical="top"/>
    </xf>
    <xf numFmtId="165" fontId="13" fillId="0" borderId="0" xfId="4" applyNumberFormat="1" applyFont="1" applyAlignment="1">
      <alignment horizontal="right" vertical="center"/>
    </xf>
    <xf numFmtId="174" fontId="13" fillId="0" borderId="0" xfId="4" applyNumberFormat="1" applyFont="1" applyAlignment="1" applyProtection="1">
      <alignment vertical="center"/>
      <protection locked="0"/>
    </xf>
    <xf numFmtId="174" fontId="13" fillId="0" borderId="0" xfId="4" applyNumberFormat="1" applyFont="1" applyAlignment="1">
      <alignment vertical="center"/>
    </xf>
    <xf numFmtId="0" fontId="15" fillId="8" borderId="13" xfId="2" applyFont="1" applyFill="1" applyBorder="1" applyAlignment="1">
      <alignment horizontal="left" vertical="top" wrapText="1"/>
    </xf>
    <xf numFmtId="165" fontId="14" fillId="8" borderId="13" xfId="4" applyNumberFormat="1" applyFont="1" applyFill="1" applyBorder="1" applyAlignment="1">
      <alignment horizontal="right" vertical="center"/>
    </xf>
    <xf numFmtId="174" fontId="14" fillId="8" borderId="13" xfId="4" applyNumberFormat="1" applyFont="1" applyFill="1" applyBorder="1" applyAlignment="1" applyProtection="1">
      <alignment vertical="center" wrapText="1"/>
      <protection locked="0"/>
    </xf>
    <xf numFmtId="174" fontId="14" fillId="8" borderId="13" xfId="4" applyNumberFormat="1" applyFont="1" applyFill="1" applyBorder="1" applyAlignment="1">
      <alignment vertical="center"/>
    </xf>
    <xf numFmtId="0" fontId="17" fillId="5" borderId="13" xfId="2" applyFont="1" applyFill="1" applyBorder="1" applyAlignment="1">
      <alignment horizontal="left" vertical="top"/>
    </xf>
    <xf numFmtId="0" fontId="9" fillId="5" borderId="13" xfId="2" applyFont="1" applyFill="1" applyBorder="1" applyAlignment="1">
      <alignment vertical="center"/>
    </xf>
    <xf numFmtId="0" fontId="18" fillId="5" borderId="13" xfId="2" applyFont="1" applyFill="1" applyBorder="1" applyAlignment="1">
      <alignment vertical="center"/>
    </xf>
    <xf numFmtId="165" fontId="18" fillId="5" borderId="4" xfId="4" applyNumberFormat="1" applyFont="1" applyFill="1" applyBorder="1" applyAlignment="1">
      <alignment horizontal="right" vertical="center"/>
    </xf>
    <xf numFmtId="174" fontId="79" fillId="5" borderId="13" xfId="4" applyNumberFormat="1" applyFont="1" applyFill="1" applyBorder="1" applyAlignment="1" applyProtection="1">
      <alignment vertical="center"/>
      <protection locked="0"/>
    </xf>
    <xf numFmtId="174" fontId="18" fillId="5" borderId="13" xfId="4" applyNumberFormat="1" applyFont="1" applyFill="1" applyBorder="1" applyAlignment="1">
      <alignment vertical="center"/>
    </xf>
    <xf numFmtId="0" fontId="83" fillId="10" borderId="13" xfId="2" applyFont="1" applyFill="1" applyBorder="1" applyAlignment="1">
      <alignment horizontal="left" vertical="top"/>
    </xf>
    <xf numFmtId="0" fontId="83" fillId="10" borderId="13" xfId="2" applyFont="1" applyFill="1" applyBorder="1" applyAlignment="1">
      <alignment vertical="center"/>
    </xf>
    <xf numFmtId="0" fontId="18" fillId="10" borderId="13" xfId="2" applyFont="1" applyFill="1" applyBorder="1" applyAlignment="1">
      <alignment vertical="center"/>
    </xf>
    <xf numFmtId="165" fontId="18" fillId="10" borderId="4" xfId="4" applyNumberFormat="1" applyFont="1" applyFill="1" applyBorder="1" applyAlignment="1">
      <alignment horizontal="right" vertical="center"/>
    </xf>
    <xf numFmtId="174" fontId="79" fillId="10" borderId="13" xfId="4" applyNumberFormat="1" applyFont="1" applyFill="1" applyBorder="1" applyAlignment="1" applyProtection="1">
      <alignment vertical="center"/>
      <protection locked="0"/>
    </xf>
    <xf numFmtId="174" fontId="18" fillId="10" borderId="13" xfId="4" applyNumberFormat="1" applyFont="1" applyFill="1" applyBorder="1" applyAlignment="1">
      <alignment vertical="center"/>
    </xf>
    <xf numFmtId="164" fontId="12" fillId="0" borderId="0" xfId="5" applyFont="1" applyAlignment="1">
      <alignment vertical="center"/>
    </xf>
    <xf numFmtId="0" fontId="78" fillId="0" borderId="4" xfId="6" applyFont="1" applyBorder="1" applyAlignment="1">
      <alignment horizontal="left" vertical="top"/>
    </xf>
    <xf numFmtId="0" fontId="78" fillId="0" borderId="4" xfId="30" applyFont="1" applyBorder="1" applyAlignment="1">
      <alignment horizontal="left" vertical="top" wrapText="1"/>
    </xf>
    <xf numFmtId="174" fontId="78" fillId="0" borderId="13" xfId="6" applyNumberFormat="1" applyFont="1" applyBorder="1"/>
    <xf numFmtId="4" fontId="78" fillId="0" borderId="4" xfId="10" applyNumberFormat="1" applyFont="1" applyBorder="1" applyAlignment="1">
      <alignment horizontal="left" vertical="top" wrapText="1"/>
    </xf>
    <xf numFmtId="4" fontId="78" fillId="0" borderId="4" xfId="10" applyNumberFormat="1" applyFont="1" applyBorder="1" applyAlignment="1">
      <alignment horizontal="left" vertical="top"/>
    </xf>
    <xf numFmtId="0" fontId="78" fillId="0" borderId="4" xfId="6" applyFont="1" applyBorder="1" applyAlignment="1">
      <alignment horizontal="left" vertical="top" wrapText="1"/>
    </xf>
    <xf numFmtId="0" fontId="78" fillId="0" borderId="4" xfId="32" applyFont="1" applyBorder="1" applyAlignment="1">
      <alignment horizontal="left" vertical="top" wrapText="1"/>
    </xf>
    <xf numFmtId="0" fontId="81" fillId="0" borderId="4" xfId="6" applyFont="1" applyBorder="1" applyAlignment="1">
      <alignment horizontal="left" vertical="top"/>
    </xf>
    <xf numFmtId="4" fontId="78" fillId="0" borderId="4" xfId="10" applyNumberFormat="1" applyFont="1" applyBorder="1" applyAlignment="1">
      <alignment horizontal="justify" vertical="top" wrapText="1"/>
    </xf>
    <xf numFmtId="0" fontId="82" fillId="0" borderId="0" xfId="6" applyFont="1" applyAlignment="1">
      <alignment horizontal="left" vertical="top"/>
    </xf>
    <xf numFmtId="0" fontId="82" fillId="0" borderId="0" xfId="6" applyFont="1" applyAlignment="1">
      <alignment horizontal="right" vertical="top"/>
    </xf>
    <xf numFmtId="174" fontId="82" fillId="0" borderId="0" xfId="6" applyNumberFormat="1" applyFont="1"/>
    <xf numFmtId="0" fontId="12" fillId="0" borderId="7" xfId="2" applyFont="1" applyBorder="1" applyAlignment="1">
      <alignment horizontal="left" vertical="top"/>
    </xf>
    <xf numFmtId="0" fontId="13" fillId="0" borderId="8" xfId="2" applyFont="1" applyBorder="1" applyAlignment="1">
      <alignment vertical="top" wrapText="1"/>
    </xf>
    <xf numFmtId="0" fontId="13" fillId="0" borderId="8" xfId="2" applyFont="1" applyBorder="1" applyAlignment="1">
      <alignment vertical="center"/>
    </xf>
    <xf numFmtId="165" fontId="13" fillId="0" borderId="8" xfId="4" applyNumberFormat="1" applyFont="1" applyBorder="1" applyAlignment="1">
      <alignment horizontal="right" vertical="center"/>
    </xf>
    <xf numFmtId="174" fontId="13" fillId="0" borderId="8" xfId="4" applyNumberFormat="1" applyFont="1" applyBorder="1" applyAlignment="1" applyProtection="1">
      <alignment vertical="center"/>
      <protection locked="0"/>
    </xf>
    <xf numFmtId="174" fontId="13" fillId="0" borderId="9" xfId="4" applyNumberFormat="1" applyFont="1" applyBorder="1" applyAlignment="1">
      <alignment vertical="center"/>
    </xf>
    <xf numFmtId="0" fontId="78" fillId="0" borderId="13" xfId="6" applyFont="1" applyBorder="1" applyAlignment="1">
      <alignment horizontal="justify" vertical="top" wrapText="1"/>
    </xf>
    <xf numFmtId="174" fontId="78" fillId="0" borderId="4" xfId="6" applyNumberFormat="1" applyFont="1" applyBorder="1"/>
    <xf numFmtId="0" fontId="78" fillId="0" borderId="4" xfId="6" applyFont="1" applyBorder="1" applyAlignment="1">
      <alignment horizontal="right" vertical="top"/>
    </xf>
    <xf numFmtId="3" fontId="13" fillId="0" borderId="4" xfId="33" applyFont="1" applyBorder="1" applyAlignment="1">
      <alignment horizontal="left" vertical="top" wrapText="1"/>
      <protection locked="0"/>
    </xf>
    <xf numFmtId="16" fontId="78" fillId="0" borderId="4" xfId="6" applyNumberFormat="1" applyFont="1" applyBorder="1" applyAlignment="1">
      <alignment horizontal="right" vertical="top"/>
    </xf>
    <xf numFmtId="16" fontId="78" fillId="0" borderId="13" xfId="6" applyNumberFormat="1" applyFont="1" applyBorder="1" applyAlignment="1">
      <alignment horizontal="left" vertical="top"/>
    </xf>
    <xf numFmtId="49" fontId="89" fillId="0" borderId="5" xfId="6" applyNumberFormat="1" applyFont="1" applyBorder="1" applyAlignment="1">
      <alignment horizontal="justify" vertical="top" wrapText="1"/>
    </xf>
    <xf numFmtId="49" fontId="89" fillId="0" borderId="13" xfId="6" applyNumberFormat="1" applyFont="1" applyBorder="1" applyAlignment="1">
      <alignment horizontal="justify" vertical="top" wrapText="1"/>
    </xf>
    <xf numFmtId="1" fontId="13" fillId="0" borderId="4" xfId="34" applyFont="1" applyBorder="1" applyAlignment="1">
      <alignment horizontal="left" vertical="top" wrapText="1"/>
    </xf>
    <xf numFmtId="0" fontId="78" fillId="0" borderId="4" xfId="6" applyFont="1" applyBorder="1" applyAlignment="1">
      <alignment horizontal="justify" vertical="top" wrapText="1"/>
    </xf>
    <xf numFmtId="49" fontId="91" fillId="10" borderId="4" xfId="6" applyNumberFormat="1" applyFont="1" applyFill="1" applyBorder="1" applyAlignment="1">
      <alignment horizontal="left" vertical="top"/>
    </xf>
    <xf numFmtId="0" fontId="15" fillId="10" borderId="4" xfId="6" applyFont="1" applyFill="1" applyBorder="1" applyAlignment="1">
      <alignment horizontal="right" vertical="top"/>
    </xf>
    <xf numFmtId="49" fontId="78" fillId="0" borderId="0" xfId="6" applyNumberFormat="1" applyFont="1" applyAlignment="1">
      <alignment horizontal="left" vertical="top"/>
    </xf>
    <xf numFmtId="0" fontId="14" fillId="0" borderId="0" xfId="6" applyFont="1" applyAlignment="1">
      <alignment horizontal="right" vertical="top"/>
    </xf>
    <xf numFmtId="174" fontId="78" fillId="0" borderId="0" xfId="6" applyNumberFormat="1" applyFont="1"/>
    <xf numFmtId="174" fontId="14" fillId="0" borderId="0" xfId="6" applyNumberFormat="1" applyFont="1"/>
    <xf numFmtId="0" fontId="13" fillId="0" borderId="7" xfId="2" applyFont="1" applyBorder="1" applyAlignment="1">
      <alignment horizontal="left" vertical="top"/>
    </xf>
    <xf numFmtId="0" fontId="14" fillId="8" borderId="13" xfId="2" applyFont="1" applyFill="1" applyBorder="1" applyAlignment="1">
      <alignment horizontal="left" vertical="top" wrapText="1"/>
    </xf>
    <xf numFmtId="0" fontId="14" fillId="0" borderId="4" xfId="2" applyFont="1" applyBorder="1" applyAlignment="1">
      <alignment horizontal="left" vertical="top" wrapText="1"/>
    </xf>
    <xf numFmtId="0" fontId="14" fillId="10" borderId="13" xfId="2" applyFont="1" applyFill="1" applyBorder="1" applyAlignment="1">
      <alignment horizontal="left" vertical="top"/>
    </xf>
    <xf numFmtId="165" fontId="13" fillId="10" borderId="4" xfId="4" applyNumberFormat="1" applyFont="1" applyFill="1" applyBorder="1" applyAlignment="1">
      <alignment horizontal="right" vertical="center"/>
    </xf>
    <xf numFmtId="174" fontId="92" fillId="10" borderId="13" xfId="4" applyNumberFormat="1" applyFont="1" applyFill="1" applyBorder="1" applyAlignment="1" applyProtection="1">
      <alignment vertical="center"/>
      <protection locked="0"/>
    </xf>
    <xf numFmtId="0" fontId="13" fillId="0" borderId="4" xfId="6" applyFont="1" applyBorder="1" applyAlignment="1">
      <alignment vertical="top" wrapText="1"/>
    </xf>
    <xf numFmtId="0" fontId="78" fillId="0" borderId="29" xfId="6" applyFont="1" applyBorder="1" applyAlignment="1">
      <alignment horizontal="right" vertical="top"/>
    </xf>
    <xf numFmtId="0" fontId="13" fillId="0" borderId="29" xfId="6" applyFont="1" applyBorder="1" applyAlignment="1">
      <alignment vertical="top" wrapText="1"/>
    </xf>
    <xf numFmtId="0" fontId="78" fillId="0" borderId="10" xfId="6" applyFont="1" applyBorder="1" applyAlignment="1">
      <alignment horizontal="right" vertical="top"/>
    </xf>
    <xf numFmtId="49" fontId="89" fillId="0" borderId="10" xfId="6" applyNumberFormat="1" applyFont="1" applyBorder="1" applyAlignment="1">
      <alignment horizontal="justify" vertical="top" wrapText="1"/>
    </xf>
    <xf numFmtId="0" fontId="78" fillId="0" borderId="4" xfId="6" applyFont="1" applyBorder="1" applyAlignment="1">
      <alignment vertical="top" wrapText="1"/>
    </xf>
    <xf numFmtId="0" fontId="78" fillId="0" borderId="13" xfId="6" applyFont="1" applyBorder="1" applyAlignment="1">
      <alignment vertical="top" wrapText="1"/>
    </xf>
    <xf numFmtId="0" fontId="78" fillId="0" borderId="29" xfId="6" applyFont="1" applyBorder="1" applyAlignment="1">
      <alignment horizontal="left" vertical="top"/>
    </xf>
    <xf numFmtId="0" fontId="78" fillId="0" borderId="29" xfId="6" applyFont="1" applyBorder="1" applyAlignment="1">
      <alignment vertical="top" wrapText="1"/>
    </xf>
    <xf numFmtId="49" fontId="78" fillId="10" borderId="4" xfId="6" applyNumberFormat="1" applyFont="1" applyFill="1" applyBorder="1" applyAlignment="1">
      <alignment horizontal="left" vertical="top"/>
    </xf>
    <xf numFmtId="0" fontId="14" fillId="10" borderId="4" xfId="6" applyFont="1" applyFill="1" applyBorder="1" applyAlignment="1">
      <alignment horizontal="right" vertical="top"/>
    </xf>
    <xf numFmtId="0" fontId="13" fillId="0" borderId="0" xfId="2" applyFont="1" applyAlignment="1">
      <alignment horizontal="left" vertical="top"/>
    </xf>
    <xf numFmtId="165" fontId="13" fillId="0" borderId="0" xfId="4" applyNumberFormat="1" applyFont="1" applyFill="1" applyAlignment="1">
      <alignment horizontal="right" vertical="center"/>
    </xf>
    <xf numFmtId="174" fontId="13" fillId="0" borderId="0" xfId="4" applyNumberFormat="1" applyFont="1" applyFill="1" applyAlignment="1">
      <alignment vertical="center"/>
    </xf>
    <xf numFmtId="0" fontId="78" fillId="0" borderId="29" xfId="10" applyFont="1" applyBorder="1" applyAlignment="1">
      <alignment vertical="top" wrapText="1"/>
    </xf>
    <xf numFmtId="0" fontId="81" fillId="0" borderId="4" xfId="10" applyFont="1" applyBorder="1" applyAlignment="1">
      <alignment horizontal="left" vertical="top"/>
    </xf>
    <xf numFmtId="0" fontId="78" fillId="0" borderId="4" xfId="10" applyFont="1" applyBorder="1" applyAlignment="1">
      <alignment vertical="top" wrapText="1"/>
    </xf>
    <xf numFmtId="174" fontId="81" fillId="0" borderId="4" xfId="10" applyNumberFormat="1" applyFont="1" applyBorder="1"/>
    <xf numFmtId="174" fontId="81" fillId="0" borderId="13" xfId="10" applyNumberFormat="1" applyFont="1" applyBorder="1"/>
    <xf numFmtId="49" fontId="81" fillId="10" borderId="4" xfId="10" applyNumberFormat="1" applyFont="1" applyFill="1" applyBorder="1" applyAlignment="1">
      <alignment horizontal="left" vertical="top"/>
    </xf>
    <xf numFmtId="0" fontId="4" fillId="10" borderId="4" xfId="10" applyFont="1" applyFill="1" applyBorder="1" applyAlignment="1">
      <alignment horizontal="right" vertical="top"/>
    </xf>
    <xf numFmtId="0" fontId="15" fillId="0" borderId="0" xfId="2" applyFont="1" applyAlignment="1">
      <alignment horizontal="left" vertical="top"/>
    </xf>
    <xf numFmtId="174" fontId="14" fillId="0" borderId="0" xfId="4" applyNumberFormat="1" applyFont="1" applyFill="1" applyAlignment="1" applyProtection="1">
      <alignment vertical="center"/>
      <protection locked="0"/>
    </xf>
    <xf numFmtId="0" fontId="17" fillId="25" borderId="13" xfId="2" applyFont="1" applyFill="1" applyBorder="1" applyAlignment="1">
      <alignment horizontal="left" vertical="top"/>
    </xf>
    <xf numFmtId="0" fontId="9" fillId="25" borderId="13" xfId="2" applyFont="1" applyFill="1" applyBorder="1" applyAlignment="1">
      <alignment vertical="center"/>
    </xf>
    <xf numFmtId="0" fontId="18" fillId="25" borderId="13" xfId="2" applyFont="1" applyFill="1" applyBorder="1" applyAlignment="1">
      <alignment vertical="center"/>
    </xf>
    <xf numFmtId="165" fontId="18" fillId="25" borderId="4" xfId="4" applyNumberFormat="1" applyFont="1" applyFill="1" applyBorder="1" applyAlignment="1">
      <alignment horizontal="right" vertical="center"/>
    </xf>
    <xf numFmtId="174" fontId="79" fillId="25" borderId="13" xfId="4" applyNumberFormat="1" applyFont="1" applyFill="1" applyBorder="1" applyAlignment="1" applyProtection="1">
      <alignment vertical="center"/>
      <protection locked="0"/>
    </xf>
    <xf numFmtId="174" fontId="18" fillId="25" borderId="13" xfId="4" applyNumberFormat="1" applyFont="1" applyFill="1" applyBorder="1" applyAlignment="1">
      <alignment vertical="center"/>
    </xf>
    <xf numFmtId="0" fontId="83" fillId="24" borderId="13" xfId="2" applyFont="1" applyFill="1" applyBorder="1" applyAlignment="1">
      <alignment horizontal="left" vertical="top"/>
    </xf>
    <xf numFmtId="0" fontId="83" fillId="24" borderId="13" xfId="2" applyFont="1" applyFill="1" applyBorder="1" applyAlignment="1">
      <alignment vertical="center"/>
    </xf>
    <xf numFmtId="0" fontId="18" fillId="24" borderId="13" xfId="2" applyFont="1" applyFill="1" applyBorder="1" applyAlignment="1">
      <alignment vertical="center"/>
    </xf>
    <xf numFmtId="165" fontId="18" fillId="24" borderId="4" xfId="4" applyNumberFormat="1" applyFont="1" applyFill="1" applyBorder="1" applyAlignment="1">
      <alignment horizontal="right" vertical="center"/>
    </xf>
    <xf numFmtId="174" fontId="79" fillId="24" borderId="13" xfId="4" applyNumberFormat="1" applyFont="1" applyFill="1" applyBorder="1" applyAlignment="1" applyProtection="1">
      <alignment vertical="center"/>
      <protection locked="0"/>
    </xf>
    <xf numFmtId="174" fontId="18" fillId="24" borderId="13" xfId="4" applyNumberFormat="1" applyFont="1" applyFill="1" applyBorder="1" applyAlignment="1">
      <alignment vertical="center"/>
    </xf>
    <xf numFmtId="0" fontId="3" fillId="0" borderId="7" xfId="10" applyFont="1" applyBorder="1" applyAlignment="1">
      <alignment horizontal="left" vertical="top"/>
    </xf>
    <xf numFmtId="174" fontId="81" fillId="0" borderId="7" xfId="10" applyNumberFormat="1" applyFont="1" applyBorder="1"/>
    <xf numFmtId="174" fontId="81" fillId="0" borderId="15" xfId="10" applyNumberFormat="1" applyFont="1" applyBorder="1"/>
    <xf numFmtId="0" fontId="3" fillId="0" borderId="29" xfId="10" applyFont="1" applyBorder="1" applyAlignment="1">
      <alignment horizontal="left" vertical="top"/>
    </xf>
    <xf numFmtId="174" fontId="81" fillId="0" borderId="29" xfId="10" applyNumberFormat="1" applyFont="1" applyBorder="1"/>
    <xf numFmtId="174" fontId="81" fillId="0" borderId="16" xfId="10" applyNumberFormat="1" applyFont="1" applyBorder="1"/>
    <xf numFmtId="0" fontId="3" fillId="0" borderId="4" xfId="10" applyFont="1" applyBorder="1" applyAlignment="1">
      <alignment horizontal="left" vertical="top"/>
    </xf>
    <xf numFmtId="0" fontId="78" fillId="0" borderId="16" xfId="10" applyFont="1" applyBorder="1" applyAlignment="1">
      <alignment vertical="top" wrapText="1"/>
    </xf>
    <xf numFmtId="0" fontId="81" fillId="0" borderId="13" xfId="10" applyFont="1" applyBorder="1" applyAlignment="1">
      <alignment vertical="top" wrapText="1"/>
    </xf>
    <xf numFmtId="0" fontId="100" fillId="0" borderId="15" xfId="6" applyFont="1" applyBorder="1" applyAlignment="1">
      <alignment horizontal="justify" vertical="top" wrapText="1" shrinkToFit="1"/>
    </xf>
    <xf numFmtId="0" fontId="100" fillId="0" borderId="16" xfId="6" applyFont="1" applyBorder="1" applyAlignment="1">
      <alignment horizontal="justify" vertical="top" wrapText="1" shrinkToFit="1"/>
    </xf>
    <xf numFmtId="0" fontId="3" fillId="0" borderId="16" xfId="10" applyFont="1" applyBorder="1" applyAlignment="1">
      <alignment horizontal="left" vertical="top"/>
    </xf>
    <xf numFmtId="0" fontId="13" fillId="0" borderId="29" xfId="10" quotePrefix="1" applyFont="1" applyBorder="1" applyAlignment="1">
      <alignment vertical="top"/>
    </xf>
    <xf numFmtId="0" fontId="13" fillId="0" borderId="4" xfId="10" quotePrefix="1" applyFont="1" applyBorder="1" applyAlignment="1">
      <alignment vertical="top"/>
    </xf>
    <xf numFmtId="174" fontId="81" fillId="0" borderId="4" xfId="10" applyNumberFormat="1" applyFont="1" applyBorder="1" applyAlignment="1">
      <alignment vertical="top"/>
    </xf>
    <xf numFmtId="174" fontId="81" fillId="0" borderId="13" xfId="10" applyNumberFormat="1" applyFont="1" applyBorder="1" applyAlignment="1">
      <alignment vertical="top"/>
    </xf>
    <xf numFmtId="49" fontId="81" fillId="24" borderId="10" xfId="10" applyNumberFormat="1" applyFont="1" applyFill="1" applyBorder="1" applyAlignment="1">
      <alignment horizontal="left" vertical="top"/>
    </xf>
    <xf numFmtId="0" fontId="4" fillId="24" borderId="10" xfId="10" applyFont="1" applyFill="1" applyBorder="1" applyAlignment="1">
      <alignment horizontal="right" vertical="top"/>
    </xf>
    <xf numFmtId="0" fontId="81" fillId="0" borderId="15" xfId="10" applyFont="1" applyBorder="1" applyAlignment="1">
      <alignment horizontal="left" vertical="top"/>
    </xf>
    <xf numFmtId="0" fontId="81" fillId="0" borderId="29" xfId="10" applyFont="1" applyBorder="1" applyAlignment="1">
      <alignment horizontal="left" vertical="top"/>
    </xf>
    <xf numFmtId="0" fontId="13" fillId="0" borderId="29" xfId="38" applyFont="1" applyBorder="1" applyAlignment="1">
      <alignment horizontal="left" vertical="top" wrapText="1"/>
    </xf>
    <xf numFmtId="0" fontId="78" fillId="0" borderId="4" xfId="10" applyFont="1" applyBorder="1" applyAlignment="1">
      <alignment wrapText="1"/>
    </xf>
    <xf numFmtId="49" fontId="81" fillId="24" borderId="4" xfId="10" applyNumberFormat="1" applyFont="1" applyFill="1" applyBorder="1" applyAlignment="1">
      <alignment horizontal="left" vertical="top"/>
    </xf>
    <xf numFmtId="0" fontId="83" fillId="0" borderId="0" xfId="2" applyFont="1" applyAlignment="1">
      <alignment horizontal="left" vertical="top"/>
    </xf>
    <xf numFmtId="0" fontId="83" fillId="0" borderId="0" xfId="2" applyFont="1" applyAlignment="1">
      <alignment vertical="center"/>
    </xf>
    <xf numFmtId="0" fontId="18" fillId="0" borderId="0" xfId="2" applyFont="1" applyAlignment="1">
      <alignment vertical="center"/>
    </xf>
    <xf numFmtId="165" fontId="18" fillId="0" borderId="0" xfId="4" applyNumberFormat="1" applyFont="1" applyFill="1" applyBorder="1" applyAlignment="1">
      <alignment horizontal="right" vertical="center"/>
    </xf>
    <xf numFmtId="174" fontId="79" fillId="0" borderId="0" xfId="4" applyNumberFormat="1" applyFont="1" applyFill="1" applyBorder="1" applyAlignment="1" applyProtection="1">
      <alignment vertical="center"/>
      <protection locked="0"/>
    </xf>
    <xf numFmtId="174" fontId="18" fillId="0" borderId="0" xfId="4" applyNumberFormat="1" applyFont="1" applyFill="1" applyBorder="1" applyAlignment="1">
      <alignment vertical="center"/>
    </xf>
    <xf numFmtId="0" fontId="4" fillId="24" borderId="13" xfId="10" applyFont="1" applyFill="1" applyBorder="1" applyAlignment="1">
      <alignment horizontal="right" vertical="top"/>
    </xf>
    <xf numFmtId="49" fontId="81" fillId="0" borderId="7" xfId="10" applyNumberFormat="1" applyFont="1" applyBorder="1" applyAlignment="1">
      <alignment horizontal="left" vertical="top"/>
    </xf>
    <xf numFmtId="0" fontId="13" fillId="0" borderId="7" xfId="38" applyFont="1" applyBorder="1" applyAlignment="1">
      <alignment vertical="top" wrapText="1"/>
    </xf>
    <xf numFmtId="0" fontId="81" fillId="0" borderId="4" xfId="10" applyFont="1" applyBorder="1" applyAlignment="1">
      <alignment vertical="top" wrapText="1"/>
    </xf>
    <xf numFmtId="0" fontId="4" fillId="24" borderId="4" xfId="10" applyFont="1" applyFill="1" applyBorder="1" applyAlignment="1">
      <alignment horizontal="right" vertical="top"/>
    </xf>
    <xf numFmtId="0" fontId="81" fillId="0" borderId="16" xfId="10" applyFont="1" applyBorder="1" applyAlignment="1">
      <alignment horizontal="left" vertical="top"/>
    </xf>
    <xf numFmtId="0" fontId="100" fillId="0" borderId="0" xfId="6" applyFont="1" applyAlignment="1">
      <alignment horizontal="justify" vertical="top" shrinkToFit="1"/>
    </xf>
    <xf numFmtId="2" fontId="13" fillId="0" borderId="16" xfId="6" applyNumberFormat="1" applyFont="1" applyBorder="1" applyAlignment="1">
      <alignment vertical="justify" wrapText="1"/>
    </xf>
    <xf numFmtId="0" fontId="80" fillId="0" borderId="16" xfId="10" applyFont="1" applyBorder="1" applyAlignment="1">
      <alignment horizontal="left" vertical="top" wrapText="1"/>
    </xf>
    <xf numFmtId="11" fontId="104" fillId="0" borderId="0" xfId="6" applyNumberFormat="1" applyFont="1" applyAlignment="1">
      <alignment horizontal="justify" vertical="top" wrapText="1"/>
    </xf>
    <xf numFmtId="0" fontId="81" fillId="0" borderId="13" xfId="10" applyFont="1" applyBorder="1" applyAlignment="1">
      <alignment horizontal="left" vertical="top"/>
    </xf>
    <xf numFmtId="49" fontId="81" fillId="24" borderId="13" xfId="10" applyNumberFormat="1" applyFont="1" applyFill="1" applyBorder="1" applyAlignment="1">
      <alignment horizontal="left" vertical="top"/>
    </xf>
    <xf numFmtId="0" fontId="83" fillId="0" borderId="13" xfId="2" applyFont="1" applyBorder="1" applyAlignment="1">
      <alignment horizontal="left" vertical="top"/>
    </xf>
    <xf numFmtId="0" fontId="83" fillId="0" borderId="13" xfId="2" applyFont="1" applyBorder="1" applyAlignment="1">
      <alignment vertical="center"/>
    </xf>
    <xf numFmtId="0" fontId="18" fillId="0" borderId="13" xfId="2" applyFont="1" applyBorder="1" applyAlignment="1">
      <alignment vertical="center"/>
    </xf>
    <xf numFmtId="165" fontId="18" fillId="0" borderId="4" xfId="4" applyNumberFormat="1" applyFont="1" applyFill="1" applyBorder="1" applyAlignment="1">
      <alignment horizontal="right" vertical="center"/>
    </xf>
    <xf numFmtId="174" fontId="79" fillId="0" borderId="13" xfId="4" applyNumberFormat="1" applyFont="1" applyFill="1" applyBorder="1" applyAlignment="1" applyProtection="1">
      <alignment vertical="center"/>
      <protection locked="0"/>
    </xf>
    <xf numFmtId="174" fontId="18" fillId="0" borderId="13" xfId="4" applyNumberFormat="1" applyFont="1" applyFill="1" applyBorder="1" applyAlignment="1">
      <alignment vertical="center"/>
    </xf>
    <xf numFmtId="0" fontId="12" fillId="0" borderId="13" xfId="2" applyFont="1" applyBorder="1" applyAlignment="1">
      <alignment horizontal="left" vertical="top"/>
    </xf>
    <xf numFmtId="174" fontId="13" fillId="0" borderId="13" xfId="4" applyNumberFormat="1" applyFont="1" applyFill="1" applyBorder="1" applyAlignment="1">
      <alignment vertical="center"/>
    </xf>
    <xf numFmtId="16" fontId="17" fillId="24" borderId="13" xfId="2" applyNumberFormat="1" applyFont="1" applyFill="1" applyBorder="1" applyAlignment="1">
      <alignment horizontal="left" vertical="top"/>
    </xf>
    <xf numFmtId="0" fontId="83" fillId="24" borderId="13" xfId="2" applyFont="1" applyFill="1" applyBorder="1" applyAlignment="1">
      <alignment horizontal="justify" vertical="top" wrapText="1"/>
    </xf>
    <xf numFmtId="0" fontId="18" fillId="24" borderId="13" xfId="2" applyFont="1" applyFill="1" applyBorder="1" applyAlignment="1">
      <alignment horizontal="center" vertical="center"/>
    </xf>
    <xf numFmtId="165" fontId="18" fillId="24" borderId="13" xfId="4" applyNumberFormat="1" applyFont="1" applyFill="1" applyBorder="1" applyAlignment="1">
      <alignment horizontal="right" vertical="center"/>
    </xf>
    <xf numFmtId="174" fontId="18" fillId="24" borderId="13" xfId="4" applyNumberFormat="1" applyFont="1" applyFill="1" applyBorder="1" applyAlignment="1" applyProtection="1">
      <alignment vertical="center"/>
      <protection locked="0"/>
    </xf>
    <xf numFmtId="11" fontId="104" fillId="0" borderId="5" xfId="6" applyNumberFormat="1" applyFont="1" applyBorder="1" applyAlignment="1">
      <alignment horizontal="justify" vertical="top" wrapText="1"/>
    </xf>
    <xf numFmtId="0" fontId="81" fillId="0" borderId="0" xfId="10" applyFont="1" applyAlignment="1">
      <alignment horizontal="left" vertical="top"/>
    </xf>
    <xf numFmtId="174" fontId="81" fillId="0" borderId="0" xfId="10" applyNumberFormat="1" applyFont="1"/>
    <xf numFmtId="165" fontId="18" fillId="0" borderId="4" xfId="4" applyNumberFormat="1" applyFont="1" applyBorder="1" applyAlignment="1">
      <alignment horizontal="right" vertical="center"/>
    </xf>
    <xf numFmtId="174" fontId="79" fillId="0" borderId="13" xfId="4" applyNumberFormat="1" applyFont="1" applyBorder="1" applyAlignment="1" applyProtection="1">
      <alignment vertical="center"/>
      <protection locked="0"/>
    </xf>
    <xf numFmtId="174" fontId="18" fillId="0" borderId="13" xfId="4" applyNumberFormat="1" applyFont="1" applyBorder="1" applyAlignment="1">
      <alignment vertical="center"/>
    </xf>
    <xf numFmtId="164" fontId="12" fillId="0" borderId="0" xfId="5" applyFont="1"/>
    <xf numFmtId="0" fontId="22" fillId="0" borderId="0" xfId="2" applyFont="1"/>
    <xf numFmtId="16" fontId="17" fillId="16" borderId="13" xfId="2" applyNumberFormat="1" applyFont="1" applyFill="1" applyBorder="1" applyAlignment="1">
      <alignment horizontal="left" vertical="top"/>
    </xf>
    <xf numFmtId="0" fontId="17" fillId="16" borderId="13" xfId="2" applyFont="1" applyFill="1" applyBorder="1" applyAlignment="1">
      <alignment horizontal="justify" vertical="top" wrapText="1"/>
    </xf>
    <xf numFmtId="0" fontId="18" fillId="16" borderId="13" xfId="2" applyFont="1" applyFill="1" applyBorder="1" applyAlignment="1">
      <alignment horizontal="center" vertical="center"/>
    </xf>
    <xf numFmtId="165" fontId="18" fillId="16" borderId="13" xfId="4" applyNumberFormat="1" applyFont="1" applyFill="1" applyBorder="1" applyAlignment="1">
      <alignment horizontal="right" vertical="center"/>
    </xf>
    <xf numFmtId="174" fontId="18" fillId="16" borderId="13" xfId="4" applyNumberFormat="1" applyFont="1" applyFill="1" applyBorder="1" applyAlignment="1" applyProtection="1">
      <alignment vertical="center"/>
      <protection locked="0"/>
    </xf>
    <xf numFmtId="174" fontId="18" fillId="16" borderId="13" xfId="4" applyNumberFormat="1" applyFont="1" applyFill="1" applyBorder="1" applyAlignment="1">
      <alignment vertical="center"/>
    </xf>
    <xf numFmtId="164" fontId="18" fillId="0" borderId="0" xfId="5" applyFont="1"/>
    <xf numFmtId="0" fontId="22" fillId="0" borderId="0" xfId="3" applyFont="1"/>
    <xf numFmtId="0" fontId="22" fillId="0" borderId="0" xfId="7" applyFont="1"/>
    <xf numFmtId="0" fontId="4" fillId="0" borderId="13" xfId="2" applyFont="1" applyBorder="1" applyAlignment="1">
      <alignment horizontal="left" vertical="top"/>
    </xf>
    <xf numFmtId="0" fontId="14" fillId="0" borderId="13" xfId="3" applyFont="1" applyBorder="1" applyAlignment="1">
      <alignment horizontal="left" vertical="top" wrapText="1"/>
    </xf>
    <xf numFmtId="0" fontId="15" fillId="0" borderId="13" xfId="2" applyFont="1" applyBorder="1" applyAlignment="1">
      <alignment horizontal="left" vertical="top"/>
    </xf>
    <xf numFmtId="0" fontId="13" fillId="0" borderId="13" xfId="3" applyFont="1" applyBorder="1" applyAlignment="1">
      <alignment horizontal="left" vertical="top" wrapText="1"/>
    </xf>
    <xf numFmtId="0" fontId="22" fillId="0" borderId="0" xfId="2" applyFont="1" applyAlignment="1">
      <alignment vertical="center"/>
    </xf>
    <xf numFmtId="49" fontId="4" fillId="0" borderId="13" xfId="2" applyNumberFormat="1" applyFont="1" applyBorder="1" applyAlignment="1">
      <alignment horizontal="left" vertical="top"/>
    </xf>
    <xf numFmtId="0" fontId="25" fillId="26" borderId="13" xfId="3" applyFont="1" applyFill="1" applyBorder="1" applyAlignment="1">
      <alignment vertical="top" wrapText="1"/>
    </xf>
    <xf numFmtId="0" fontId="13" fillId="26" borderId="13" xfId="2" applyFont="1" applyFill="1" applyBorder="1" applyAlignment="1">
      <alignment vertical="center"/>
    </xf>
    <xf numFmtId="165" fontId="13" fillId="26" borderId="13" xfId="4" applyNumberFormat="1" applyFont="1" applyFill="1" applyBorder="1" applyAlignment="1">
      <alignment horizontal="right" vertical="center"/>
    </xf>
    <xf numFmtId="0" fontId="20" fillId="26" borderId="13" xfId="3" applyFont="1" applyFill="1" applyBorder="1" applyAlignment="1">
      <alignment vertical="center" wrapText="1"/>
    </xf>
    <xf numFmtId="0" fontId="13" fillId="26" borderId="13" xfId="2" applyFont="1" applyFill="1" applyBorder="1" applyAlignment="1">
      <alignment horizontal="center" vertical="center"/>
    </xf>
    <xf numFmtId="0" fontId="25" fillId="18" borderId="13" xfId="3" applyFont="1" applyFill="1" applyBorder="1" applyAlignment="1">
      <alignment vertical="top" wrapText="1"/>
    </xf>
    <xf numFmtId="0" fontId="13" fillId="18" borderId="13" xfId="2" applyFont="1" applyFill="1" applyBorder="1" applyAlignment="1">
      <alignment vertical="center"/>
    </xf>
    <xf numFmtId="0" fontId="20" fillId="18" borderId="13" xfId="3" applyFont="1" applyFill="1" applyBorder="1" applyAlignment="1">
      <alignment vertical="center" wrapText="1"/>
    </xf>
    <xf numFmtId="0" fontId="13" fillId="18" borderId="13" xfId="2" applyFont="1" applyFill="1" applyBorder="1" applyAlignment="1">
      <alignment horizontal="center" vertical="center"/>
    </xf>
    <xf numFmtId="174" fontId="13" fillId="18" borderId="13" xfId="5" applyNumberFormat="1" applyFont="1" applyFill="1" applyBorder="1" applyAlignment="1" applyProtection="1">
      <alignment vertical="center"/>
      <protection locked="0"/>
    </xf>
    <xf numFmtId="174" fontId="13" fillId="18" borderId="13" xfId="5" applyNumberFormat="1" applyFont="1" applyFill="1" applyBorder="1" applyAlignment="1">
      <alignment vertical="center"/>
    </xf>
    <xf numFmtId="0" fontId="20" fillId="26" borderId="13" xfId="3" applyFont="1" applyFill="1" applyBorder="1" applyAlignment="1">
      <alignment vertical="top" wrapText="1"/>
    </xf>
    <xf numFmtId="0" fontId="22" fillId="0" borderId="0" xfId="2" applyFont="1" applyAlignment="1">
      <alignment wrapText="1"/>
    </xf>
    <xf numFmtId="0" fontId="20" fillId="18" borderId="13" xfId="3" applyFont="1" applyFill="1" applyBorder="1" applyAlignment="1">
      <alignment vertical="top" wrapText="1"/>
    </xf>
    <xf numFmtId="0" fontId="105" fillId="0" borderId="0" xfId="2" applyFont="1"/>
    <xf numFmtId="16" fontId="15" fillId="16" borderId="13" xfId="2" applyNumberFormat="1" applyFont="1" applyFill="1" applyBorder="1" applyAlignment="1">
      <alignment horizontal="left" vertical="top"/>
    </xf>
    <xf numFmtId="0" fontId="14" fillId="16" borderId="13" xfId="2" applyFont="1" applyFill="1" applyBorder="1" applyAlignment="1">
      <alignment horizontal="justify" vertical="center" wrapText="1"/>
    </xf>
    <xf numFmtId="0" fontId="13" fillId="16" borderId="13" xfId="2" applyFont="1" applyFill="1" applyBorder="1" applyAlignment="1">
      <alignment horizontal="center" vertical="center"/>
    </xf>
    <xf numFmtId="174" fontId="13" fillId="16" borderId="13" xfId="4" applyNumberFormat="1" applyFont="1" applyFill="1" applyBorder="1" applyAlignment="1" applyProtection="1">
      <alignment vertical="center"/>
      <protection locked="0"/>
    </xf>
    <xf numFmtId="0" fontId="105" fillId="0" borderId="0" xfId="2" applyFont="1" applyAlignment="1">
      <alignment vertical="center"/>
    </xf>
    <xf numFmtId="16" fontId="15" fillId="0" borderId="13" xfId="2" applyNumberFormat="1" applyFont="1" applyBorder="1" applyAlignment="1">
      <alignment horizontal="left" vertical="top"/>
    </xf>
    <xf numFmtId="174" fontId="14" fillId="0" borderId="13" xfId="5" applyNumberFormat="1" applyFont="1" applyFill="1" applyBorder="1" applyAlignment="1">
      <alignment vertical="center"/>
    </xf>
    <xf numFmtId="2" fontId="13" fillId="0" borderId="8" xfId="6" applyNumberFormat="1" applyFont="1" applyBorder="1" applyAlignment="1">
      <alignment vertical="justify"/>
    </xf>
    <xf numFmtId="174" fontId="81" fillId="0" borderId="15" xfId="10" applyNumberFormat="1" applyFont="1" applyBorder="1" applyAlignment="1">
      <alignment vertical="top"/>
    </xf>
    <xf numFmtId="49" fontId="95" fillId="15" borderId="13" xfId="2" applyNumberFormat="1" applyFont="1" applyFill="1" applyBorder="1" applyAlignment="1">
      <alignment horizontal="left" vertical="center" wrapText="1"/>
    </xf>
    <xf numFmtId="177" fontId="95" fillId="15" borderId="13" xfId="40" applyNumberFormat="1" applyFont="1" applyFill="1" applyBorder="1" applyAlignment="1">
      <alignment horizontal="left" vertical="center" wrapText="1"/>
    </xf>
    <xf numFmtId="2" fontId="107" fillId="15" borderId="13" xfId="40" applyNumberFormat="1" applyFont="1" applyFill="1" applyBorder="1" applyAlignment="1">
      <alignment vertical="center"/>
    </xf>
    <xf numFmtId="44" fontId="20" fillId="15" borderId="13" xfId="41" applyFont="1" applyFill="1" applyBorder="1" applyAlignment="1" applyProtection="1">
      <alignment vertical="center" wrapText="1"/>
      <protection locked="0"/>
    </xf>
    <xf numFmtId="178" fontId="20" fillId="15" borderId="13" xfId="2" applyNumberFormat="1" applyFont="1" applyFill="1" applyBorder="1" applyAlignment="1" applyProtection="1">
      <alignment vertical="center" wrapText="1"/>
      <protection locked="0"/>
    </xf>
    <xf numFmtId="49" fontId="20" fillId="0" borderId="13" xfId="2" applyNumberFormat="1" applyFont="1" applyBorder="1" applyAlignment="1">
      <alignment horizontal="left" vertical="top" wrapText="1"/>
    </xf>
    <xf numFmtId="177" fontId="13" fillId="0" borderId="13" xfId="4" applyNumberFormat="1" applyFont="1" applyBorder="1" applyAlignment="1">
      <alignment horizontal="left" vertical="top" wrapText="1"/>
    </xf>
    <xf numFmtId="49" fontId="20" fillId="20" borderId="13" xfId="2" applyNumberFormat="1" applyFont="1" applyFill="1" applyBorder="1" applyAlignment="1">
      <alignment horizontal="left" vertical="top" wrapText="1"/>
    </xf>
    <xf numFmtId="0" fontId="20" fillId="20" borderId="13" xfId="2" applyFont="1" applyFill="1" applyBorder="1" applyAlignment="1" applyProtection="1">
      <alignment vertical="top" wrapText="1"/>
      <protection locked="0"/>
    </xf>
    <xf numFmtId="177" fontId="13" fillId="0" borderId="13" xfId="40" applyNumberFormat="1" applyFont="1" applyBorder="1" applyAlignment="1">
      <alignment horizontal="left" vertical="top" wrapText="1"/>
    </xf>
    <xf numFmtId="177" fontId="13" fillId="20" borderId="13" xfId="40" applyNumberFormat="1" applyFont="1" applyFill="1" applyBorder="1" applyAlignment="1">
      <alignment horizontal="left" vertical="top" wrapText="1"/>
    </xf>
    <xf numFmtId="1" fontId="13" fillId="20" borderId="13" xfId="2" applyNumberFormat="1" applyFont="1" applyFill="1" applyBorder="1" applyAlignment="1">
      <alignment vertical="top" wrapText="1"/>
    </xf>
    <xf numFmtId="0" fontId="13" fillId="0" borderId="13" xfId="18" applyNumberFormat="1" applyFont="1" applyBorder="1" applyAlignment="1">
      <alignment horizontal="left" vertical="top" wrapText="1"/>
    </xf>
    <xf numFmtId="49" fontId="20" fillId="0" borderId="30" xfId="2" applyNumberFormat="1" applyFont="1" applyBorder="1" applyAlignment="1">
      <alignment horizontal="left" vertical="top" wrapText="1"/>
    </xf>
    <xf numFmtId="0" fontId="13" fillId="0" borderId="31" xfId="18" applyNumberFormat="1" applyFont="1" applyBorder="1" applyAlignment="1">
      <alignment horizontal="left" vertical="top" wrapText="1"/>
    </xf>
    <xf numFmtId="49" fontId="14" fillId="0" borderId="33" xfId="42" applyNumberFormat="1" applyFont="1" applyBorder="1" applyAlignment="1">
      <alignment horizontal="left" vertical="center" wrapText="1" readingOrder="1"/>
    </xf>
    <xf numFmtId="177" fontId="14" fillId="0" borderId="33" xfId="40" applyNumberFormat="1" applyFont="1" applyBorder="1" applyAlignment="1">
      <alignment vertical="center" wrapText="1"/>
    </xf>
    <xf numFmtId="2" fontId="13" fillId="0" borderId="33" xfId="43" applyNumberFormat="1" applyFont="1" applyBorder="1" applyAlignment="1">
      <alignment vertical="center"/>
    </xf>
    <xf numFmtId="44" fontId="13" fillId="0" borderId="33" xfId="41" applyFont="1" applyBorder="1" applyAlignment="1" applyProtection="1">
      <alignment vertical="center"/>
      <protection locked="0"/>
    </xf>
    <xf numFmtId="49" fontId="14" fillId="0" borderId="26" xfId="42" applyNumberFormat="1" applyFont="1" applyBorder="1">
      <alignment horizontal="left" vertical="top" wrapText="1" readingOrder="1"/>
    </xf>
    <xf numFmtId="177" fontId="14" fillId="0" borderId="26" xfId="40" applyNumberFormat="1" applyFont="1" applyBorder="1" applyAlignment="1">
      <alignment vertical="top" wrapText="1"/>
    </xf>
    <xf numFmtId="44" fontId="13" fillId="0" borderId="26" xfId="41" applyFont="1" applyBorder="1" applyProtection="1">
      <protection locked="0"/>
    </xf>
    <xf numFmtId="178" fontId="14" fillId="0" borderId="26" xfId="43" applyNumberFormat="1" applyFont="1" applyBorder="1" applyProtection="1">
      <protection locked="0"/>
    </xf>
    <xf numFmtId="49" fontId="14" fillId="0" borderId="3" xfId="42" applyNumberFormat="1" applyFont="1" applyBorder="1">
      <alignment horizontal="left" vertical="top" wrapText="1" readingOrder="1"/>
    </xf>
    <xf numFmtId="177" fontId="14" fillId="0" borderId="3" xfId="40" applyNumberFormat="1" applyFont="1" applyBorder="1" applyAlignment="1">
      <alignment vertical="top" wrapText="1"/>
    </xf>
    <xf numFmtId="44" fontId="13" fillId="0" borderId="3" xfId="41" applyFont="1" applyBorder="1" applyProtection="1">
      <protection locked="0"/>
    </xf>
    <xf numFmtId="178" fontId="14" fillId="0" borderId="3" xfId="43" applyNumberFormat="1" applyFont="1" applyBorder="1" applyProtection="1">
      <protection locked="0"/>
    </xf>
    <xf numFmtId="49" fontId="20" fillId="0" borderId="4" xfId="2" applyNumberFormat="1" applyFont="1" applyBorder="1" applyAlignment="1">
      <alignment horizontal="left" vertical="top" wrapText="1"/>
    </xf>
    <xf numFmtId="0" fontId="20" fillId="0" borderId="5" xfId="2" applyFont="1" applyBorder="1" applyAlignment="1">
      <alignment vertical="top" wrapText="1"/>
    </xf>
    <xf numFmtId="44" fontId="20" fillId="0" borderId="5" xfId="41" applyFont="1" applyBorder="1" applyAlignment="1" applyProtection="1">
      <alignment wrapText="1"/>
      <protection locked="0"/>
    </xf>
    <xf numFmtId="178" fontId="20" fillId="0" borderId="6" xfId="2" applyNumberFormat="1" applyFont="1" applyBorder="1" applyAlignment="1" applyProtection="1">
      <alignment wrapText="1"/>
      <protection locked="0"/>
    </xf>
    <xf numFmtId="0" fontId="14" fillId="0" borderId="5" xfId="21" applyFont="1" applyBorder="1" applyAlignment="1">
      <alignment horizontal="justify" vertical="top" wrapText="1"/>
    </xf>
    <xf numFmtId="44" fontId="20" fillId="0" borderId="13" xfId="41" applyFont="1" applyBorder="1" applyAlignment="1" applyProtection="1">
      <alignment vertical="top" wrapText="1"/>
      <protection locked="0"/>
    </xf>
    <xf numFmtId="178" fontId="20" fillId="0" borderId="13" xfId="2" applyNumberFormat="1" applyFont="1" applyBorder="1" applyAlignment="1" applyProtection="1">
      <alignment vertical="top" wrapText="1"/>
      <protection locked="0"/>
    </xf>
    <xf numFmtId="0" fontId="25" fillId="0" borderId="13" xfId="21" applyFont="1" applyBorder="1" applyAlignment="1">
      <alignment horizontal="left" vertical="top" wrapText="1"/>
    </xf>
    <xf numFmtId="0" fontId="20" fillId="0" borderId="13" xfId="2" applyFont="1" applyBorder="1" applyAlignment="1">
      <alignment horizontal="left" vertical="top" wrapText="1"/>
    </xf>
    <xf numFmtId="0" fontId="25" fillId="20" borderId="5" xfId="2" applyFont="1" applyFill="1" applyBorder="1" applyAlignment="1" applyProtection="1">
      <alignment vertical="top" wrapText="1"/>
      <protection locked="0"/>
    </xf>
    <xf numFmtId="0" fontId="25" fillId="0" borderId="13" xfId="20" applyFont="1" applyBorder="1" applyAlignment="1">
      <alignment horizontal="left" vertical="top" wrapText="1"/>
    </xf>
    <xf numFmtId="0" fontId="25" fillId="0" borderId="5" xfId="20" applyFont="1" applyBorder="1" applyAlignment="1">
      <alignment horizontal="left" vertical="top" wrapText="1"/>
    </xf>
    <xf numFmtId="177" fontId="13" fillId="0" borderId="13" xfId="40" applyNumberFormat="1" applyFont="1" applyBorder="1" applyAlignment="1">
      <alignment vertical="top" wrapText="1"/>
    </xf>
    <xf numFmtId="49" fontId="20" fillId="0" borderId="34" xfId="2" applyNumberFormat="1" applyFont="1" applyBorder="1" applyAlignment="1">
      <alignment horizontal="left" vertical="top" wrapText="1"/>
    </xf>
    <xf numFmtId="0" fontId="20" fillId="0" borderId="34" xfId="2" applyFont="1" applyBorder="1" applyAlignment="1">
      <alignment vertical="top" wrapText="1"/>
    </xf>
    <xf numFmtId="44" fontId="20" fillId="0" borderId="16" xfId="41" applyFont="1" applyBorder="1" applyAlignment="1" applyProtection="1">
      <alignment horizontal="right" wrapText="1"/>
      <protection locked="0"/>
    </xf>
    <xf numFmtId="178" fontId="20" fillId="0" borderId="16" xfId="2" applyNumberFormat="1" applyFont="1" applyBorder="1" applyAlignment="1" applyProtection="1">
      <alignment wrapText="1"/>
      <protection locked="0"/>
    </xf>
    <xf numFmtId="177" fontId="14" fillId="0" borderId="34" xfId="40" applyNumberFormat="1" applyFont="1" applyBorder="1" applyAlignment="1">
      <alignment vertical="center" wrapText="1"/>
    </xf>
    <xf numFmtId="0" fontId="13" fillId="0" borderId="13" xfId="21" applyFont="1" applyBorder="1" applyAlignment="1">
      <alignment horizontal="left" vertical="top" wrapText="1"/>
    </xf>
    <xf numFmtId="0" fontId="13" fillId="0" borderId="5" xfId="21" applyFont="1" applyBorder="1" applyAlignment="1">
      <alignment horizontal="justify" vertical="top" wrapText="1"/>
    </xf>
    <xf numFmtId="0" fontId="20" fillId="0" borderId="31" xfId="2" applyFont="1" applyBorder="1" applyAlignment="1">
      <alignment vertical="top" wrapText="1"/>
    </xf>
    <xf numFmtId="44" fontId="20" fillId="0" borderId="31" xfId="41" applyFont="1" applyBorder="1" applyAlignment="1" applyProtection="1">
      <alignment wrapText="1"/>
      <protection locked="0"/>
    </xf>
    <xf numFmtId="178" fontId="20" fillId="0" borderId="32" xfId="2" applyNumberFormat="1" applyFont="1" applyBorder="1" applyAlignment="1" applyProtection="1">
      <alignment wrapText="1"/>
      <protection locked="0"/>
    </xf>
    <xf numFmtId="49" fontId="20" fillId="0" borderId="3" xfId="2" applyNumberFormat="1" applyFont="1" applyBorder="1" applyAlignment="1">
      <alignment horizontal="left" vertical="top" wrapText="1"/>
    </xf>
    <xf numFmtId="0" fontId="20" fillId="0" borderId="3" xfId="2" applyFont="1" applyBorder="1" applyAlignment="1">
      <alignment vertical="top" wrapText="1"/>
    </xf>
    <xf numFmtId="44" fontId="20" fillId="0" borderId="3" xfId="41" applyFont="1" applyBorder="1" applyAlignment="1" applyProtection="1">
      <alignment wrapText="1"/>
      <protection locked="0"/>
    </xf>
    <xf numFmtId="178" fontId="20" fillId="0" borderId="3" xfId="2" applyNumberFormat="1" applyFont="1" applyBorder="1" applyAlignment="1" applyProtection="1">
      <alignment wrapText="1"/>
      <protection locked="0"/>
    </xf>
    <xf numFmtId="49" fontId="20" fillId="20" borderId="4" xfId="2" applyNumberFormat="1" applyFont="1" applyFill="1" applyBorder="1" applyAlignment="1">
      <alignment horizontal="left" vertical="top" wrapText="1"/>
    </xf>
    <xf numFmtId="177" fontId="13" fillId="20" borderId="13" xfId="40" applyNumberFormat="1" applyFont="1" applyFill="1" applyBorder="1" applyAlignment="1">
      <alignment vertical="top" wrapText="1"/>
    </xf>
    <xf numFmtId="0" fontId="20" fillId="0" borderId="8" xfId="2" applyFont="1" applyBorder="1" applyAlignment="1">
      <alignment vertical="top" wrapText="1"/>
    </xf>
    <xf numFmtId="177" fontId="13" fillId="0" borderId="8" xfId="40" applyNumberFormat="1" applyFont="1" applyBorder="1" applyAlignment="1">
      <alignment vertical="top" wrapText="1"/>
    </xf>
    <xf numFmtId="44" fontId="13" fillId="0" borderId="5" xfId="41" applyFont="1" applyBorder="1" applyAlignment="1" applyProtection="1">
      <alignment vertical="top"/>
      <protection locked="0"/>
    </xf>
    <xf numFmtId="178" fontId="13" fillId="0" borderId="6" xfId="2" applyNumberFormat="1" applyFont="1" applyBorder="1" applyAlignment="1" applyProtection="1">
      <alignment vertical="top" wrapText="1"/>
      <protection locked="0"/>
    </xf>
    <xf numFmtId="44" fontId="20" fillId="0" borderId="3" xfId="41" applyFont="1" applyBorder="1" applyAlignment="1" applyProtection="1">
      <alignment vertical="top" wrapText="1"/>
      <protection locked="0"/>
    </xf>
    <xf numFmtId="178" fontId="20" fillId="0" borderId="3" xfId="2" applyNumberFormat="1" applyFont="1" applyBorder="1" applyAlignment="1" applyProtection="1">
      <alignment vertical="top" wrapText="1"/>
      <protection locked="0"/>
    </xf>
    <xf numFmtId="177" fontId="13" fillId="0" borderId="31" xfId="40" applyNumberFormat="1" applyFont="1" applyBorder="1" applyAlignment="1">
      <alignment vertical="top" wrapText="1"/>
    </xf>
    <xf numFmtId="44" fontId="13" fillId="0" borderId="31" xfId="41" applyFont="1" applyBorder="1" applyAlignment="1" applyProtection="1">
      <alignment vertical="top"/>
      <protection locked="0"/>
    </xf>
    <xf numFmtId="178" fontId="13" fillId="0" borderId="32" xfId="2" applyNumberFormat="1" applyFont="1" applyBorder="1" applyAlignment="1" applyProtection="1">
      <alignment vertical="top" wrapText="1"/>
      <protection locked="0"/>
    </xf>
    <xf numFmtId="177" fontId="13" fillId="0" borderId="5" xfId="40" applyNumberFormat="1" applyFont="1" applyBorder="1" applyAlignment="1">
      <alignment vertical="top" wrapText="1"/>
    </xf>
    <xf numFmtId="44" fontId="13" fillId="0" borderId="5" xfId="41" applyFont="1" applyBorder="1" applyProtection="1">
      <protection locked="0"/>
    </xf>
    <xf numFmtId="178" fontId="13" fillId="0" borderId="6" xfId="2" applyNumberFormat="1" applyFont="1" applyBorder="1" applyAlignment="1" applyProtection="1">
      <alignment wrapText="1"/>
      <protection locked="0"/>
    </xf>
    <xf numFmtId="0" fontId="13" fillId="0" borderId="13" xfId="43" applyFont="1" applyBorder="1" applyAlignment="1" applyProtection="1">
      <alignment vertical="top"/>
      <protection locked="0"/>
    </xf>
    <xf numFmtId="172" fontId="20" fillId="0" borderId="13" xfId="22" applyNumberFormat="1" applyFont="1" applyBorder="1" applyAlignment="1">
      <alignment horizontal="left" vertical="top" wrapText="1"/>
    </xf>
    <xf numFmtId="0" fontId="20" fillId="0" borderId="13" xfId="21" applyFont="1" applyBorder="1" applyAlignment="1">
      <alignment horizontal="left" vertical="top" wrapText="1"/>
    </xf>
    <xf numFmtId="0" fontId="13" fillId="0" borderId="13" xfId="23" applyFont="1" applyBorder="1" applyAlignment="1">
      <alignment horizontal="left" vertical="top" wrapText="1"/>
    </xf>
    <xf numFmtId="0" fontId="109" fillId="0" borderId="5" xfId="21" applyFont="1" applyBorder="1" applyAlignment="1">
      <alignment horizontal="justify" vertical="top" wrapText="1"/>
    </xf>
    <xf numFmtId="44" fontId="13" fillId="0" borderId="5" xfId="41" applyFont="1" applyBorder="1" applyAlignment="1" applyProtection="1">
      <alignment horizontal="right" vertical="top"/>
      <protection locked="0"/>
    </xf>
    <xf numFmtId="49" fontId="14" fillId="0" borderId="33" xfId="42" applyNumberFormat="1" applyFont="1" applyBorder="1" applyAlignment="1">
      <alignment horizontal="left" vertical="center" wrapText="1"/>
    </xf>
    <xf numFmtId="49" fontId="14" fillId="0" borderId="0" xfId="42" applyNumberFormat="1" applyFont="1" applyAlignment="1">
      <alignment horizontal="left" vertical="center" wrapText="1"/>
    </xf>
    <xf numFmtId="177" fontId="14" fillId="0" borderId="0" xfId="40" applyNumberFormat="1" applyFont="1" applyBorder="1" applyAlignment="1">
      <alignment vertical="center" wrapText="1"/>
    </xf>
    <xf numFmtId="2" fontId="13" fillId="0" borderId="0" xfId="43" applyNumberFormat="1" applyFont="1" applyAlignment="1">
      <alignment vertical="center"/>
    </xf>
    <xf numFmtId="44" fontId="13" fillId="0" borderId="0" xfId="41" applyFont="1" applyBorder="1" applyAlignment="1" applyProtection="1">
      <alignment vertical="center"/>
      <protection locked="0"/>
    </xf>
    <xf numFmtId="178" fontId="14" fillId="0" borderId="0" xfId="43" applyNumberFormat="1" applyFont="1" applyAlignment="1" applyProtection="1">
      <alignment vertical="center"/>
      <protection locked="0"/>
    </xf>
    <xf numFmtId="49" fontId="20" fillId="0" borderId="0" xfId="10" applyNumberFormat="1" applyFont="1" applyAlignment="1">
      <alignment horizontal="left" vertical="top" wrapText="1"/>
    </xf>
    <xf numFmtId="0" fontId="20" fillId="0" borderId="0" xfId="10" applyFont="1" applyAlignment="1">
      <alignment horizontal="left" vertical="top" wrapText="1"/>
    </xf>
    <xf numFmtId="44" fontId="20" fillId="0" borderId="0" xfId="41" applyFont="1" applyAlignment="1" applyProtection="1">
      <alignment vertical="top" wrapText="1"/>
      <protection locked="0"/>
    </xf>
    <xf numFmtId="178" fontId="20" fillId="0" borderId="0" xfId="10" applyNumberFormat="1" applyFont="1" applyAlignment="1">
      <alignment vertical="top" wrapText="1"/>
    </xf>
    <xf numFmtId="49" fontId="14" fillId="27" borderId="13" xfId="10" applyNumberFormat="1" applyFont="1" applyFill="1" applyBorder="1" applyAlignment="1">
      <alignment horizontal="left" vertical="top" wrapText="1"/>
    </xf>
    <xf numFmtId="177" fontId="14" fillId="27" borderId="13" xfId="40" applyNumberFormat="1" applyFont="1" applyFill="1" applyBorder="1" applyAlignment="1">
      <alignment horizontal="left" vertical="top" wrapText="1"/>
    </xf>
    <xf numFmtId="44" fontId="25" fillId="27" borderId="13" xfId="41" applyFont="1" applyFill="1" applyBorder="1" applyAlignment="1" applyProtection="1">
      <alignment vertical="top" wrapText="1"/>
      <protection locked="0"/>
    </xf>
    <xf numFmtId="178" fontId="25" fillId="27" borderId="13" xfId="10" applyNumberFormat="1" applyFont="1" applyFill="1" applyBorder="1" applyAlignment="1">
      <alignment vertical="top" wrapText="1"/>
    </xf>
    <xf numFmtId="49" fontId="20" fillId="0" borderId="16" xfId="10" applyNumberFormat="1" applyFont="1" applyBorder="1" applyAlignment="1">
      <alignment horizontal="left" vertical="top" wrapText="1"/>
    </xf>
    <xf numFmtId="0" fontId="13" fillId="0" borderId="0" xfId="21" applyFont="1" applyAlignment="1">
      <alignment horizontal="left" vertical="top" wrapText="1"/>
    </xf>
    <xf numFmtId="44" fontId="13" fillId="0" borderId="16" xfId="41" applyFont="1" applyBorder="1" applyAlignment="1" applyProtection="1">
      <alignment horizontal="left" vertical="top" wrapText="1"/>
      <protection locked="0"/>
    </xf>
    <xf numFmtId="178" fontId="13" fillId="0" borderId="16" xfId="10" applyNumberFormat="1" applyFont="1" applyBorder="1" applyAlignment="1">
      <alignment vertical="top" wrapText="1"/>
    </xf>
    <xf numFmtId="49" fontId="14" fillId="0" borderId="33" xfId="42" applyNumberFormat="1" applyFont="1" applyBorder="1" applyAlignment="1">
      <alignment horizontal="left" vertical="top" wrapText="1"/>
    </xf>
    <xf numFmtId="177" fontId="14" fillId="0" borderId="33" xfId="40" applyNumberFormat="1" applyFont="1" applyBorder="1" applyAlignment="1">
      <alignment horizontal="left" vertical="top" wrapText="1"/>
    </xf>
    <xf numFmtId="44" fontId="14" fillId="0" borderId="33" xfId="41" applyFont="1" applyBorder="1" applyAlignment="1" applyProtection="1">
      <alignment vertical="top" wrapText="1"/>
      <protection locked="0"/>
    </xf>
    <xf numFmtId="49" fontId="13" fillId="0" borderId="0" xfId="42" applyNumberFormat="1" applyFont="1" applyAlignment="1">
      <alignment horizontal="left" vertical="top" wrapText="1"/>
    </xf>
    <xf numFmtId="177" fontId="13" fillId="0" borderId="0" xfId="40" applyNumberFormat="1" applyFont="1" applyAlignment="1">
      <alignment horizontal="left" vertical="top" wrapText="1"/>
    </xf>
    <xf numFmtId="44" fontId="13" fillId="0" borderId="0" xfId="41" applyFont="1" applyAlignment="1" applyProtection="1">
      <alignment vertical="top" wrapText="1"/>
      <protection locked="0"/>
    </xf>
    <xf numFmtId="178" fontId="13" fillId="0" borderId="0" xfId="43" applyNumberFormat="1" applyFont="1" applyAlignment="1">
      <alignment vertical="top" wrapText="1"/>
    </xf>
    <xf numFmtId="0" fontId="13" fillId="0" borderId="0" xfId="43" applyFont="1" applyAlignment="1">
      <alignment horizontal="left" vertical="top" wrapText="1"/>
    </xf>
    <xf numFmtId="178" fontId="13" fillId="0" borderId="0" xfId="10" applyNumberFormat="1" applyFont="1" applyAlignment="1">
      <alignment vertical="top" wrapText="1"/>
    </xf>
    <xf numFmtId="0" fontId="20" fillId="0" borderId="13" xfId="3" applyFont="1" applyBorder="1" applyAlignment="1">
      <alignment vertical="top" wrapText="1"/>
    </xf>
    <xf numFmtId="165" fontId="13" fillId="0" borderId="13" xfId="4" applyNumberFormat="1" applyFont="1" applyFill="1" applyBorder="1" applyAlignment="1">
      <alignment horizontal="left" vertical="center"/>
    </xf>
    <xf numFmtId="164" fontId="13" fillId="0" borderId="13" xfId="5" applyFont="1" applyFill="1" applyBorder="1" applyAlignment="1" applyProtection="1">
      <alignment horizontal="center" vertical="center"/>
      <protection locked="0"/>
    </xf>
    <xf numFmtId="164" fontId="13" fillId="0" borderId="13" xfId="5" applyFont="1" applyFill="1" applyBorder="1" applyAlignment="1">
      <alignment horizontal="right" vertical="center"/>
    </xf>
    <xf numFmtId="0" fontId="20" fillId="0" borderId="13" xfId="6" applyFont="1" applyBorder="1" applyAlignment="1">
      <alignment horizontal="left" vertical="top" wrapText="1"/>
    </xf>
    <xf numFmtId="165" fontId="13" fillId="0" borderId="13" xfId="4" applyNumberFormat="1" applyFont="1" applyFill="1" applyBorder="1" applyAlignment="1">
      <alignment horizontal="left" vertical="center" wrapText="1"/>
    </xf>
    <xf numFmtId="0" fontId="14" fillId="7" borderId="4" xfId="2" applyFont="1" applyFill="1" applyBorder="1" applyAlignment="1">
      <alignment vertical="top"/>
    </xf>
    <xf numFmtId="0" fontId="14" fillId="7" borderId="5" xfId="2" applyFont="1" applyFill="1" applyBorder="1" applyAlignment="1">
      <alignment vertical="center"/>
    </xf>
    <xf numFmtId="165" fontId="14" fillId="7" borderId="5" xfId="4" applyNumberFormat="1" applyFont="1" applyFill="1" applyBorder="1" applyAlignment="1">
      <alignment horizontal="left" vertical="center"/>
    </xf>
    <xf numFmtId="4" fontId="14" fillId="7" borderId="5" xfId="4" applyNumberFormat="1" applyFont="1" applyFill="1" applyBorder="1" applyAlignment="1" applyProtection="1">
      <alignment horizontal="center" vertical="center"/>
      <protection locked="0"/>
    </xf>
    <xf numFmtId="4" fontId="14" fillId="7" borderId="6" xfId="4" applyNumberFormat="1" applyFont="1" applyFill="1" applyBorder="1" applyAlignment="1">
      <alignment horizontal="right" vertical="center"/>
    </xf>
    <xf numFmtId="165" fontId="13" fillId="0" borderId="13" xfId="4" applyNumberFormat="1" applyFont="1" applyBorder="1" applyAlignment="1">
      <alignment horizontal="center" vertical="center"/>
    </xf>
    <xf numFmtId="164" fontId="13" fillId="0" borderId="13" xfId="5" applyFont="1" applyBorder="1" applyAlignment="1" applyProtection="1">
      <alignment vertical="center"/>
      <protection locked="0"/>
    </xf>
    <xf numFmtId="164" fontId="13" fillId="0" borderId="13" xfId="5" applyFont="1" applyBorder="1" applyAlignment="1">
      <alignment vertical="center"/>
    </xf>
    <xf numFmtId="165" fontId="13" fillId="0" borderId="13" xfId="4" applyNumberFormat="1" applyFont="1" applyFill="1" applyBorder="1" applyAlignment="1">
      <alignment horizontal="center" vertical="center"/>
    </xf>
    <xf numFmtId="0" fontId="78" fillId="0" borderId="13" xfId="28" applyFont="1" applyBorder="1" applyAlignment="1">
      <alignment vertical="top" wrapText="1"/>
    </xf>
    <xf numFmtId="49" fontId="20" fillId="0" borderId="13" xfId="8" applyNumberFormat="1" applyFont="1" applyBorder="1" applyAlignment="1">
      <alignment vertical="top" wrapText="1"/>
    </xf>
    <xf numFmtId="165" fontId="20" fillId="0" borderId="13" xfId="4" applyNumberFormat="1" applyFont="1" applyFill="1" applyBorder="1" applyAlignment="1">
      <alignment horizontal="center" vertical="center"/>
    </xf>
    <xf numFmtId="0" fontId="13" fillId="0" borderId="4" xfId="2" applyFont="1" applyBorder="1" applyAlignment="1">
      <alignment horizontal="justify" vertical="top" wrapText="1"/>
    </xf>
    <xf numFmtId="0" fontId="13" fillId="0" borderId="5" xfId="2" applyFont="1" applyBorder="1" applyAlignment="1">
      <alignment horizontal="center" vertical="center"/>
    </xf>
    <xf numFmtId="165" fontId="13" fillId="0" borderId="5" xfId="4" applyNumberFormat="1" applyFont="1" applyBorder="1" applyAlignment="1">
      <alignment horizontal="center" vertical="center"/>
    </xf>
    <xf numFmtId="164" fontId="13" fillId="0" borderId="5" xfId="5" applyFont="1" applyBorder="1" applyAlignment="1" applyProtection="1">
      <alignment vertical="center"/>
      <protection locked="0"/>
    </xf>
    <xf numFmtId="164" fontId="13" fillId="0" borderId="6" xfId="5" applyFont="1" applyBorder="1" applyAlignment="1">
      <alignment vertical="center"/>
    </xf>
    <xf numFmtId="0" fontId="14" fillId="7" borderId="5" xfId="2" applyFont="1" applyFill="1" applyBorder="1" applyAlignment="1">
      <alignment horizontal="center" vertical="center"/>
    </xf>
    <xf numFmtId="165" fontId="13" fillId="0" borderId="0" xfId="4" applyNumberFormat="1" applyFont="1" applyAlignment="1">
      <alignment horizontal="left" vertical="center"/>
    </xf>
    <xf numFmtId="4" fontId="13" fillId="0" borderId="0" xfId="4" applyNumberFormat="1" applyFont="1" applyAlignment="1" applyProtection="1">
      <alignment horizontal="center" vertical="center"/>
      <protection locked="0"/>
    </xf>
    <xf numFmtId="4" fontId="13" fillId="0" borderId="0" xfId="4" applyNumberFormat="1" applyFont="1" applyAlignment="1">
      <alignment horizontal="right" vertical="center"/>
    </xf>
    <xf numFmtId="4" fontId="13" fillId="0" borderId="13" xfId="4" applyNumberFormat="1" applyFont="1" applyBorder="1" applyAlignment="1" applyProtection="1">
      <alignment vertical="center"/>
      <protection locked="0"/>
    </xf>
    <xf numFmtId="0" fontId="3" fillId="5" borderId="7" xfId="3" applyFill="1" applyBorder="1" applyAlignment="1">
      <alignment horizontal="left" vertical="top"/>
    </xf>
    <xf numFmtId="0" fontId="13" fillId="5" borderId="8" xfId="3" applyFont="1" applyFill="1" applyBorder="1" applyAlignment="1">
      <alignment horizontal="left" vertical="top"/>
    </xf>
    <xf numFmtId="0" fontId="13" fillId="5" borderId="9" xfId="3" applyFont="1" applyFill="1" applyBorder="1" applyAlignment="1">
      <alignment horizontal="left" vertical="top"/>
    </xf>
    <xf numFmtId="0" fontId="4" fillId="5" borderId="10" xfId="3" applyFont="1" applyFill="1" applyBorder="1" applyAlignment="1">
      <alignment horizontal="left" vertical="top"/>
    </xf>
    <xf numFmtId="0" fontId="13" fillId="5" borderId="3" xfId="3" applyFont="1" applyFill="1" applyBorder="1" applyAlignment="1">
      <alignment horizontal="left" vertical="top"/>
    </xf>
    <xf numFmtId="0" fontId="13" fillId="5" borderId="11" xfId="3" applyFont="1" applyFill="1" applyBorder="1" applyAlignment="1">
      <alignment horizontal="left" vertical="top"/>
    </xf>
    <xf numFmtId="0" fontId="13" fillId="5" borderId="0" xfId="3" applyFont="1" applyFill="1" applyAlignment="1">
      <alignment horizontal="left" vertical="top"/>
    </xf>
    <xf numFmtId="0" fontId="3" fillId="5" borderId="4" xfId="2" applyFont="1" applyFill="1" applyBorder="1" applyAlignment="1">
      <alignment horizontal="left" vertical="top" wrapText="1"/>
    </xf>
    <xf numFmtId="0" fontId="3" fillId="5" borderId="5" xfId="2" applyFont="1" applyFill="1" applyBorder="1" applyAlignment="1">
      <alignment horizontal="left" vertical="top" wrapText="1"/>
    </xf>
    <xf numFmtId="0" fontId="3" fillId="5" borderId="6" xfId="2" applyFont="1" applyFill="1" applyBorder="1" applyAlignment="1">
      <alignment horizontal="left" vertical="top" wrapText="1"/>
    </xf>
    <xf numFmtId="165" fontId="13" fillId="0" borderId="0" xfId="4" applyNumberFormat="1" applyFont="1" applyBorder="1" applyAlignment="1">
      <alignment vertical="center"/>
    </xf>
    <xf numFmtId="165" fontId="12" fillId="0" borderId="0" xfId="2" applyNumberFormat="1" applyFont="1"/>
    <xf numFmtId="4" fontId="14" fillId="10" borderId="13" xfId="4" applyNumberFormat="1" applyFont="1" applyFill="1" applyBorder="1" applyAlignment="1" applyProtection="1">
      <alignment horizontal="right" vertical="center"/>
      <protection locked="0"/>
    </xf>
    <xf numFmtId="164" fontId="14" fillId="10" borderId="13" xfId="5" applyFont="1" applyFill="1" applyBorder="1" applyAlignment="1">
      <alignment vertical="center"/>
    </xf>
    <xf numFmtId="4" fontId="14" fillId="7" borderId="13" xfId="4" applyNumberFormat="1" applyFont="1" applyFill="1" applyBorder="1" applyAlignment="1" applyProtection="1">
      <alignment horizontal="right" vertical="center"/>
      <protection locked="0"/>
    </xf>
    <xf numFmtId="0" fontId="13" fillId="7" borderId="13" xfId="2" applyFont="1" applyFill="1" applyBorder="1" applyAlignment="1">
      <alignment wrapText="1"/>
    </xf>
    <xf numFmtId="4" fontId="14" fillId="11" borderId="13" xfId="4" applyNumberFormat="1" applyFont="1" applyFill="1" applyBorder="1" applyAlignment="1" applyProtection="1">
      <alignment horizontal="right" vertical="center"/>
      <protection locked="0"/>
    </xf>
    <xf numFmtId="164" fontId="14" fillId="11" borderId="13" xfId="5" applyFont="1" applyFill="1" applyBorder="1" applyAlignment="1">
      <alignment vertical="center"/>
    </xf>
    <xf numFmtId="164" fontId="14" fillId="10" borderId="13" xfId="5" applyFont="1" applyFill="1" applyBorder="1" applyAlignment="1" applyProtection="1">
      <alignment horizontal="right" vertical="center"/>
      <protection locked="0"/>
    </xf>
    <xf numFmtId="4" fontId="14" fillId="11" borderId="13" xfId="4" applyNumberFormat="1" applyFont="1" applyFill="1" applyBorder="1" applyAlignment="1">
      <alignment horizontal="center"/>
    </xf>
    <xf numFmtId="164" fontId="14" fillId="11" borderId="13" xfId="5" applyFont="1" applyFill="1" applyBorder="1" applyAlignment="1">
      <alignment horizontal="right"/>
    </xf>
    <xf numFmtId="0" fontId="20" fillId="7" borderId="13" xfId="3" applyFont="1" applyFill="1" applyBorder="1" applyAlignment="1">
      <alignment vertical="center" wrapText="1"/>
    </xf>
    <xf numFmtId="0" fontId="20" fillId="7" borderId="13" xfId="3" applyFont="1" applyFill="1" applyBorder="1" applyAlignment="1">
      <alignment vertical="top" wrapText="1"/>
    </xf>
    <xf numFmtId="4" fontId="14" fillId="24" borderId="13" xfId="4" applyNumberFormat="1" applyFont="1" applyFill="1" applyBorder="1" applyAlignment="1" applyProtection="1">
      <alignment vertical="center"/>
      <protection locked="0"/>
    </xf>
    <xf numFmtId="164" fontId="14" fillId="24" borderId="13" xfId="5" applyFont="1" applyFill="1" applyBorder="1" applyAlignment="1">
      <alignment vertical="center"/>
    </xf>
    <xf numFmtId="0" fontId="20" fillId="10" borderId="13" xfId="3" applyFont="1" applyFill="1" applyBorder="1" applyAlignment="1">
      <alignment vertical="center" wrapText="1"/>
    </xf>
    <xf numFmtId="0" fontId="20" fillId="10" borderId="13" xfId="3" applyFont="1" applyFill="1" applyBorder="1" applyAlignment="1">
      <alignment vertical="top" wrapText="1"/>
    </xf>
    <xf numFmtId="0" fontId="10" fillId="23" borderId="0" xfId="6" applyFont="1" applyFill="1"/>
    <xf numFmtId="49" fontId="7" fillId="23" borderId="0" xfId="6" applyNumberFormat="1" applyFont="1" applyFill="1" applyAlignment="1">
      <alignment horizontal="left" vertical="center"/>
    </xf>
    <xf numFmtId="0" fontId="7" fillId="23" borderId="0" xfId="6" applyFont="1" applyFill="1" applyAlignment="1">
      <alignment horizontal="center" vertical="center"/>
    </xf>
    <xf numFmtId="0" fontId="10" fillId="23" borderId="0" xfId="6" applyFont="1" applyFill="1" applyAlignment="1">
      <alignment horizontal="left" vertical="center"/>
    </xf>
    <xf numFmtId="165" fontId="10" fillId="23" borderId="0" xfId="6" applyNumberFormat="1" applyFont="1" applyFill="1" applyAlignment="1">
      <alignment horizontal="left" vertical="center"/>
    </xf>
    <xf numFmtId="174" fontId="10" fillId="23" borderId="0" xfId="6" applyNumberFormat="1" applyFont="1" applyFill="1" applyAlignment="1" applyProtection="1">
      <alignment horizontal="left" vertical="center"/>
      <protection locked="0"/>
    </xf>
    <xf numFmtId="4" fontId="10" fillId="23" borderId="14" xfId="6" applyNumberFormat="1" applyFont="1" applyFill="1" applyBorder="1" applyAlignment="1">
      <alignment horizontal="left" vertical="center"/>
    </xf>
    <xf numFmtId="0" fontId="14" fillId="12" borderId="13" xfId="2" applyFont="1" applyFill="1" applyBorder="1" applyAlignment="1">
      <alignment vertical="center"/>
    </xf>
    <xf numFmtId="165" fontId="14" fillId="12" borderId="13" xfId="4" applyNumberFormat="1" applyFont="1" applyFill="1" applyBorder="1" applyAlignment="1">
      <alignment horizontal="right" vertical="center"/>
    </xf>
    <xf numFmtId="164" fontId="14" fillId="12" borderId="13" xfId="5" applyFont="1" applyFill="1" applyBorder="1" applyAlignment="1" applyProtection="1">
      <alignment horizontal="right" vertical="center"/>
      <protection locked="0"/>
    </xf>
    <xf numFmtId="0" fontId="13" fillId="12" borderId="13" xfId="2" applyFont="1" applyFill="1" applyBorder="1" applyAlignment="1">
      <alignment vertical="top" wrapText="1"/>
    </xf>
    <xf numFmtId="49" fontId="7" fillId="0" borderId="0" xfId="6" applyNumberFormat="1" applyFont="1" applyAlignment="1">
      <alignment horizontal="left" vertical="center"/>
    </xf>
    <xf numFmtId="0" fontId="7" fillId="0" borderId="0" xfId="6" applyFont="1" applyAlignment="1">
      <alignment horizontal="center" vertical="center"/>
    </xf>
    <xf numFmtId="0" fontId="10" fillId="0" borderId="0" xfId="6" applyFont="1" applyAlignment="1">
      <alignment horizontal="left" vertical="center"/>
    </xf>
    <xf numFmtId="165" fontId="10" fillId="0" borderId="0" xfId="6" applyNumberFormat="1" applyFont="1" applyAlignment="1">
      <alignment horizontal="left" vertical="center"/>
    </xf>
    <xf numFmtId="174" fontId="10" fillId="0" borderId="0" xfId="6" applyNumberFormat="1" applyFont="1" applyAlignment="1" applyProtection="1">
      <alignment horizontal="left" vertical="center"/>
      <protection locked="0"/>
    </xf>
    <xf numFmtId="4" fontId="10" fillId="0" borderId="14" xfId="6" applyNumberFormat="1" applyFont="1" applyBorder="1" applyAlignment="1">
      <alignment horizontal="left" vertical="center"/>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49" fontId="4" fillId="0" borderId="12" xfId="2" applyNumberFormat="1" applyFont="1" applyBorder="1" applyAlignment="1">
      <alignment horizontal="center" vertical="center" wrapText="1"/>
    </xf>
    <xf numFmtId="0" fontId="16" fillId="0" borderId="10" xfId="6" applyBorder="1" applyAlignment="1">
      <alignment horizontal="center" vertical="top" wrapText="1"/>
    </xf>
    <xf numFmtId="0" fontId="14" fillId="0" borderId="13" xfId="44" applyFont="1" applyBorder="1" applyAlignment="1">
      <alignment horizontal="left" vertical="top" wrapText="1"/>
    </xf>
    <xf numFmtId="0" fontId="20" fillId="0" borderId="13" xfId="44" applyFont="1" applyBorder="1" applyAlignment="1">
      <alignment vertical="center" wrapText="1"/>
    </xf>
    <xf numFmtId="0" fontId="25" fillId="9" borderId="13" xfId="44" applyFont="1" applyFill="1" applyBorder="1" applyAlignment="1">
      <alignment vertical="top" wrapText="1"/>
    </xf>
    <xf numFmtId="0" fontId="20" fillId="9" borderId="13" xfId="44" applyFont="1" applyFill="1" applyBorder="1" applyAlignment="1">
      <alignment vertical="center" wrapText="1"/>
    </xf>
    <xf numFmtId="0" fontId="20" fillId="7" borderId="13" xfId="44" applyFont="1" applyFill="1" applyBorder="1" applyAlignment="1">
      <alignment vertical="center" wrapText="1"/>
    </xf>
    <xf numFmtId="0" fontId="20" fillId="7" borderId="13" xfId="44" applyFont="1" applyFill="1" applyBorder="1" applyAlignment="1">
      <alignment vertical="top" wrapText="1"/>
    </xf>
    <xf numFmtId="0" fontId="20" fillId="10" borderId="13" xfId="44" applyFont="1" applyFill="1" applyBorder="1" applyAlignment="1">
      <alignment vertical="center" wrapText="1"/>
    </xf>
    <xf numFmtId="0" fontId="20" fillId="10" borderId="13" xfId="44" applyFont="1" applyFill="1" applyBorder="1" applyAlignment="1">
      <alignment vertical="top" wrapText="1"/>
    </xf>
    <xf numFmtId="0" fontId="20" fillId="11" borderId="13" xfId="44" applyFont="1" applyFill="1" applyBorder="1" applyAlignment="1">
      <alignment vertical="center" wrapText="1"/>
    </xf>
    <xf numFmtId="0" fontId="20" fillId="11" borderId="13" xfId="44" applyFont="1" applyFill="1" applyBorder="1" applyAlignment="1">
      <alignment vertical="top" wrapText="1"/>
    </xf>
    <xf numFmtId="0" fontId="13" fillId="24" borderId="13" xfId="2" applyFont="1" applyFill="1" applyBorder="1" applyAlignment="1">
      <alignment vertical="center"/>
    </xf>
    <xf numFmtId="165" fontId="13" fillId="24" borderId="13" xfId="4" applyNumberFormat="1" applyFont="1" applyFill="1" applyBorder="1" applyAlignment="1">
      <alignment horizontal="right" vertical="center"/>
    </xf>
    <xf numFmtId="0" fontId="13" fillId="0" borderId="15" xfId="7" applyFont="1" applyBorder="1" applyAlignment="1">
      <alignment horizontal="left" vertical="top" wrapText="1"/>
    </xf>
    <xf numFmtId="0" fontId="13" fillId="0" borderId="15" xfId="2" applyFont="1" applyBorder="1" applyAlignment="1">
      <alignment horizontal="center" vertical="center"/>
    </xf>
    <xf numFmtId="165" fontId="13" fillId="0" borderId="15" xfId="4" applyNumberFormat="1" applyFont="1" applyFill="1" applyBorder="1" applyAlignment="1">
      <alignment horizontal="center" vertical="center"/>
    </xf>
    <xf numFmtId="164" fontId="13" fillId="0" borderId="15" xfId="5" applyFont="1" applyFill="1" applyBorder="1" applyAlignment="1">
      <alignment horizontal="center" vertical="center"/>
    </xf>
    <xf numFmtId="164" fontId="13" fillId="24" borderId="13" xfId="5" applyFont="1" applyFill="1" applyBorder="1" applyAlignment="1" applyProtection="1">
      <alignment horizontal="right" vertical="center"/>
      <protection locked="0"/>
    </xf>
    <xf numFmtId="164" fontId="13" fillId="24" borderId="13" xfId="5" applyFont="1" applyFill="1" applyBorder="1" applyAlignment="1">
      <alignment vertical="center"/>
    </xf>
    <xf numFmtId="164" fontId="14" fillId="24" borderId="13" xfId="5" applyFont="1" applyFill="1" applyBorder="1" applyAlignment="1" applyProtection="1">
      <alignment horizontal="right" vertical="center"/>
      <protection locked="0"/>
    </xf>
    <xf numFmtId="0" fontId="13" fillId="4" borderId="5" xfId="6" applyFont="1" applyFill="1" applyBorder="1" applyAlignment="1">
      <alignment horizontal="center" vertical="center"/>
    </xf>
    <xf numFmtId="0" fontId="13" fillId="0" borderId="0" xfId="6" applyFont="1" applyAlignment="1">
      <alignment horizontal="center" vertical="center"/>
    </xf>
    <xf numFmtId="0" fontId="13" fillId="5" borderId="9" xfId="3" applyFont="1" applyFill="1" applyBorder="1" applyAlignment="1">
      <alignment horizontal="center" vertical="center"/>
    </xf>
    <xf numFmtId="0" fontId="13" fillId="0" borderId="0" xfId="3" applyFont="1" applyAlignment="1">
      <alignment vertical="center"/>
    </xf>
    <xf numFmtId="0" fontId="13" fillId="5" borderId="11" xfId="3" applyFont="1" applyFill="1" applyBorder="1" applyAlignment="1">
      <alignment horizontal="center" vertical="center"/>
    </xf>
    <xf numFmtId="0" fontId="13" fillId="5" borderId="8" xfId="3" applyFont="1" applyFill="1" applyBorder="1" applyAlignment="1">
      <alignment horizontal="center" vertical="center"/>
    </xf>
    <xf numFmtId="0" fontId="13" fillId="5" borderId="3" xfId="3" applyFont="1" applyFill="1" applyBorder="1" applyAlignment="1">
      <alignment horizontal="center" vertical="center"/>
    </xf>
    <xf numFmtId="0" fontId="13" fillId="0" borderId="3" xfId="6" applyFont="1" applyBorder="1" applyAlignment="1">
      <alignment horizontal="center" vertical="center"/>
    </xf>
    <xf numFmtId="0" fontId="13" fillId="7" borderId="5" xfId="6" applyFont="1" applyFill="1" applyBorder="1" applyAlignment="1">
      <alignment horizontal="center" vertical="center"/>
    </xf>
    <xf numFmtId="4" fontId="14" fillId="0" borderId="0" xfId="6" applyNumberFormat="1" applyFont="1" applyAlignment="1">
      <alignment horizontal="center" vertical="center"/>
    </xf>
    <xf numFmtId="0" fontId="13" fillId="7" borderId="13" xfId="6" applyFont="1" applyFill="1" applyBorder="1" applyAlignment="1">
      <alignment horizontal="center" vertical="center" wrapText="1"/>
    </xf>
    <xf numFmtId="164" fontId="14" fillId="0" borderId="0" xfId="5" applyFont="1" applyFill="1" applyBorder="1" applyAlignment="1" applyProtection="1">
      <alignment horizontal="right" vertical="center"/>
    </xf>
    <xf numFmtId="0" fontId="13" fillId="8" borderId="13" xfId="6" applyFont="1" applyFill="1" applyBorder="1" applyAlignment="1">
      <alignment horizontal="center" vertical="center"/>
    </xf>
    <xf numFmtId="0" fontId="13" fillId="0" borderId="0" xfId="2" applyFont="1" applyAlignment="1">
      <alignment horizontal="center" vertical="center"/>
    </xf>
    <xf numFmtId="4" fontId="14" fillId="0" borderId="0" xfId="4" applyNumberFormat="1" applyFont="1" applyFill="1" applyBorder="1" applyAlignment="1">
      <alignment horizontal="center" vertical="center"/>
    </xf>
    <xf numFmtId="4" fontId="18" fillId="0" borderId="0" xfId="4" applyNumberFormat="1" applyFont="1" applyFill="1" applyBorder="1" applyAlignment="1">
      <alignment vertical="center"/>
    </xf>
    <xf numFmtId="164" fontId="13" fillId="0" borderId="13" xfId="5" applyFont="1" applyFill="1" applyBorder="1" applyAlignment="1" applyProtection="1">
      <alignment horizontal="right" vertical="center"/>
      <protection locked="0"/>
    </xf>
    <xf numFmtId="164" fontId="13" fillId="0" borderId="0" xfId="5" applyFont="1" applyFill="1" applyBorder="1" applyAlignment="1">
      <alignment vertical="center"/>
    </xf>
    <xf numFmtId="0" fontId="22" fillId="0" borderId="13" xfId="2" applyFont="1" applyBorder="1" applyAlignment="1">
      <alignment horizontal="left" vertical="top" wrapText="1"/>
    </xf>
    <xf numFmtId="164" fontId="22" fillId="0" borderId="13" xfId="5" applyFont="1" applyFill="1" applyBorder="1" applyAlignment="1">
      <alignment horizontal="right" vertical="center"/>
    </xf>
    <xf numFmtId="164" fontId="22" fillId="0" borderId="0" xfId="5" applyFont="1" applyFill="1" applyBorder="1" applyAlignment="1">
      <alignment vertical="center"/>
    </xf>
    <xf numFmtId="0" fontId="22" fillId="0" borderId="13" xfId="6" applyFont="1" applyBorder="1" applyAlignment="1">
      <alignment vertical="top" wrapText="1"/>
    </xf>
    <xf numFmtId="2" fontId="15" fillId="0" borderId="0" xfId="5" applyNumberFormat="1" applyFont="1" applyAlignment="1">
      <alignment vertical="center"/>
    </xf>
    <xf numFmtId="2" fontId="12" fillId="0" borderId="0" xfId="5" applyNumberFormat="1" applyFont="1" applyAlignment="1"/>
    <xf numFmtId="165" fontId="13" fillId="0" borderId="13" xfId="4" applyNumberFormat="1" applyFont="1" applyFill="1" applyBorder="1" applyAlignment="1">
      <alignment horizontal="right" vertical="center" wrapText="1"/>
    </xf>
    <xf numFmtId="165" fontId="78" fillId="0" borderId="13" xfId="4" applyNumberFormat="1" applyFont="1" applyFill="1" applyBorder="1" applyAlignment="1">
      <alignment horizontal="right" vertical="center" wrapText="1"/>
    </xf>
    <xf numFmtId="4" fontId="14" fillId="0" borderId="0" xfId="4" applyNumberFormat="1" applyFont="1" applyFill="1" applyBorder="1" applyAlignment="1">
      <alignment vertical="center"/>
    </xf>
    <xf numFmtId="0" fontId="15" fillId="6" borderId="13" xfId="2" applyFont="1" applyFill="1" applyBorder="1" applyAlignment="1">
      <alignment horizontal="center" vertical="center" wrapText="1"/>
    </xf>
    <xf numFmtId="0" fontId="14" fillId="6" borderId="13" xfId="2" applyFont="1" applyFill="1" applyBorder="1" applyAlignment="1">
      <alignment horizontal="center" vertical="center" wrapText="1"/>
    </xf>
    <xf numFmtId="165" fontId="14" fillId="6" borderId="13" xfId="4" applyNumberFormat="1" applyFont="1" applyFill="1" applyBorder="1" applyAlignment="1">
      <alignment vertical="center"/>
    </xf>
    <xf numFmtId="4" fontId="14" fillId="6" borderId="13" xfId="4" applyNumberFormat="1" applyFont="1" applyFill="1" applyBorder="1" applyAlignment="1" applyProtection="1">
      <alignment horizontal="center" vertical="center" wrapText="1"/>
      <protection locked="0"/>
    </xf>
    <xf numFmtId="4" fontId="14" fillId="6" borderId="13" xfId="4" applyNumberFormat="1" applyFont="1" applyFill="1" applyBorder="1" applyAlignment="1">
      <alignment horizontal="center" vertical="center"/>
    </xf>
    <xf numFmtId="0" fontId="3" fillId="0" borderId="0" xfId="2" applyFont="1" applyAlignment="1">
      <alignment horizontal="left" vertical="top" wrapText="1"/>
    </xf>
    <xf numFmtId="49" fontId="13" fillId="0" borderId="13" xfId="8" applyNumberFormat="1" applyFont="1" applyBorder="1" applyAlignment="1">
      <alignment horizontal="center" vertical="center" wrapText="1"/>
    </xf>
    <xf numFmtId="4" fontId="12" fillId="0" borderId="0" xfId="2" applyNumberFormat="1" applyFont="1" applyAlignment="1">
      <alignment horizontal="justify" vertical="top" wrapText="1"/>
    </xf>
    <xf numFmtId="164" fontId="92" fillId="0" borderId="13" xfId="5" applyFont="1" applyFill="1" applyBorder="1" applyAlignment="1" applyProtection="1">
      <alignment vertical="center"/>
      <protection locked="0"/>
    </xf>
    <xf numFmtId="0" fontId="22" fillId="0" borderId="13" xfId="2" quotePrefix="1" applyFont="1" applyBorder="1" applyAlignment="1">
      <alignment horizontal="left" vertical="top" wrapText="1"/>
    </xf>
    <xf numFmtId="0" fontId="78" fillId="0" borderId="13" xfId="2" applyFont="1" applyBorder="1" applyAlignment="1">
      <alignment horizontal="justify" vertical="top" wrapText="1"/>
    </xf>
    <xf numFmtId="0" fontId="78" fillId="0" borderId="13" xfId="2" applyFont="1" applyBorder="1" applyAlignment="1">
      <alignment horizontal="center" vertical="center" wrapText="1"/>
    </xf>
    <xf numFmtId="165" fontId="78" fillId="0" borderId="13" xfId="4" applyNumberFormat="1" applyFont="1" applyFill="1" applyBorder="1" applyAlignment="1">
      <alignment vertical="center"/>
    </xf>
    <xf numFmtId="0" fontId="22" fillId="0" borderId="13" xfId="7" applyFont="1" applyBorder="1" applyAlignment="1">
      <alignment wrapText="1"/>
    </xf>
    <xf numFmtId="0" fontId="22" fillId="0" borderId="13" xfId="7" applyFont="1" applyBorder="1" applyAlignment="1">
      <alignment horizontal="center" vertical="center"/>
    </xf>
    <xf numFmtId="0" fontId="78" fillId="0" borderId="13" xfId="7" applyFont="1" applyBorder="1" applyAlignment="1">
      <alignment horizontal="justify" vertical="top" wrapText="1"/>
    </xf>
    <xf numFmtId="0" fontId="78" fillId="0" borderId="13" xfId="2" applyFont="1" applyBorder="1" applyAlignment="1">
      <alignment horizontal="center" vertical="center"/>
    </xf>
    <xf numFmtId="49" fontId="13" fillId="0" borderId="13" xfId="8" applyNumberFormat="1" applyFont="1" applyBorder="1" applyAlignment="1">
      <alignment horizontal="left" vertical="center" wrapText="1"/>
    </xf>
    <xf numFmtId="0" fontId="22" fillId="0" borderId="13" xfId="6" applyFont="1" applyBorder="1" applyAlignment="1">
      <alignment horizontal="left" vertical="center" wrapText="1"/>
    </xf>
    <xf numFmtId="0" fontId="22" fillId="0" borderId="13" xfId="8" applyFont="1" applyBorder="1" applyAlignment="1">
      <alignment horizontal="center" vertical="center"/>
    </xf>
    <xf numFmtId="0" fontId="22" fillId="0" borderId="13" xfId="6" applyFont="1" applyBorder="1" applyAlignment="1">
      <alignment vertical="center" wrapText="1"/>
    </xf>
    <xf numFmtId="164" fontId="12" fillId="0" borderId="0" xfId="2" applyNumberFormat="1" applyFont="1"/>
    <xf numFmtId="0" fontId="12" fillId="0" borderId="0" xfId="5" applyNumberFormat="1" applyFont="1" applyAlignment="1"/>
    <xf numFmtId="0" fontId="12" fillId="0" borderId="0" xfId="5" applyNumberFormat="1" applyFont="1" applyAlignment="1">
      <alignment vertical="center"/>
    </xf>
    <xf numFmtId="0" fontId="11" fillId="0" borderId="0" xfId="2" applyAlignment="1">
      <alignment horizontal="right"/>
    </xf>
    <xf numFmtId="0" fontId="13" fillId="9" borderId="13" xfId="6" applyFont="1" applyFill="1" applyBorder="1" applyAlignment="1">
      <alignment vertical="center" wrapText="1"/>
    </xf>
    <xf numFmtId="0" fontId="13" fillId="10" borderId="13" xfId="2" applyFont="1" applyFill="1" applyBorder="1" applyAlignment="1">
      <alignment horizontal="center" vertical="center"/>
    </xf>
    <xf numFmtId="0" fontId="111" fillId="0" borderId="0" xfId="2" applyFont="1"/>
    <xf numFmtId="0" fontId="13" fillId="10" borderId="13" xfId="6" applyFont="1" applyFill="1" applyBorder="1" applyAlignment="1">
      <alignment vertical="center" wrapText="1"/>
    </xf>
    <xf numFmtId="0" fontId="13" fillId="10" borderId="13" xfId="6" applyFont="1" applyFill="1" applyBorder="1" applyAlignment="1">
      <alignment vertical="top" wrapText="1"/>
    </xf>
    <xf numFmtId="0" fontId="13" fillId="11" borderId="13" xfId="2" applyFont="1" applyFill="1" applyBorder="1" applyAlignment="1">
      <alignment horizontal="center" vertical="center"/>
    </xf>
    <xf numFmtId="0" fontId="13" fillId="11" borderId="13" xfId="6" applyFont="1" applyFill="1" applyBorder="1" applyAlignment="1">
      <alignment vertical="top" wrapText="1"/>
    </xf>
    <xf numFmtId="164" fontId="112" fillId="0" borderId="0" xfId="5" applyFont="1" applyFill="1" applyBorder="1" applyAlignment="1">
      <alignment vertical="center"/>
    </xf>
    <xf numFmtId="164" fontId="113" fillId="0" borderId="0" xfId="5" applyFont="1" applyAlignment="1"/>
    <xf numFmtId="0" fontId="114" fillId="0" borderId="0" xfId="2" applyFont="1"/>
    <xf numFmtId="0" fontId="13" fillId="7" borderId="13" xfId="6" applyFont="1" applyFill="1" applyBorder="1" applyAlignment="1">
      <alignment vertical="top" wrapText="1"/>
    </xf>
    <xf numFmtId="0" fontId="13" fillId="12" borderId="13" xfId="2" applyFont="1" applyFill="1" applyBorder="1" applyAlignment="1">
      <alignment horizontal="center" vertical="center"/>
    </xf>
    <xf numFmtId="0" fontId="22" fillId="0" borderId="13" xfId="3" applyFont="1" applyBorder="1" applyAlignment="1">
      <alignment vertical="top" wrapText="1"/>
    </xf>
    <xf numFmtId="0" fontId="13" fillId="0" borderId="13" xfId="3" applyFont="1" applyBorder="1" applyAlignment="1">
      <alignment vertical="top" wrapText="1"/>
    </xf>
    <xf numFmtId="0" fontId="3" fillId="0" borderId="0" xfId="2" applyFont="1"/>
    <xf numFmtId="164" fontId="78" fillId="0" borderId="13" xfId="5" applyFont="1" applyFill="1" applyBorder="1" applyAlignment="1" applyProtection="1">
      <alignment vertical="center"/>
      <protection locked="0"/>
    </xf>
    <xf numFmtId="164" fontId="78" fillId="0" borderId="13" xfId="5" applyFont="1" applyFill="1" applyBorder="1" applyAlignment="1">
      <alignment vertical="center"/>
    </xf>
    <xf numFmtId="164" fontId="78" fillId="0" borderId="0" xfId="5" applyFont="1" applyFill="1" applyBorder="1" applyAlignment="1">
      <alignment vertical="center"/>
    </xf>
    <xf numFmtId="164" fontId="91" fillId="0" borderId="0" xfId="5" applyFont="1" applyFill="1" applyAlignment="1"/>
    <xf numFmtId="0" fontId="91" fillId="0" borderId="0" xfId="2" applyFont="1"/>
    <xf numFmtId="0" fontId="78" fillId="0" borderId="13" xfId="7" applyFont="1" applyBorder="1" applyAlignment="1">
      <alignment wrapText="1"/>
    </xf>
    <xf numFmtId="0" fontId="78" fillId="0" borderId="13" xfId="7" applyFont="1" applyBorder="1" applyAlignment="1">
      <alignment horizontal="center" vertical="center"/>
    </xf>
    <xf numFmtId="0" fontId="91" fillId="0" borderId="13" xfId="2" applyFont="1" applyBorder="1" applyAlignment="1">
      <alignment horizontal="center" vertical="top" wrapText="1"/>
    </xf>
    <xf numFmtId="164" fontId="116" fillId="0" borderId="0" xfId="5" applyFont="1" applyAlignment="1"/>
    <xf numFmtId="0" fontId="81" fillId="0" borderId="0" xfId="2" applyFont="1"/>
    <xf numFmtId="0" fontId="81" fillId="0" borderId="13" xfId="2" applyFont="1" applyBorder="1" applyAlignment="1">
      <alignment horizontal="center" vertical="top" wrapText="1"/>
    </xf>
    <xf numFmtId="49" fontId="78" fillId="0" borderId="13" xfId="8" applyNumberFormat="1" applyFont="1" applyBorder="1" applyAlignment="1">
      <alignment horizontal="left" vertical="center" wrapText="1"/>
    </xf>
    <xf numFmtId="0" fontId="78" fillId="0" borderId="13" xfId="8" applyFont="1" applyBorder="1" applyAlignment="1">
      <alignment horizontal="center" vertical="center"/>
    </xf>
    <xf numFmtId="164" fontId="81" fillId="0" borderId="0" xfId="5" applyFont="1" applyFill="1" applyAlignment="1"/>
    <xf numFmtId="0" fontId="14" fillId="9" borderId="13" xfId="6" applyFont="1" applyFill="1" applyBorder="1" applyAlignment="1">
      <alignment vertical="top" wrapText="1"/>
    </xf>
    <xf numFmtId="164" fontId="117" fillId="0" borderId="0" xfId="5" applyFont="1" applyAlignment="1"/>
    <xf numFmtId="164" fontId="92" fillId="0" borderId="0" xfId="5" applyFont="1" applyFill="1" applyBorder="1" applyAlignment="1">
      <alignment vertical="center"/>
    </xf>
    <xf numFmtId="164" fontId="118" fillId="0" borderId="0" xfId="5" applyFont="1" applyFill="1" applyBorder="1" applyAlignment="1">
      <alignment vertical="center"/>
    </xf>
    <xf numFmtId="0" fontId="23" fillId="0" borderId="0" xfId="5" applyNumberFormat="1" applyFont="1" applyAlignment="1"/>
    <xf numFmtId="164" fontId="13" fillId="12" borderId="13" xfId="5" applyFont="1" applyFill="1" applyBorder="1" applyAlignment="1" applyProtection="1">
      <alignment horizontal="right" vertical="center"/>
    </xf>
    <xf numFmtId="164" fontId="119" fillId="0" borderId="0" xfId="5" applyFont="1" applyFill="1" applyAlignment="1">
      <alignment horizontal="right"/>
    </xf>
    <xf numFmtId="164" fontId="120" fillId="0" borderId="0" xfId="5" applyFont="1" applyFill="1" applyBorder="1" applyAlignment="1">
      <alignment horizontal="left"/>
    </xf>
    <xf numFmtId="0" fontId="121" fillId="0" borderId="13" xfId="2" applyFont="1" applyBorder="1" applyAlignment="1">
      <alignment horizontal="center" vertical="center" wrapText="1"/>
    </xf>
    <xf numFmtId="165" fontId="121" fillId="0" borderId="13" xfId="4" applyNumberFormat="1" applyFont="1" applyFill="1" applyBorder="1" applyAlignment="1">
      <alignment vertical="center"/>
    </xf>
    <xf numFmtId="164" fontId="23" fillId="0" borderId="0" xfId="5" applyFont="1" applyFill="1" applyAlignment="1"/>
    <xf numFmtId="164" fontId="81" fillId="0" borderId="0" xfId="5" applyFont="1" applyAlignment="1"/>
    <xf numFmtId="164" fontId="12" fillId="0" borderId="0" xfId="5" applyFont="1" applyAlignment="1">
      <alignment horizontal="right"/>
    </xf>
    <xf numFmtId="49" fontId="22" fillId="0" borderId="13" xfId="8" applyNumberFormat="1" applyFont="1" applyBorder="1" applyAlignment="1">
      <alignment horizontal="left" vertical="center" wrapText="1"/>
    </xf>
    <xf numFmtId="0" fontId="20" fillId="0" borderId="13" xfId="8" applyFont="1" applyBorder="1" applyAlignment="1">
      <alignment horizontal="left" vertical="center" wrapText="1"/>
    </xf>
    <xf numFmtId="49" fontId="20" fillId="0" borderId="13" xfId="8" quotePrefix="1" applyNumberFormat="1" applyFont="1" applyBorder="1" applyAlignment="1">
      <alignment horizontal="left" vertical="center" wrapText="1"/>
    </xf>
    <xf numFmtId="0" fontId="13" fillId="9" borderId="13" xfId="6" applyFont="1" applyFill="1" applyBorder="1" applyAlignment="1">
      <alignment vertical="top" wrapText="1"/>
    </xf>
    <xf numFmtId="164" fontId="123" fillId="0" borderId="0" xfId="5" applyFont="1" applyAlignment="1"/>
    <xf numFmtId="164" fontId="124" fillId="0" borderId="0" xfId="5" applyFont="1" applyAlignment="1"/>
    <xf numFmtId="2" fontId="0" fillId="0" borderId="0" xfId="5" applyNumberFormat="1" applyFont="1" applyAlignment="1"/>
    <xf numFmtId="2" fontId="10" fillId="0" borderId="0" xfId="5" applyNumberFormat="1" applyFont="1" applyFill="1" applyAlignment="1">
      <alignment horizontal="right"/>
    </xf>
    <xf numFmtId="2" fontId="3" fillId="0" borderId="0" xfId="3" applyNumberFormat="1"/>
    <xf numFmtId="2" fontId="18" fillId="0" borderId="0" xfId="5" applyNumberFormat="1" applyFont="1" applyAlignment="1"/>
    <xf numFmtId="2" fontId="12" fillId="0" borderId="0" xfId="5" applyNumberFormat="1" applyFont="1" applyFill="1" applyAlignment="1"/>
    <xf numFmtId="0" fontId="22" fillId="0" borderId="13" xfId="2" applyFont="1" applyBorder="1" applyAlignment="1">
      <alignment horizontal="justify" vertical="center" wrapText="1"/>
    </xf>
    <xf numFmtId="49" fontId="22" fillId="0" borderId="13" xfId="8" applyNumberFormat="1" applyFont="1" applyBorder="1" applyAlignment="1">
      <alignment horizontal="center" vertical="center" wrapText="1"/>
    </xf>
    <xf numFmtId="165" fontId="22" fillId="0" borderId="13" xfId="4" applyNumberFormat="1" applyFont="1" applyFill="1" applyBorder="1" applyAlignment="1">
      <alignment horizontal="right" vertical="center" wrapText="1"/>
    </xf>
    <xf numFmtId="2" fontId="12" fillId="0" borderId="0" xfId="5" applyNumberFormat="1" applyFont="1" applyFill="1" applyAlignment="1">
      <alignment vertical="center"/>
    </xf>
    <xf numFmtId="0" fontId="13" fillId="0" borderId="13" xfId="2" quotePrefix="1" applyFont="1" applyBorder="1" applyAlignment="1">
      <alignment horizontal="left" vertical="top" wrapText="1"/>
    </xf>
    <xf numFmtId="0" fontId="12" fillId="0" borderId="12" xfId="2" applyFont="1" applyBorder="1" applyAlignment="1">
      <alignment horizontal="center" vertical="center" wrapText="1"/>
    </xf>
    <xf numFmtId="0" fontId="22" fillId="0" borderId="12" xfId="7" applyFont="1" applyBorder="1" applyAlignment="1">
      <alignment horizontal="left" vertical="center" wrapText="1"/>
    </xf>
    <xf numFmtId="0" fontId="22" fillId="0" borderId="12" xfId="7" applyFont="1" applyBorder="1" applyAlignment="1">
      <alignment horizontal="center" vertical="center"/>
    </xf>
    <xf numFmtId="165" fontId="22" fillId="0" borderId="12" xfId="4" applyNumberFormat="1" applyFont="1" applyFill="1" applyBorder="1" applyAlignment="1">
      <alignment vertical="center"/>
    </xf>
    <xf numFmtId="0" fontId="22" fillId="0" borderId="13" xfId="8" applyFont="1" applyBorder="1" applyAlignment="1">
      <alignment horizontal="left" vertical="top" wrapText="1"/>
    </xf>
    <xf numFmtId="0" fontId="91" fillId="0" borderId="0" xfId="7" applyFont="1"/>
    <xf numFmtId="2" fontId="91" fillId="0" borderId="0" xfId="5" applyNumberFormat="1" applyFont="1" applyAlignment="1"/>
    <xf numFmtId="2" fontId="12" fillId="0" borderId="0" xfId="5" applyNumberFormat="1" applyFont="1" applyAlignment="1">
      <alignment vertical="center"/>
    </xf>
    <xf numFmtId="2" fontId="124" fillId="0" borderId="0" xfId="5" applyNumberFormat="1" applyFont="1" applyAlignment="1"/>
    <xf numFmtId="2" fontId="4" fillId="0" borderId="0" xfId="5" applyNumberFormat="1" applyFont="1" applyAlignment="1"/>
    <xf numFmtId="0" fontId="13" fillId="9" borderId="13" xfId="6" applyFont="1" applyFill="1" applyBorder="1" applyAlignment="1">
      <alignment horizontal="center" vertical="center" wrapText="1"/>
    </xf>
    <xf numFmtId="2" fontId="13" fillId="9" borderId="13" xfId="6" applyNumberFormat="1" applyFont="1" applyFill="1" applyBorder="1" applyAlignment="1">
      <alignment vertical="center" wrapText="1"/>
    </xf>
    <xf numFmtId="2" fontId="3" fillId="0" borderId="0" xfId="5" applyNumberFormat="1" applyFont="1" applyAlignment="1"/>
    <xf numFmtId="2" fontId="123" fillId="0" borderId="0" xfId="5" applyNumberFormat="1" applyFont="1" applyAlignment="1"/>
    <xf numFmtId="0" fontId="13" fillId="10" borderId="13" xfId="2" applyFont="1" applyFill="1" applyBorder="1" applyAlignment="1">
      <alignment horizontal="center" wrapText="1"/>
    </xf>
    <xf numFmtId="2" fontId="13" fillId="10" borderId="13" xfId="2" applyNumberFormat="1" applyFont="1" applyFill="1" applyBorder="1" applyAlignment="1">
      <alignment wrapText="1"/>
    </xf>
    <xf numFmtId="2" fontId="23" fillId="0" borderId="0" xfId="5" applyNumberFormat="1" applyFont="1" applyAlignment="1"/>
    <xf numFmtId="0" fontId="125" fillId="11" borderId="13" xfId="2" applyFont="1" applyFill="1" applyBorder="1" applyAlignment="1">
      <alignment vertical="top" wrapText="1"/>
    </xf>
    <xf numFmtId="0" fontId="78" fillId="11" borderId="13" xfId="2" applyFont="1" applyFill="1" applyBorder="1" applyAlignment="1">
      <alignment horizontal="center" vertical="center"/>
    </xf>
    <xf numFmtId="165" fontId="78" fillId="11" borderId="13" xfId="4" applyNumberFormat="1" applyFont="1" applyFill="1" applyBorder="1" applyAlignment="1">
      <alignment horizontal="right" vertical="center"/>
    </xf>
    <xf numFmtId="4" fontId="78" fillId="11" borderId="13" xfId="4" applyNumberFormat="1" applyFont="1" applyFill="1" applyBorder="1" applyAlignment="1" applyProtection="1">
      <alignment horizontal="right" vertical="center"/>
      <protection locked="0"/>
    </xf>
    <xf numFmtId="4" fontId="78" fillId="11" borderId="13" xfId="4" applyNumberFormat="1" applyFont="1" applyFill="1" applyBorder="1" applyAlignment="1">
      <alignment vertical="center"/>
    </xf>
    <xf numFmtId="0" fontId="78" fillId="11" borderId="13" xfId="2" applyFont="1" applyFill="1" applyBorder="1" applyAlignment="1">
      <alignment vertical="top" wrapText="1"/>
    </xf>
    <xf numFmtId="164" fontId="78" fillId="11" borderId="13" xfId="5" applyFont="1" applyFill="1" applyBorder="1" applyAlignment="1" applyProtection="1">
      <alignment horizontal="right" vertical="center"/>
      <protection locked="0"/>
    </xf>
    <xf numFmtId="164" fontId="78" fillId="11" borderId="13" xfId="5" applyFont="1" applyFill="1" applyBorder="1" applyAlignment="1">
      <alignment vertical="center"/>
    </xf>
    <xf numFmtId="0" fontId="78" fillId="11" borderId="13" xfId="2" applyFont="1" applyFill="1" applyBorder="1" applyAlignment="1">
      <alignment wrapText="1"/>
    </xf>
    <xf numFmtId="0" fontId="78" fillId="11" borderId="13" xfId="6" applyFont="1" applyFill="1" applyBorder="1" applyAlignment="1">
      <alignment vertical="center" wrapText="1"/>
    </xf>
    <xf numFmtId="0" fontId="78" fillId="11" borderId="13" xfId="6" applyFont="1" applyFill="1" applyBorder="1" applyAlignment="1">
      <alignment vertical="top" wrapText="1"/>
    </xf>
    <xf numFmtId="49" fontId="22" fillId="0" borderId="13" xfId="8" quotePrefix="1" applyNumberFormat="1" applyFont="1" applyBorder="1" applyAlignment="1">
      <alignment horizontal="left" vertical="center" wrapText="1"/>
    </xf>
    <xf numFmtId="0" fontId="22" fillId="0" borderId="13" xfId="7" applyFont="1" applyBorder="1" applyAlignment="1">
      <alignment vertical="center" wrapText="1"/>
    </xf>
    <xf numFmtId="0" fontId="124" fillId="0" borderId="0" xfId="2" applyFont="1" applyAlignment="1">
      <alignment vertical="center"/>
    </xf>
    <xf numFmtId="0" fontId="22" fillId="0" borderId="13" xfId="7" applyFont="1" applyBorder="1" applyAlignment="1">
      <alignment horizontal="left" vertical="top" wrapText="1"/>
    </xf>
    <xf numFmtId="49" fontId="22" fillId="0" borderId="13" xfId="8" applyNumberFormat="1" applyFont="1" applyBorder="1" applyAlignment="1">
      <alignment horizontal="left" vertical="top" wrapText="1"/>
    </xf>
    <xf numFmtId="49" fontId="127" fillId="0" borderId="13" xfId="2" applyNumberFormat="1" applyFont="1" applyBorder="1" applyAlignment="1">
      <alignment horizontal="center" vertical="top"/>
    </xf>
    <xf numFmtId="0" fontId="128" fillId="0" borderId="0" xfId="2" applyFont="1"/>
    <xf numFmtId="0" fontId="129" fillId="0" borderId="0" xfId="2" applyFont="1"/>
    <xf numFmtId="0" fontId="3" fillId="0" borderId="0" xfId="6" applyFont="1" applyAlignment="1">
      <alignment horizontal="center" vertical="top"/>
    </xf>
    <xf numFmtId="49" fontId="3" fillId="28" borderId="0" xfId="6" applyNumberFormat="1" applyFont="1" applyFill="1" applyAlignment="1">
      <alignment horizontal="left" vertical="top"/>
    </xf>
    <xf numFmtId="49" fontId="4" fillId="28" borderId="0" xfId="6" applyNumberFormat="1" applyFont="1" applyFill="1" applyAlignment="1">
      <alignment horizontal="left" vertical="top"/>
    </xf>
    <xf numFmtId="0" fontId="3" fillId="28" borderId="0" xfId="6" applyFont="1" applyFill="1" applyAlignment="1">
      <alignment horizontal="left" vertical="top"/>
    </xf>
    <xf numFmtId="4" fontId="3" fillId="28" borderId="0" xfId="6" applyNumberFormat="1" applyFont="1" applyFill="1" applyAlignment="1">
      <alignment horizontal="right" vertical="top" wrapText="1"/>
    </xf>
    <xf numFmtId="0" fontId="3" fillId="28" borderId="0" xfId="6" applyFont="1" applyFill="1" applyAlignment="1">
      <alignment wrapText="1"/>
    </xf>
    <xf numFmtId="2" fontId="3" fillId="28" borderId="0" xfId="6" applyNumberFormat="1" applyFont="1" applyFill="1" applyAlignment="1">
      <alignment wrapText="1"/>
    </xf>
    <xf numFmtId="49" fontId="3" fillId="0" borderId="0" xfId="6" applyNumberFormat="1" applyFont="1" applyAlignment="1">
      <alignment horizontal="left" vertical="top"/>
    </xf>
    <xf numFmtId="0" fontId="21" fillId="0" borderId="0" xfId="6" applyFont="1" applyAlignment="1">
      <alignment wrapText="1"/>
    </xf>
    <xf numFmtId="2" fontId="21" fillId="0" borderId="0" xfId="6" applyNumberFormat="1" applyFont="1" applyAlignment="1">
      <alignment wrapText="1"/>
    </xf>
    <xf numFmtId="179" fontId="3" fillId="0" borderId="0" xfId="6" applyNumberFormat="1" applyFont="1" applyAlignment="1">
      <alignment horizontal="left" vertical="top"/>
    </xf>
    <xf numFmtId="0" fontId="3" fillId="29" borderId="7" xfId="3" applyFill="1" applyBorder="1"/>
    <xf numFmtId="0" fontId="13" fillId="29" borderId="8" xfId="3" applyFont="1" applyFill="1" applyBorder="1" applyAlignment="1">
      <alignment vertical="center"/>
    </xf>
    <xf numFmtId="0" fontId="4" fillId="29" borderId="10" xfId="3" applyFont="1" applyFill="1" applyBorder="1"/>
    <xf numFmtId="0" fontId="13" fillId="29" borderId="3" xfId="3" applyFont="1" applyFill="1" applyBorder="1" applyAlignment="1">
      <alignment vertical="center"/>
    </xf>
    <xf numFmtId="0" fontId="5" fillId="0" borderId="0" xfId="6" applyFont="1" applyAlignment="1">
      <alignment horizontal="center" vertical="top"/>
    </xf>
    <xf numFmtId="174" fontId="4" fillId="0" borderId="0" xfId="6" applyNumberFormat="1" applyFont="1" applyAlignment="1">
      <alignment horizontal="left" vertical="center"/>
    </xf>
    <xf numFmtId="0" fontId="5" fillId="5" borderId="13" xfId="6" applyFont="1" applyFill="1" applyBorder="1" applyAlignment="1">
      <alignment horizontal="center" vertical="top"/>
    </xf>
    <xf numFmtId="0" fontId="5" fillId="5" borderId="12" xfId="6" applyFont="1" applyFill="1" applyBorder="1" applyAlignment="1">
      <alignment horizontal="center" vertical="top"/>
    </xf>
    <xf numFmtId="174" fontId="4" fillId="5" borderId="15" xfId="6" applyNumberFormat="1" applyFont="1" applyFill="1" applyBorder="1" applyAlignment="1">
      <alignment horizontal="left" vertical="center" wrapText="1"/>
    </xf>
    <xf numFmtId="174" fontId="4" fillId="8" borderId="35" xfId="6" applyNumberFormat="1" applyFont="1" applyFill="1" applyBorder="1" applyAlignment="1">
      <alignment horizontal="left" vertical="center"/>
    </xf>
    <xf numFmtId="49" fontId="5" fillId="0" borderId="0" xfId="6" applyNumberFormat="1" applyFont="1" applyAlignment="1">
      <alignment horizontal="center" vertical="top"/>
    </xf>
    <xf numFmtId="0" fontId="5" fillId="0" borderId="0" xfId="6" applyFont="1" applyAlignment="1">
      <alignment horizontal="left" vertical="top" wrapText="1"/>
    </xf>
    <xf numFmtId="4" fontId="5" fillId="0" borderId="0" xfId="6" applyNumberFormat="1" applyFont="1" applyAlignment="1">
      <alignment horizontal="right" vertical="top" wrapText="1"/>
    </xf>
    <xf numFmtId="179" fontId="5" fillId="0" borderId="0" xfId="6" applyNumberFormat="1" applyFont="1" applyAlignment="1">
      <alignment horizontal="right" vertical="top"/>
    </xf>
    <xf numFmtId="49" fontId="8" fillId="8" borderId="13" xfId="6" applyNumberFormat="1" applyFont="1" applyFill="1" applyBorder="1" applyAlignment="1">
      <alignment horizontal="center" vertical="center" wrapText="1"/>
    </xf>
    <xf numFmtId="49" fontId="8" fillId="0" borderId="13" xfId="6" applyNumberFormat="1" applyFont="1" applyBorder="1" applyAlignment="1">
      <alignment horizontal="center" vertical="top"/>
    </xf>
    <xf numFmtId="0" fontId="8" fillId="0" borderId="13" xfId="6" applyFont="1" applyBorder="1" applyAlignment="1">
      <alignment horizontal="left" vertical="top" wrapText="1"/>
    </xf>
    <xf numFmtId="4" fontId="8" fillId="0" borderId="13" xfId="6" applyNumberFormat="1" applyFont="1" applyBorder="1" applyAlignment="1">
      <alignment horizontal="right" vertical="top" wrapText="1"/>
    </xf>
    <xf numFmtId="179" fontId="8" fillId="0" borderId="13" xfId="6" applyNumberFormat="1" applyFont="1" applyBorder="1" applyAlignment="1">
      <alignment horizontal="right" vertical="top"/>
    </xf>
    <xf numFmtId="49" fontId="4" fillId="5" borderId="13" xfId="6" applyNumberFormat="1" applyFont="1" applyFill="1" applyBorder="1" applyAlignment="1">
      <alignment horizontal="left" vertical="top"/>
    </xf>
    <xf numFmtId="174" fontId="4" fillId="5" borderId="13" xfId="6" applyNumberFormat="1" applyFont="1" applyFill="1" applyBorder="1" applyAlignment="1">
      <alignment horizontal="left" vertical="top"/>
    </xf>
    <xf numFmtId="49" fontId="3" fillId="0" borderId="13" xfId="6" applyNumberFormat="1" applyFont="1" applyBorder="1" applyAlignment="1">
      <alignment horizontal="center" vertical="top"/>
    </xf>
    <xf numFmtId="0" fontId="3" fillId="0" borderId="13" xfId="6" applyFont="1" applyBorder="1" applyAlignment="1">
      <alignment horizontal="center" vertical="top" wrapText="1"/>
    </xf>
    <xf numFmtId="4" fontId="3" fillId="0" borderId="13" xfId="6" applyNumberFormat="1" applyFont="1" applyBorder="1" applyAlignment="1">
      <alignment horizontal="right" vertical="top" wrapText="1"/>
    </xf>
    <xf numFmtId="179" fontId="3" fillId="0" borderId="13" xfId="6" applyNumberFormat="1" applyFont="1" applyBorder="1" applyAlignment="1">
      <alignment horizontal="right" vertical="top"/>
    </xf>
    <xf numFmtId="0" fontId="3" fillId="0" borderId="4" xfId="6" applyFont="1" applyBorder="1" applyAlignment="1">
      <alignment horizontal="left" vertical="top" wrapText="1"/>
    </xf>
    <xf numFmtId="0" fontId="16" fillId="0" borderId="5" xfId="6" applyBorder="1" applyAlignment="1">
      <alignment horizontal="left" vertical="top" wrapText="1"/>
    </xf>
    <xf numFmtId="179" fontId="3" fillId="0" borderId="13" xfId="6" applyNumberFormat="1" applyFont="1" applyBorder="1" applyAlignment="1" applyProtection="1">
      <alignment horizontal="right" vertical="top"/>
      <protection locked="0"/>
    </xf>
    <xf numFmtId="0" fontId="3" fillId="0" borderId="13" xfId="6" applyFont="1" applyBorder="1" applyAlignment="1">
      <alignment horizontal="left" wrapText="1"/>
    </xf>
    <xf numFmtId="49" fontId="8" fillId="0" borderId="13" xfId="6" applyNumberFormat="1" applyFont="1" applyBorder="1" applyAlignment="1">
      <alignment horizontal="center" vertical="center" wrapText="1"/>
    </xf>
    <xf numFmtId="0" fontId="3" fillId="30" borderId="7" xfId="3" applyFill="1" applyBorder="1"/>
    <xf numFmtId="0" fontId="13" fillId="30" borderId="8" xfId="3" applyFont="1" applyFill="1" applyBorder="1"/>
    <xf numFmtId="0" fontId="13" fillId="30" borderId="9" xfId="3" applyFont="1" applyFill="1" applyBorder="1" applyAlignment="1">
      <alignment vertical="center"/>
    </xf>
    <xf numFmtId="0" fontId="13" fillId="30" borderId="8" xfId="3" applyFont="1" applyFill="1" applyBorder="1" applyAlignment="1">
      <alignment vertical="center"/>
    </xf>
    <xf numFmtId="0" fontId="4" fillId="30" borderId="10" xfId="3" applyFont="1" applyFill="1" applyBorder="1"/>
    <xf numFmtId="0" fontId="13" fillId="30" borderId="3" xfId="3" applyFont="1" applyFill="1" applyBorder="1"/>
    <xf numFmtId="0" fontId="13" fillId="30" borderId="11" xfId="3" applyFont="1" applyFill="1" applyBorder="1" applyAlignment="1">
      <alignment vertical="center"/>
    </xf>
    <xf numFmtId="0" fontId="13" fillId="30" borderId="3" xfId="3" applyFont="1" applyFill="1" applyBorder="1" applyAlignment="1">
      <alignment vertical="center"/>
    </xf>
    <xf numFmtId="0" fontId="4" fillId="0" borderId="13" xfId="6" applyFont="1" applyBorder="1" applyAlignment="1">
      <alignment horizontal="left" vertical="top" wrapText="1"/>
    </xf>
    <xf numFmtId="179" fontId="4" fillId="0" borderId="13" xfId="6" applyNumberFormat="1" applyFont="1" applyBorder="1" applyAlignment="1">
      <alignment horizontal="right" vertical="top"/>
    </xf>
    <xf numFmtId="0" fontId="3" fillId="0" borderId="13" xfId="3" applyBorder="1" applyAlignment="1">
      <alignment horizontal="left" vertical="top" wrapText="1"/>
    </xf>
    <xf numFmtId="49" fontId="3" fillId="0" borderId="13" xfId="3" applyNumberFormat="1" applyBorder="1" applyAlignment="1">
      <alignment horizontal="center" vertical="top"/>
    </xf>
    <xf numFmtId="4" fontId="3" fillId="0" borderId="13" xfId="3" applyNumberFormat="1" applyBorder="1" applyAlignment="1">
      <alignment horizontal="right" vertical="top" wrapText="1"/>
    </xf>
    <xf numFmtId="0" fontId="127" fillId="0" borderId="0" xfId="6" applyFont="1" applyAlignment="1">
      <alignment horizontal="center" vertical="top"/>
    </xf>
    <xf numFmtId="49" fontId="127" fillId="0" borderId="13" xfId="6" applyNumberFormat="1" applyFont="1" applyBorder="1" applyAlignment="1">
      <alignment horizontal="center" vertical="top"/>
    </xf>
    <xf numFmtId="0" fontId="123" fillId="0" borderId="13" xfId="6" applyFont="1" applyBorder="1" applyAlignment="1">
      <alignment horizontal="left" vertical="top" wrapText="1"/>
    </xf>
    <xf numFmtId="4" fontId="127" fillId="0" borderId="13" xfId="6" applyNumberFormat="1" applyFont="1" applyBorder="1" applyAlignment="1">
      <alignment horizontal="right" vertical="top" wrapText="1"/>
    </xf>
    <xf numFmtId="0" fontId="127" fillId="0" borderId="13" xfId="6" applyFont="1" applyBorder="1" applyAlignment="1">
      <alignment horizontal="left" vertical="top" wrapText="1"/>
    </xf>
    <xf numFmtId="0" fontId="3" fillId="0" borderId="0" xfId="6" applyFont="1" applyAlignment="1">
      <alignment vertical="top" wrapText="1"/>
    </xf>
    <xf numFmtId="49" fontId="8" fillId="0" borderId="0" xfId="6" applyNumberFormat="1" applyFont="1" applyAlignment="1">
      <alignment horizontal="left" vertical="top"/>
    </xf>
    <xf numFmtId="49" fontId="6" fillId="0" borderId="13" xfId="6" applyNumberFormat="1" applyFont="1" applyBorder="1" applyAlignment="1">
      <alignment horizontal="left" vertical="top"/>
    </xf>
    <xf numFmtId="49" fontId="4" fillId="5" borderId="0" xfId="6" applyNumberFormat="1" applyFont="1" applyFill="1" applyAlignment="1">
      <alignment horizontal="left" vertical="top"/>
    </xf>
    <xf numFmtId="0" fontId="3" fillId="23" borderId="13" xfId="6" applyFont="1" applyFill="1" applyBorder="1" applyAlignment="1">
      <alignment vertical="top" wrapText="1"/>
    </xf>
    <xf numFmtId="49" fontId="3" fillId="23" borderId="13" xfId="6" applyNumberFormat="1" applyFont="1" applyFill="1" applyBorder="1" applyAlignment="1">
      <alignment horizontal="center" vertical="top"/>
    </xf>
    <xf numFmtId="4" fontId="3" fillId="23" borderId="13" xfId="6" applyNumberFormat="1" applyFont="1" applyFill="1" applyBorder="1" applyAlignment="1">
      <alignment horizontal="right" vertical="top" wrapText="1"/>
    </xf>
    <xf numFmtId="49" fontId="6" fillId="0" borderId="0" xfId="6" applyNumberFormat="1" applyFont="1" applyAlignment="1">
      <alignment horizontal="left" vertical="top"/>
    </xf>
    <xf numFmtId="49" fontId="3" fillId="0" borderId="0" xfId="6" applyNumberFormat="1" applyFont="1" applyAlignment="1">
      <alignment horizontal="center" vertical="top"/>
    </xf>
    <xf numFmtId="4" fontId="3" fillId="0" borderId="0" xfId="6" applyNumberFormat="1" applyFont="1" applyAlignment="1">
      <alignment horizontal="right" vertical="top" wrapText="1"/>
    </xf>
    <xf numFmtId="179" fontId="3" fillId="0" borderId="0" xfId="6" applyNumberFormat="1" applyFont="1" applyAlignment="1">
      <alignment horizontal="right" vertical="top"/>
    </xf>
    <xf numFmtId="0" fontId="13" fillId="7" borderId="6" xfId="3" applyFont="1" applyFill="1" applyBorder="1" applyAlignment="1">
      <alignment vertical="center" wrapText="1"/>
    </xf>
    <xf numFmtId="164" fontId="0" fillId="0" borderId="0" xfId="5" applyFont="1"/>
    <xf numFmtId="0" fontId="4" fillId="4" borderId="5" xfId="6" applyFont="1" applyFill="1" applyBorder="1" applyAlignment="1">
      <alignment horizontal="center" vertical="center"/>
    </xf>
    <xf numFmtId="164" fontId="10" fillId="0" borderId="0" xfId="5" applyFont="1" applyAlignment="1">
      <alignment horizontal="right"/>
    </xf>
    <xf numFmtId="0" fontId="7" fillId="7" borderId="4" xfId="6" applyFont="1" applyFill="1" applyBorder="1" applyAlignment="1">
      <alignment horizontal="left" vertical="center"/>
    </xf>
    <xf numFmtId="49" fontId="4" fillId="7" borderId="13" xfId="6" applyNumberFormat="1" applyFont="1" applyFill="1" applyBorder="1" applyAlignment="1">
      <alignment horizontal="center" vertical="center"/>
    </xf>
    <xf numFmtId="0" fontId="4" fillId="7" borderId="4" xfId="6" applyFont="1" applyFill="1" applyBorder="1" applyAlignment="1">
      <alignment horizontal="center" vertical="center"/>
    </xf>
    <xf numFmtId="0" fontId="3" fillId="7" borderId="5" xfId="6" applyFont="1" applyFill="1" applyBorder="1" applyAlignment="1">
      <alignment vertical="center"/>
    </xf>
    <xf numFmtId="165" fontId="3" fillId="7" borderId="6" xfId="6" applyNumberFormat="1" applyFont="1" applyFill="1" applyBorder="1" applyAlignment="1">
      <alignment vertical="center"/>
    </xf>
    <xf numFmtId="4" fontId="4" fillId="7" borderId="13" xfId="6" applyNumberFormat="1" applyFont="1" applyFill="1" applyBorder="1" applyAlignment="1" applyProtection="1">
      <alignment horizontal="center" vertical="center"/>
      <protection locked="0"/>
    </xf>
    <xf numFmtId="4" fontId="4" fillId="7" borderId="13" xfId="6" applyNumberFormat="1" applyFont="1" applyFill="1" applyBorder="1" applyAlignment="1">
      <alignment horizontal="center" vertical="center"/>
    </xf>
    <xf numFmtId="164" fontId="3" fillId="0" borderId="0" xfId="5"/>
    <xf numFmtId="49" fontId="4" fillId="7" borderId="13" xfId="6" quotePrefix="1" applyNumberFormat="1" applyFont="1" applyFill="1" applyBorder="1" applyAlignment="1">
      <alignment vertical="center"/>
    </xf>
    <xf numFmtId="0" fontId="4" fillId="7" borderId="13" xfId="6" applyFont="1" applyFill="1" applyBorder="1" applyAlignment="1">
      <alignment vertical="center" wrapText="1"/>
    </xf>
    <xf numFmtId="0" fontId="3" fillId="7" borderId="13" xfId="6" applyFont="1" applyFill="1" applyBorder="1" applyAlignment="1">
      <alignment vertical="center" wrapText="1"/>
    </xf>
    <xf numFmtId="165" fontId="3" fillId="7" borderId="13" xfId="6" applyNumberFormat="1" applyFont="1" applyFill="1" applyBorder="1" applyAlignment="1">
      <alignment vertical="center" wrapText="1"/>
    </xf>
    <xf numFmtId="4" fontId="4" fillId="7" borderId="13" xfId="6" applyNumberFormat="1" applyFont="1" applyFill="1" applyBorder="1" applyAlignment="1" applyProtection="1">
      <alignment vertical="center"/>
      <protection locked="0"/>
    </xf>
    <xf numFmtId="164" fontId="4" fillId="7" borderId="13" xfId="5" applyFont="1" applyFill="1" applyBorder="1" applyAlignment="1">
      <alignment vertical="center"/>
    </xf>
    <xf numFmtId="164" fontId="3" fillId="0" borderId="0" xfId="5" applyAlignment="1">
      <alignment vertical="center"/>
    </xf>
    <xf numFmtId="49" fontId="4" fillId="8" borderId="13" xfId="6" quotePrefix="1" applyNumberFormat="1" applyFont="1" applyFill="1" applyBorder="1" applyAlignment="1">
      <alignment vertical="center"/>
    </xf>
    <xf numFmtId="0" fontId="4" fillId="8" borderId="13" xfId="6" applyFont="1" applyFill="1" applyBorder="1" applyAlignment="1">
      <alignment vertical="center"/>
    </xf>
    <xf numFmtId="0" fontId="3" fillId="8" borderId="13" xfId="6" applyFont="1" applyFill="1" applyBorder="1" applyAlignment="1">
      <alignment vertical="center"/>
    </xf>
    <xf numFmtId="165" fontId="3" fillId="8" borderId="13" xfId="6" applyNumberFormat="1" applyFont="1" applyFill="1" applyBorder="1" applyAlignment="1">
      <alignment vertical="center"/>
    </xf>
    <xf numFmtId="4" fontId="4" fillId="8" borderId="4" xfId="6" applyNumberFormat="1" applyFont="1" applyFill="1" applyBorder="1" applyAlignment="1" applyProtection="1">
      <alignment vertical="center"/>
      <protection locked="0"/>
    </xf>
    <xf numFmtId="164" fontId="4" fillId="8" borderId="13" xfId="5" applyFont="1" applyFill="1" applyBorder="1" applyAlignment="1">
      <alignment vertical="center"/>
    </xf>
    <xf numFmtId="165" fontId="14" fillId="0" borderId="0" xfId="4" applyNumberFormat="1" applyFont="1" applyAlignment="1">
      <alignment horizontal="right" vertical="center"/>
    </xf>
    <xf numFmtId="4" fontId="14" fillId="0" borderId="0" xfId="4" applyNumberFormat="1" applyFont="1" applyAlignment="1" applyProtection="1">
      <alignment horizontal="right" vertical="center"/>
      <protection locked="0"/>
    </xf>
    <xf numFmtId="4" fontId="13" fillId="0" borderId="0" xfId="4" applyNumberFormat="1" applyFont="1" applyAlignment="1">
      <alignment vertical="center"/>
    </xf>
    <xf numFmtId="0" fontId="13" fillId="0" borderId="13" xfId="6" applyFont="1" applyBorder="1" applyAlignment="1">
      <alignment horizontal="center" vertical="center"/>
    </xf>
    <xf numFmtId="0" fontId="14" fillId="0" borderId="13" xfId="2" applyFont="1" applyBorder="1" applyAlignment="1">
      <alignment horizontal="center" vertical="center"/>
    </xf>
    <xf numFmtId="165" fontId="14" fillId="0" borderId="13" xfId="4" applyNumberFormat="1" applyFont="1" applyBorder="1" applyAlignment="1">
      <alignment vertical="center"/>
    </xf>
    <xf numFmtId="164" fontId="14" fillId="0" borderId="13" xfId="5" applyFont="1" applyBorder="1" applyAlignment="1" applyProtection="1">
      <alignment vertical="center"/>
      <protection locked="0"/>
    </xf>
    <xf numFmtId="164" fontId="14" fillId="0" borderId="13" xfId="5" applyFont="1" applyBorder="1" applyAlignment="1">
      <alignment vertical="center"/>
    </xf>
    <xf numFmtId="164" fontId="4" fillId="0" borderId="0" xfId="5" applyFont="1"/>
    <xf numFmtId="0" fontId="4" fillId="0" borderId="0" xfId="2" applyFont="1"/>
    <xf numFmtId="165" fontId="13" fillId="0" borderId="0" xfId="4" applyNumberFormat="1" applyFont="1" applyAlignment="1">
      <alignment vertical="center"/>
    </xf>
    <xf numFmtId="4" fontId="13" fillId="0" borderId="0" xfId="4" applyNumberFormat="1" applyFont="1" applyAlignment="1" applyProtection="1">
      <alignment vertical="center"/>
      <protection locked="0"/>
    </xf>
    <xf numFmtId="4" fontId="4" fillId="7" borderId="4" xfId="6" applyNumberFormat="1" applyFont="1" applyFill="1" applyBorder="1" applyAlignment="1" applyProtection="1">
      <alignment vertical="center"/>
      <protection locked="0"/>
    </xf>
    <xf numFmtId="0" fontId="12" fillId="0" borderId="13" xfId="6" applyFont="1" applyBorder="1" applyAlignment="1">
      <alignment horizontal="center" vertical="top"/>
    </xf>
    <xf numFmtId="0" fontId="13" fillId="0" borderId="6" xfId="6" applyFont="1" applyBorder="1" applyAlignment="1">
      <alignment horizontal="left" vertical="top" wrapText="1"/>
    </xf>
    <xf numFmtId="0" fontId="13" fillId="0" borderId="6" xfId="6" applyFont="1" applyBorder="1" applyAlignment="1">
      <alignment horizontal="center" vertical="center"/>
    </xf>
    <xf numFmtId="165" fontId="13" fillId="0" borderId="6" xfId="6" applyNumberFormat="1" applyFont="1" applyBorder="1" applyAlignment="1">
      <alignment vertical="center"/>
    </xf>
    <xf numFmtId="164" fontId="13" fillId="0" borderId="6" xfId="6" applyNumberFormat="1" applyFont="1" applyBorder="1" applyAlignment="1" applyProtection="1">
      <alignment vertical="center"/>
      <protection locked="0"/>
    </xf>
    <xf numFmtId="164" fontId="13" fillId="0" borderId="6" xfId="6" applyNumberFormat="1" applyFont="1" applyBorder="1" applyAlignment="1">
      <alignment vertical="center"/>
    </xf>
    <xf numFmtId="0" fontId="12" fillId="0" borderId="12" xfId="6" applyFont="1" applyBorder="1" applyAlignment="1">
      <alignment horizontal="center" vertical="top"/>
    </xf>
    <xf numFmtId="0" fontId="13" fillId="0" borderId="11" xfId="6" applyFont="1" applyBorder="1" applyAlignment="1">
      <alignment horizontal="justify" vertical="top" wrapText="1"/>
    </xf>
    <xf numFmtId="0" fontId="13" fillId="0" borderId="11" xfId="6" applyFont="1" applyBorder="1" applyAlignment="1">
      <alignment horizontal="center" vertical="center"/>
    </xf>
    <xf numFmtId="165" fontId="13" fillId="0" borderId="11" xfId="6" applyNumberFormat="1" applyFont="1" applyBorder="1" applyAlignment="1">
      <alignment vertical="center"/>
    </xf>
    <xf numFmtId="0" fontId="13" fillId="0" borderId="11" xfId="6" applyFont="1" applyBorder="1" applyAlignment="1">
      <alignment horizontal="left" vertical="top" wrapText="1"/>
    </xf>
    <xf numFmtId="0" fontId="13" fillId="0" borderId="11" xfId="6" applyFont="1" applyBorder="1" applyAlignment="1">
      <alignment horizontal="center" vertical="center" wrapText="1"/>
    </xf>
    <xf numFmtId="0" fontId="89" fillId="0" borderId="11" xfId="6" applyFont="1" applyBorder="1" applyAlignment="1">
      <alignment vertical="top" wrapText="1"/>
    </xf>
    <xf numFmtId="0" fontId="13" fillId="0" borderId="11" xfId="6" applyFont="1" applyBorder="1" applyAlignment="1">
      <alignment wrapText="1"/>
    </xf>
    <xf numFmtId="165" fontId="13" fillId="0" borderId="11" xfId="6" applyNumberFormat="1" applyFont="1" applyBorder="1" applyAlignment="1">
      <alignment vertical="center" wrapText="1"/>
    </xf>
    <xf numFmtId="0" fontId="3" fillId="0" borderId="4" xfId="2" applyFont="1" applyBorder="1" applyAlignment="1">
      <alignment horizontal="left" vertical="top" wrapText="1"/>
    </xf>
    <xf numFmtId="0" fontId="4" fillId="0" borderId="5" xfId="2" applyFont="1"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49" fontId="89" fillId="0" borderId="13" xfId="6" applyNumberFormat="1" applyFont="1" applyBorder="1" applyAlignment="1">
      <alignment horizontal="center" vertical="center" wrapText="1"/>
    </xf>
    <xf numFmtId="0" fontId="13" fillId="0" borderId="13" xfId="6" applyFont="1" applyBorder="1" applyAlignment="1">
      <alignment horizontal="center" vertical="center" wrapText="1"/>
    </xf>
    <xf numFmtId="165" fontId="89" fillId="0" borderId="13" xfId="4" applyNumberFormat="1" applyFont="1" applyBorder="1" applyAlignment="1">
      <alignment horizontal="right" vertical="center" wrapText="1"/>
    </xf>
    <xf numFmtId="0" fontId="4" fillId="0" borderId="13" xfId="2" applyFont="1" applyBorder="1" applyAlignment="1">
      <alignment horizontal="justify" vertical="top" wrapText="1"/>
    </xf>
    <xf numFmtId="0" fontId="14" fillId="0" borderId="13" xfId="2" applyFont="1" applyBorder="1" applyAlignment="1">
      <alignment horizontal="justify" vertical="top" wrapText="1"/>
    </xf>
    <xf numFmtId="0" fontId="13" fillId="0" borderId="13" xfId="6" applyFont="1" applyBorder="1" applyAlignment="1">
      <alignment vertical="top" wrapText="1"/>
    </xf>
    <xf numFmtId="0" fontId="13" fillId="0" borderId="0" xfId="6" applyFont="1" applyAlignment="1" applyProtection="1">
      <alignment vertical="top" wrapText="1"/>
      <protection locked="0"/>
    </xf>
    <xf numFmtId="0" fontId="13" fillId="0" borderId="13" xfId="6" applyFont="1" applyBorder="1" applyAlignment="1" applyProtection="1">
      <alignment vertical="top" wrapText="1"/>
      <protection locked="0"/>
    </xf>
    <xf numFmtId="0" fontId="13" fillId="0" borderId="13" xfId="6" applyFont="1" applyBorder="1" applyAlignment="1">
      <alignment horizontal="justify" vertical="top" wrapText="1"/>
    </xf>
    <xf numFmtId="0" fontId="13" fillId="0" borderId="5" xfId="6" applyFont="1" applyBorder="1" applyAlignment="1">
      <alignment horizontal="center" vertical="center" wrapText="1"/>
    </xf>
    <xf numFmtId="165" fontId="13" fillId="0" borderId="13" xfId="6" applyNumberFormat="1" applyFont="1" applyBorder="1" applyAlignment="1">
      <alignment vertical="center"/>
    </xf>
    <xf numFmtId="49" fontId="89" fillId="0" borderId="13" xfId="8" applyNumberFormat="1" applyFont="1" applyBorder="1" applyAlignment="1">
      <alignment horizontal="left" vertical="center" wrapText="1"/>
    </xf>
    <xf numFmtId="0" fontId="89" fillId="0" borderId="13" xfId="8" applyFont="1" applyBorder="1" applyAlignment="1">
      <alignment horizontal="center" vertical="center"/>
    </xf>
    <xf numFmtId="165" fontId="89" fillId="0" borderId="13" xfId="4" applyNumberFormat="1" applyFont="1" applyBorder="1" applyAlignment="1">
      <alignment vertical="center"/>
    </xf>
    <xf numFmtId="0" fontId="14" fillId="31" borderId="13" xfId="2" applyFont="1" applyFill="1" applyBorder="1" applyAlignment="1">
      <alignment wrapText="1"/>
    </xf>
    <xf numFmtId="0" fontId="13" fillId="31" borderId="13" xfId="2" applyFont="1" applyFill="1" applyBorder="1" applyAlignment="1">
      <alignment vertical="center"/>
    </xf>
    <xf numFmtId="165" fontId="13" fillId="31" borderId="13" xfId="4" applyNumberFormat="1" applyFont="1" applyFill="1" applyBorder="1" applyAlignment="1">
      <alignment horizontal="right" vertical="center"/>
    </xf>
    <xf numFmtId="164" fontId="13" fillId="31" borderId="13" xfId="5" applyFont="1" applyFill="1" applyBorder="1" applyAlignment="1" applyProtection="1">
      <alignment horizontal="right" vertical="center"/>
      <protection locked="0"/>
    </xf>
    <xf numFmtId="164" fontId="13" fillId="31" borderId="13" xfId="5" applyFont="1" applyFill="1" applyBorder="1" applyAlignment="1">
      <alignment vertical="center"/>
    </xf>
    <xf numFmtId="0" fontId="136" fillId="31" borderId="0" xfId="46" applyFont="1" applyFill="1" applyAlignment="1">
      <alignment horizontal="left" vertical="top" wrapText="1"/>
    </xf>
    <xf numFmtId="0" fontId="136" fillId="31" borderId="15" xfId="46" applyFont="1" applyFill="1" applyBorder="1" applyAlignment="1">
      <alignment horizontal="left" vertical="top" wrapText="1"/>
    </xf>
    <xf numFmtId="0" fontId="136" fillId="31" borderId="13" xfId="46" applyFont="1" applyFill="1" applyBorder="1" applyAlignment="1">
      <alignment horizontal="left" vertical="top" wrapText="1"/>
    </xf>
    <xf numFmtId="0" fontId="25" fillId="32" borderId="13" xfId="6" applyFont="1" applyFill="1" applyBorder="1" applyAlignment="1">
      <alignment vertical="center" wrapText="1"/>
    </xf>
    <xf numFmtId="0" fontId="13" fillId="32" borderId="13" xfId="2" applyFont="1" applyFill="1" applyBorder="1" applyAlignment="1">
      <alignment vertical="center"/>
    </xf>
    <xf numFmtId="165" fontId="13" fillId="32" borderId="13" xfId="4" applyNumberFormat="1" applyFont="1" applyFill="1" applyBorder="1" applyAlignment="1">
      <alignment horizontal="right" vertical="center"/>
    </xf>
    <xf numFmtId="164" fontId="13" fillId="32" borderId="13" xfId="5" applyFont="1" applyFill="1" applyBorder="1" applyAlignment="1" applyProtection="1">
      <alignment horizontal="right" vertical="center"/>
      <protection locked="0"/>
    </xf>
    <xf numFmtId="164" fontId="13" fillId="32" borderId="13" xfId="5" applyFont="1" applyFill="1" applyBorder="1" applyAlignment="1">
      <alignment vertical="center"/>
    </xf>
    <xf numFmtId="0" fontId="3" fillId="0" borderId="13" xfId="2" applyFont="1" applyBorder="1" applyAlignment="1">
      <alignment horizontal="center" vertical="center"/>
    </xf>
    <xf numFmtId="0" fontId="4" fillId="0" borderId="13" xfId="2" applyFont="1" applyBorder="1" applyAlignment="1">
      <alignment horizontal="center" vertical="top"/>
    </xf>
    <xf numFmtId="0" fontId="13" fillId="0" borderId="13" xfId="43" applyFont="1" applyBorder="1" applyAlignment="1" applyProtection="1">
      <alignment vertical="top" wrapText="1"/>
      <protection locked="0"/>
    </xf>
    <xf numFmtId="0" fontId="20" fillId="0" borderId="13" xfId="10" applyFont="1" applyBorder="1" applyAlignment="1">
      <alignment vertical="top" wrapText="1"/>
    </xf>
    <xf numFmtId="0" fontId="13" fillId="0" borderId="13" xfId="43" applyFont="1" applyBorder="1" applyAlignment="1" applyProtection="1">
      <alignment vertical="center" wrapText="1"/>
      <protection locked="0"/>
    </xf>
    <xf numFmtId="0" fontId="13" fillId="0" borderId="4" xfId="43" applyFont="1" applyBorder="1" applyAlignment="1" applyProtection="1">
      <alignment horizontal="left" vertical="top" wrapText="1"/>
      <protection locked="0"/>
    </xf>
    <xf numFmtId="0" fontId="4" fillId="0" borderId="4" xfId="2" applyFont="1" applyBorder="1" applyAlignment="1">
      <alignment horizontal="center" vertical="center"/>
    </xf>
    <xf numFmtId="164" fontId="13" fillId="0" borderId="13" xfId="3" applyNumberFormat="1" applyFont="1" applyBorder="1" applyAlignment="1" applyProtection="1">
      <alignment vertical="center"/>
      <protection locked="0"/>
    </xf>
    <xf numFmtId="165" fontId="89" fillId="0" borderId="13" xfId="3" applyNumberFormat="1" applyFont="1" applyBorder="1" applyAlignment="1">
      <alignment vertical="center"/>
    </xf>
    <xf numFmtId="165" fontId="20" fillId="0" borderId="13" xfId="4" applyNumberFormat="1" applyFont="1" applyBorder="1" applyAlignment="1">
      <alignment vertical="center"/>
    </xf>
    <xf numFmtId="165" fontId="13" fillId="0" borderId="13" xfId="3" applyNumberFormat="1" applyFont="1" applyBorder="1" applyAlignment="1">
      <alignment vertical="center"/>
    </xf>
    <xf numFmtId="0" fontId="3" fillId="0" borderId="0" xfId="3" applyAlignment="1">
      <alignment vertical="center"/>
    </xf>
    <xf numFmtId="4" fontId="4" fillId="8" borderId="4" xfId="3" applyNumberFormat="1" applyFont="1" applyFill="1" applyBorder="1" applyAlignment="1" applyProtection="1">
      <alignment vertical="center"/>
      <protection locked="0"/>
    </xf>
    <xf numFmtId="165" fontId="3" fillId="8" borderId="13" xfId="3" applyNumberFormat="1" applyFill="1" applyBorder="1" applyAlignment="1">
      <alignment vertical="center"/>
    </xf>
    <xf numFmtId="0" fontId="3" fillId="8" borderId="13" xfId="3" applyFill="1" applyBorder="1" applyAlignment="1">
      <alignment vertical="center"/>
    </xf>
    <xf numFmtId="0" fontId="4" fillId="8" borderId="13" xfId="3" applyFont="1" applyFill="1" applyBorder="1" applyAlignment="1">
      <alignment vertical="center"/>
    </xf>
    <xf numFmtId="49" fontId="4" fillId="8" borderId="13" xfId="3" quotePrefix="1" applyNumberFormat="1" applyFont="1" applyFill="1" applyBorder="1" applyAlignment="1">
      <alignment vertical="center"/>
    </xf>
    <xf numFmtId="4" fontId="4" fillId="7" borderId="4" xfId="3" applyNumberFormat="1" applyFont="1" applyFill="1" applyBorder="1" applyAlignment="1" applyProtection="1">
      <alignment vertical="center"/>
      <protection locked="0"/>
    </xf>
    <xf numFmtId="165" fontId="3" fillId="7" borderId="13" xfId="3" applyNumberFormat="1" applyFill="1" applyBorder="1" applyAlignment="1">
      <alignment vertical="center" wrapText="1"/>
    </xf>
    <xf numFmtId="0" fontId="3" fillId="7" borderId="13" xfId="3" applyFill="1" applyBorder="1" applyAlignment="1">
      <alignment vertical="center" wrapText="1"/>
    </xf>
    <xf numFmtId="0" fontId="4" fillId="7" borderId="13" xfId="3" applyFont="1" applyFill="1" applyBorder="1" applyAlignment="1">
      <alignment vertical="center" wrapText="1"/>
    </xf>
    <xf numFmtId="49" fontId="4" fillId="7" borderId="13" xfId="3" quotePrefix="1" applyNumberFormat="1" applyFont="1" applyFill="1" applyBorder="1" applyAlignment="1">
      <alignment horizontal="center" vertical="center"/>
    </xf>
    <xf numFmtId="4" fontId="4" fillId="7" borderId="13" xfId="3" applyNumberFormat="1" applyFont="1" applyFill="1" applyBorder="1" applyAlignment="1" applyProtection="1">
      <alignment vertical="center"/>
      <protection locked="0"/>
    </xf>
    <xf numFmtId="4" fontId="4" fillId="7" borderId="13" xfId="3" applyNumberFormat="1" applyFont="1" applyFill="1" applyBorder="1" applyAlignment="1">
      <alignment horizontal="center" vertical="center"/>
    </xf>
    <xf numFmtId="4" fontId="4" fillId="7" borderId="13" xfId="3" applyNumberFormat="1" applyFont="1" applyFill="1" applyBorder="1" applyAlignment="1" applyProtection="1">
      <alignment horizontal="center" vertical="center"/>
      <protection locked="0"/>
    </xf>
    <xf numFmtId="165" fontId="3" fillId="7" borderId="6" xfId="3" applyNumberFormat="1" applyFill="1" applyBorder="1" applyAlignment="1">
      <alignment vertical="center"/>
    </xf>
    <xf numFmtId="0" fontId="3" fillId="7" borderId="5" xfId="3" applyFill="1" applyBorder="1" applyAlignment="1">
      <alignment vertical="center"/>
    </xf>
    <xf numFmtId="0" fontId="4" fillId="7" borderId="4" xfId="3" applyFont="1" applyFill="1" applyBorder="1" applyAlignment="1">
      <alignment horizontal="left" vertical="center"/>
    </xf>
    <xf numFmtId="49" fontId="4" fillId="7" borderId="13" xfId="3" applyNumberFormat="1" applyFont="1" applyFill="1" applyBorder="1" applyAlignment="1">
      <alignment horizontal="center" vertical="center"/>
    </xf>
    <xf numFmtId="4" fontId="13" fillId="7" borderId="13" xfId="3" applyNumberFormat="1" applyFont="1" applyFill="1" applyBorder="1" applyAlignment="1">
      <alignment horizontal="left" vertical="center"/>
    </xf>
    <xf numFmtId="4" fontId="13" fillId="7" borderId="13" xfId="3" applyNumberFormat="1" applyFont="1" applyFill="1" applyBorder="1" applyAlignment="1" applyProtection="1">
      <alignment horizontal="left" vertical="center"/>
      <protection locked="0"/>
    </xf>
    <xf numFmtId="165" fontId="13" fillId="7" borderId="6" xfId="3" applyNumberFormat="1" applyFont="1" applyFill="1" applyBorder="1" applyAlignment="1">
      <alignment horizontal="left" vertical="center"/>
    </xf>
    <xf numFmtId="0" fontId="13" fillId="7" borderId="5" xfId="3" applyFont="1" applyFill="1" applyBorder="1" applyAlignment="1">
      <alignment horizontal="left" vertical="center"/>
    </xf>
    <xf numFmtId="0" fontId="7" fillId="7" borderId="4" xfId="3" applyFont="1" applyFill="1" applyBorder="1" applyAlignment="1">
      <alignment horizontal="left" vertical="center"/>
    </xf>
    <xf numFmtId="49" fontId="4" fillId="7" borderId="13" xfId="3" applyNumberFormat="1" applyFont="1" applyFill="1" applyBorder="1" applyAlignment="1">
      <alignment horizontal="left" vertical="center"/>
    </xf>
    <xf numFmtId="4" fontId="13" fillId="0" borderId="14" xfId="3" applyNumberFormat="1" applyFont="1" applyBorder="1" applyAlignment="1">
      <alignment horizontal="left" vertical="center"/>
    </xf>
    <xf numFmtId="4" fontId="13" fillId="0" borderId="0" xfId="3" applyNumberFormat="1" applyFont="1" applyAlignment="1" applyProtection="1">
      <alignment horizontal="left" vertical="center"/>
      <protection locked="0"/>
    </xf>
    <xf numFmtId="165" fontId="13" fillId="0" borderId="0" xfId="3" applyNumberFormat="1" applyFont="1" applyAlignment="1">
      <alignment horizontal="left" vertical="center"/>
    </xf>
    <xf numFmtId="0" fontId="13" fillId="0" borderId="0" xfId="3" applyFont="1" applyAlignment="1">
      <alignment horizontal="left" vertical="center"/>
    </xf>
    <xf numFmtId="0" fontId="14" fillId="0" borderId="0" xfId="3" applyFont="1" applyAlignment="1">
      <alignment horizontal="left" vertical="center"/>
    </xf>
    <xf numFmtId="49" fontId="4" fillId="0" borderId="0" xfId="3" applyNumberFormat="1" applyFont="1" applyAlignment="1">
      <alignment horizontal="left" vertical="center"/>
    </xf>
    <xf numFmtId="49" fontId="7" fillId="4" borderId="4" xfId="3" applyNumberFormat="1" applyFont="1" applyFill="1" applyBorder="1" applyAlignment="1">
      <alignment horizontal="left" vertical="center"/>
    </xf>
    <xf numFmtId="4" fontId="13" fillId="0" borderId="0" xfId="3" applyNumberFormat="1" applyFont="1" applyAlignment="1">
      <alignment horizontal="left" vertical="center"/>
    </xf>
    <xf numFmtId="4" fontId="13" fillId="4" borderId="6" xfId="3" applyNumberFormat="1" applyFont="1" applyFill="1" applyBorder="1" applyAlignment="1">
      <alignment horizontal="left" vertical="center"/>
    </xf>
    <xf numFmtId="4" fontId="13" fillId="4" borderId="5" xfId="3" applyNumberFormat="1" applyFont="1" applyFill="1" applyBorder="1" applyAlignment="1" applyProtection="1">
      <alignment horizontal="left" vertical="center"/>
      <protection locked="0"/>
    </xf>
    <xf numFmtId="165" fontId="13" fillId="4" borderId="5" xfId="3" applyNumberFormat="1" applyFont="1" applyFill="1" applyBorder="1" applyAlignment="1">
      <alignment horizontal="left" vertical="center"/>
    </xf>
    <xf numFmtId="0" fontId="13" fillId="4" borderId="5" xfId="3" applyFont="1" applyFill="1" applyBorder="1" applyAlignment="1">
      <alignment horizontal="left" vertical="center"/>
    </xf>
    <xf numFmtId="0" fontId="14" fillId="4" borderId="5" xfId="3" applyFont="1" applyFill="1" applyBorder="1" applyAlignment="1">
      <alignment horizontal="center" vertical="center"/>
    </xf>
    <xf numFmtId="49" fontId="4" fillId="4" borderId="4" xfId="3" applyNumberFormat="1" applyFont="1" applyFill="1" applyBorder="1" applyAlignment="1">
      <alignment horizontal="left" vertical="center"/>
    </xf>
    <xf numFmtId="164" fontId="13" fillId="9" borderId="13" xfId="5" applyFont="1" applyFill="1" applyBorder="1" applyAlignment="1" applyProtection="1">
      <alignment horizontal="right" vertical="center"/>
      <protection locked="0"/>
    </xf>
    <xf numFmtId="165" fontId="13" fillId="9" borderId="13" xfId="4" applyNumberFormat="1" applyFont="1" applyFill="1" applyBorder="1" applyAlignment="1">
      <alignment horizontal="right" vertical="center"/>
    </xf>
    <xf numFmtId="0" fontId="20" fillId="9" borderId="13" xfId="3" applyFont="1" applyFill="1" applyBorder="1" applyAlignment="1">
      <alignment vertical="top" wrapText="1"/>
    </xf>
    <xf numFmtId="0" fontId="20" fillId="9" borderId="13" xfId="3" applyFont="1" applyFill="1" applyBorder="1" applyAlignment="1">
      <alignment vertical="center" wrapText="1"/>
    </xf>
    <xf numFmtId="0" fontId="13" fillId="9" borderId="13" xfId="2" applyFont="1" applyFill="1" applyBorder="1" applyAlignment="1">
      <alignment vertical="top" wrapText="1"/>
    </xf>
    <xf numFmtId="0" fontId="13" fillId="9" borderId="13" xfId="2" applyFont="1" applyFill="1" applyBorder="1" applyAlignment="1">
      <alignment wrapText="1"/>
    </xf>
    <xf numFmtId="4" fontId="13" fillId="9" borderId="13" xfId="4" applyNumberFormat="1" applyFont="1" applyFill="1" applyBorder="1" applyAlignment="1" applyProtection="1">
      <alignment horizontal="right" vertical="center"/>
      <protection locked="0"/>
    </xf>
    <xf numFmtId="0" fontId="14" fillId="9" borderId="13" xfId="2" applyFont="1" applyFill="1" applyBorder="1" applyAlignment="1">
      <alignment vertical="top" wrapText="1"/>
    </xf>
    <xf numFmtId="0" fontId="13" fillId="0" borderId="13" xfId="3" applyFont="1" applyBorder="1" applyAlignment="1">
      <alignment horizontal="left" vertical="center" wrapText="1"/>
    </xf>
    <xf numFmtId="165" fontId="13" fillId="0" borderId="13" xfId="4" applyNumberFormat="1" applyFont="1" applyBorder="1" applyAlignment="1">
      <alignment vertical="center" wrapText="1"/>
    </xf>
    <xf numFmtId="0" fontId="14" fillId="6" borderId="5" xfId="3" applyFont="1" applyFill="1" applyBorder="1" applyAlignment="1">
      <alignment horizontal="left" vertical="center" wrapText="1"/>
    </xf>
    <xf numFmtId="0" fontId="14" fillId="6" borderId="6" xfId="3" applyFont="1" applyFill="1" applyBorder="1" applyAlignment="1">
      <alignment horizontal="left" vertical="center" wrapText="1"/>
    </xf>
    <xf numFmtId="0" fontId="14" fillId="6" borderId="5" xfId="6" applyFont="1" applyFill="1" applyBorder="1" applyAlignment="1">
      <alignment horizontal="left" vertical="center" wrapText="1"/>
    </xf>
    <xf numFmtId="0" fontId="14" fillId="6" borderId="6" xfId="6" applyFont="1" applyFill="1" applyBorder="1" applyAlignment="1">
      <alignment horizontal="left" vertical="center" wrapText="1"/>
    </xf>
    <xf numFmtId="49" fontId="4" fillId="6" borderId="4" xfId="3" applyNumberFormat="1" applyFont="1" applyFill="1" applyBorder="1" applyAlignment="1">
      <alignment horizontal="center" vertical="center"/>
    </xf>
    <xf numFmtId="4" fontId="14" fillId="6" borderId="6" xfId="3" applyNumberFormat="1" applyFont="1" applyFill="1" applyBorder="1" applyAlignment="1">
      <alignment horizontal="center" vertical="center"/>
    </xf>
    <xf numFmtId="49" fontId="4" fillId="6" borderId="4" xfId="6" applyNumberFormat="1" applyFont="1" applyFill="1" applyBorder="1" applyAlignment="1">
      <alignment horizontal="center" vertical="center"/>
    </xf>
    <xf numFmtId="4" fontId="14" fillId="6" borderId="6" xfId="6" applyNumberFormat="1" applyFont="1" applyFill="1" applyBorder="1" applyAlignment="1">
      <alignment horizontal="center" vertical="center"/>
    </xf>
    <xf numFmtId="164" fontId="13" fillId="7" borderId="6" xfId="5" applyFont="1" applyFill="1" applyBorder="1" applyAlignment="1" applyProtection="1">
      <alignment horizontal="right" vertical="center"/>
    </xf>
    <xf numFmtId="0" fontId="14" fillId="7" borderId="5" xfId="3" applyFont="1" applyFill="1" applyBorder="1" applyAlignment="1">
      <alignment vertical="center" wrapText="1"/>
    </xf>
    <xf numFmtId="165" fontId="14" fillId="7" borderId="5" xfId="3" applyNumberFormat="1" applyFont="1" applyFill="1" applyBorder="1" applyAlignment="1">
      <alignment vertical="center" wrapText="1"/>
    </xf>
    <xf numFmtId="49" fontId="3" fillId="0" borderId="0" xfId="3" quotePrefix="1" applyNumberFormat="1" applyFill="1" applyBorder="1" applyAlignment="1">
      <alignment horizontal="center" vertical="center"/>
    </xf>
    <xf numFmtId="0" fontId="14" fillId="0" borderId="0" xfId="3" applyFont="1" applyFill="1" applyBorder="1" applyAlignment="1">
      <alignment vertical="center" wrapText="1"/>
    </xf>
    <xf numFmtId="165" fontId="14" fillId="0" borderId="0" xfId="3" applyNumberFormat="1" applyFont="1" applyFill="1" applyBorder="1" applyAlignment="1">
      <alignment vertical="center" wrapText="1"/>
    </xf>
    <xf numFmtId="4" fontId="14" fillId="0" borderId="0" xfId="3" applyNumberFormat="1" applyFont="1" applyFill="1" applyBorder="1" applyAlignment="1" applyProtection="1">
      <alignment horizontal="right" vertical="center"/>
      <protection locked="0"/>
    </xf>
    <xf numFmtId="167" fontId="12" fillId="0" borderId="0" xfId="2" applyNumberFormat="1" applyFont="1"/>
    <xf numFmtId="49" fontId="3" fillId="6" borderId="4" xfId="3" quotePrefix="1" applyNumberFormat="1" applyFill="1" applyBorder="1" applyAlignment="1">
      <alignment horizontal="center" vertical="center"/>
    </xf>
    <xf numFmtId="164" fontId="14" fillId="6" borderId="6" xfId="5" applyFont="1" applyFill="1" applyBorder="1" applyAlignment="1" applyProtection="1">
      <alignment horizontal="right" vertical="center"/>
    </xf>
    <xf numFmtId="164" fontId="13" fillId="0" borderId="13" xfId="5" applyFont="1" applyBorder="1" applyAlignment="1" applyProtection="1">
      <alignment horizontal="center" vertical="center"/>
      <protection locked="0"/>
    </xf>
    <xf numFmtId="164" fontId="14" fillId="0" borderId="13" xfId="5" applyFont="1" applyBorder="1" applyAlignment="1" applyProtection="1">
      <alignment horizontal="center" vertical="center"/>
      <protection locked="0"/>
    </xf>
    <xf numFmtId="164" fontId="14" fillId="8" borderId="13" xfId="5" applyNumberFormat="1" applyFont="1" applyFill="1" applyBorder="1" applyAlignment="1" applyProtection="1">
      <alignment horizontal="right" vertical="center"/>
    </xf>
    <xf numFmtId="164" fontId="14" fillId="6" borderId="6" xfId="3" applyNumberFormat="1" applyFont="1" applyFill="1" applyBorder="1" applyAlignment="1">
      <alignment horizontal="center" vertical="center"/>
    </xf>
    <xf numFmtId="164" fontId="13" fillId="7" borderId="6" xfId="5" applyNumberFormat="1" applyFont="1" applyFill="1" applyBorder="1" applyAlignment="1" applyProtection="1">
      <alignment horizontal="right" vertical="center"/>
    </xf>
    <xf numFmtId="164" fontId="14" fillId="6" borderId="6" xfId="5" applyNumberFormat="1" applyFont="1" applyFill="1" applyBorder="1" applyAlignment="1" applyProtection="1">
      <alignment horizontal="right" vertical="center"/>
    </xf>
    <xf numFmtId="164" fontId="13" fillId="0" borderId="13" xfId="4" applyNumberFormat="1" applyFont="1" applyBorder="1" applyAlignment="1" applyProtection="1">
      <alignment vertical="center"/>
      <protection locked="0"/>
    </xf>
    <xf numFmtId="0" fontId="13" fillId="0" borderId="13" xfId="4" applyNumberFormat="1" applyFont="1" applyBorder="1" applyAlignment="1" applyProtection="1">
      <alignment vertical="center"/>
      <protection locked="0"/>
    </xf>
    <xf numFmtId="175" fontId="3" fillId="0" borderId="13" xfId="6" applyNumberFormat="1" applyFont="1" applyBorder="1" applyAlignment="1" applyProtection="1">
      <alignment horizontal="right" vertical="top"/>
      <protection locked="0"/>
    </xf>
    <xf numFmtId="164" fontId="3" fillId="0" borderId="13" xfId="6" applyNumberFormat="1" applyFont="1" applyBorder="1" applyAlignment="1" applyProtection="1">
      <alignment horizontal="right" vertical="top"/>
      <protection locked="0"/>
    </xf>
    <xf numFmtId="164" fontId="3" fillId="0" borderId="13" xfId="6" applyNumberFormat="1" applyFont="1" applyBorder="1" applyAlignment="1">
      <alignment horizontal="right" vertical="top"/>
    </xf>
    <xf numFmtId="164" fontId="4" fillId="0" borderId="13" xfId="6" applyNumberFormat="1" applyFont="1" applyBorder="1" applyAlignment="1">
      <alignment horizontal="right" vertical="top"/>
    </xf>
    <xf numFmtId="164" fontId="3" fillId="0" borderId="13" xfId="3" applyNumberFormat="1" applyBorder="1" applyAlignment="1">
      <alignment horizontal="right" vertical="top"/>
    </xf>
    <xf numFmtId="164" fontId="123" fillId="0" borderId="13" xfId="6" applyNumberFormat="1" applyFont="1" applyBorder="1" applyAlignment="1">
      <alignment horizontal="right" vertical="top"/>
    </xf>
    <xf numFmtId="164" fontId="127" fillId="0" borderId="13" xfId="6" applyNumberFormat="1" applyFont="1" applyBorder="1" applyAlignment="1">
      <alignment horizontal="right" vertical="top"/>
    </xf>
    <xf numFmtId="164" fontId="4" fillId="5" borderId="13" xfId="6" applyNumberFormat="1" applyFont="1" applyFill="1" applyBorder="1" applyAlignment="1">
      <alignment horizontal="left" vertical="top"/>
    </xf>
    <xf numFmtId="164" fontId="6" fillId="0" borderId="13" xfId="6" applyNumberFormat="1" applyFont="1" applyBorder="1" applyAlignment="1">
      <alignment horizontal="left" vertical="top"/>
    </xf>
    <xf numFmtId="164" fontId="8" fillId="8" borderId="13" xfId="6" applyNumberFormat="1" applyFont="1" applyFill="1" applyBorder="1" applyAlignment="1">
      <alignment horizontal="center" vertical="center" wrapText="1"/>
    </xf>
    <xf numFmtId="164" fontId="3" fillId="23" borderId="13" xfId="6" applyNumberFormat="1" applyFont="1" applyFill="1" applyBorder="1" applyAlignment="1">
      <alignment horizontal="right" vertical="top"/>
    </xf>
    <xf numFmtId="164" fontId="3" fillId="0" borderId="0" xfId="6" applyNumberFormat="1" applyFont="1" applyAlignment="1">
      <alignment horizontal="right" vertical="top"/>
    </xf>
    <xf numFmtId="164" fontId="6" fillId="0" borderId="0" xfId="6" applyNumberFormat="1" applyFont="1" applyAlignment="1">
      <alignment horizontal="left" vertical="top"/>
    </xf>
    <xf numFmtId="175" fontId="13" fillId="0" borderId="13" xfId="5" applyNumberFormat="1" applyFont="1" applyFill="1" applyBorder="1" applyAlignment="1" applyProtection="1">
      <alignment horizontal="right" vertical="center"/>
      <protection locked="0"/>
    </xf>
    <xf numFmtId="167" fontId="12" fillId="0" borderId="13" xfId="13" applyNumberFormat="1" applyFont="1" applyFill="1" applyBorder="1" applyAlignment="1" applyProtection="1">
      <alignment vertical="center"/>
      <protection locked="0"/>
    </xf>
    <xf numFmtId="167" fontId="3" fillId="0" borderId="13" xfId="4" applyNumberFormat="1" applyFont="1" applyFill="1" applyBorder="1" applyAlignment="1" applyProtection="1">
      <alignment horizontal="right" vertical="center"/>
      <protection locked="0"/>
    </xf>
    <xf numFmtId="167" fontId="3" fillId="0" borderId="13" xfId="4" applyNumberFormat="1" applyFont="1" applyFill="1" applyBorder="1" applyAlignment="1">
      <alignment vertical="center"/>
    </xf>
    <xf numFmtId="167" fontId="3" fillId="0" borderId="13" xfId="13" applyNumberFormat="1" applyFont="1" applyFill="1" applyBorder="1" applyAlignment="1" applyProtection="1">
      <alignment horizontal="right" vertical="center"/>
      <protection locked="0"/>
    </xf>
    <xf numFmtId="167" fontId="3" fillId="0" borderId="13" xfId="13" applyNumberFormat="1" applyFont="1" applyFill="1" applyBorder="1" applyAlignment="1">
      <alignment vertical="center"/>
    </xf>
    <xf numFmtId="167" fontId="4" fillId="0" borderId="13" xfId="4" applyNumberFormat="1" applyFont="1" applyFill="1" applyBorder="1" applyAlignment="1" applyProtection="1">
      <alignment vertical="center"/>
      <protection locked="0"/>
    </xf>
    <xf numFmtId="167" fontId="4" fillId="0" borderId="13" xfId="13" applyNumberFormat="1" applyFont="1" applyFill="1" applyBorder="1" applyAlignment="1">
      <alignment vertical="center"/>
    </xf>
    <xf numFmtId="167" fontId="12" fillId="0" borderId="0" xfId="9" applyNumberFormat="1" applyFont="1"/>
    <xf numFmtId="167" fontId="13" fillId="0" borderId="0" xfId="12" applyNumberFormat="1" applyFont="1" applyAlignment="1">
      <alignment horizontal="left" vertical="center" wrapText="1"/>
    </xf>
    <xf numFmtId="167" fontId="12" fillId="0" borderId="0" xfId="9" applyNumberFormat="1" applyFont="1" applyAlignment="1">
      <alignment vertical="center"/>
    </xf>
    <xf numFmtId="167" fontId="48" fillId="0" borderId="0" xfId="20" applyNumberFormat="1" applyFont="1" applyAlignment="1">
      <alignment horizontal="left" vertical="center" wrapText="1" readingOrder="1"/>
    </xf>
    <xf numFmtId="167" fontId="53" fillId="0" borderId="0" xfId="21" applyNumberFormat="1" applyFont="1" applyAlignment="1">
      <alignment horizontal="left" vertical="center" wrapText="1"/>
    </xf>
    <xf numFmtId="167" fontId="53" fillId="0" borderId="0" xfId="20" applyNumberFormat="1" applyFont="1" applyAlignment="1">
      <alignment horizontal="left" vertical="center" wrapText="1" readingOrder="1"/>
    </xf>
    <xf numFmtId="167" fontId="56" fillId="0" borderId="0" xfId="12" applyNumberFormat="1" applyFont="1" applyAlignment="1">
      <alignment horizontal="left" vertical="center" wrapText="1"/>
    </xf>
    <xf numFmtId="167" fontId="56" fillId="0" borderId="0" xfId="22" applyNumberFormat="1" applyFont="1" applyFill="1" applyBorder="1" applyAlignment="1">
      <alignment horizontal="left" vertical="center" wrapText="1"/>
    </xf>
    <xf numFmtId="167" fontId="56" fillId="0" borderId="0" xfId="21" applyNumberFormat="1" applyFont="1" applyAlignment="1">
      <alignment horizontal="left" vertical="center" wrapText="1"/>
    </xf>
    <xf numFmtId="167" fontId="64" fillId="0" borderId="0" xfId="23" applyNumberFormat="1" applyFont="1" applyAlignment="1">
      <alignment horizontal="left" vertical="center" wrapText="1"/>
    </xf>
    <xf numFmtId="164" fontId="13" fillId="0" borderId="13" xfId="5" applyNumberFormat="1" applyFont="1" applyFill="1" applyBorder="1" applyAlignment="1" applyProtection="1">
      <alignment vertical="center"/>
      <protection locked="0"/>
    </xf>
    <xf numFmtId="164" fontId="13" fillId="0" borderId="13" xfId="5" applyNumberFormat="1" applyFont="1" applyFill="1" applyBorder="1" applyAlignment="1">
      <alignment vertical="center"/>
    </xf>
    <xf numFmtId="164" fontId="14" fillId="7" borderId="13" xfId="4" applyNumberFormat="1" applyFont="1" applyFill="1" applyBorder="1" applyAlignment="1" applyProtection="1">
      <alignment vertical="center"/>
      <protection locked="0"/>
    </xf>
    <xf numFmtId="164" fontId="14" fillId="7" borderId="13" xfId="4" applyNumberFormat="1" applyFont="1" applyFill="1" applyBorder="1" applyAlignment="1">
      <alignment vertical="center"/>
    </xf>
    <xf numFmtId="164" fontId="13" fillId="9" borderId="13" xfId="4" applyNumberFormat="1" applyFont="1" applyFill="1" applyBorder="1" applyAlignment="1" applyProtection="1">
      <alignment vertical="center"/>
      <protection locked="0"/>
    </xf>
    <xf numFmtId="164" fontId="13" fillId="9" borderId="13" xfId="4" applyNumberFormat="1" applyFont="1" applyFill="1" applyBorder="1" applyAlignment="1">
      <alignment vertical="center"/>
    </xf>
    <xf numFmtId="164" fontId="13" fillId="9" borderId="13" xfId="5" applyNumberFormat="1" applyFont="1" applyFill="1" applyBorder="1" applyAlignment="1" applyProtection="1">
      <alignment vertical="center"/>
      <protection locked="0"/>
    </xf>
    <xf numFmtId="164" fontId="13" fillId="9" borderId="13" xfId="5" applyNumberFormat="1" applyFont="1" applyFill="1" applyBorder="1" applyAlignment="1">
      <alignment vertical="center"/>
    </xf>
    <xf numFmtId="164" fontId="13" fillId="10" borderId="13" xfId="4" applyNumberFormat="1" applyFont="1" applyFill="1" applyBorder="1" applyAlignment="1" applyProtection="1">
      <alignment horizontal="right" vertical="center"/>
      <protection locked="0"/>
    </xf>
    <xf numFmtId="164" fontId="13" fillId="10" borderId="13" xfId="4" applyNumberFormat="1" applyFont="1" applyFill="1" applyBorder="1" applyAlignment="1">
      <alignment vertical="center"/>
    </xf>
    <xf numFmtId="164" fontId="14" fillId="10" borderId="13" xfId="4" applyNumberFormat="1" applyFont="1" applyFill="1" applyBorder="1" applyAlignment="1" applyProtection="1">
      <alignment horizontal="right" vertical="center"/>
      <protection locked="0"/>
    </xf>
    <xf numFmtId="164" fontId="14" fillId="10" borderId="13" xfId="5" applyNumberFormat="1" applyFont="1" applyFill="1" applyBorder="1" applyAlignment="1">
      <alignment vertical="center"/>
    </xf>
    <xf numFmtId="164" fontId="13" fillId="11" borderId="13" xfId="4" applyNumberFormat="1" applyFont="1" applyFill="1" applyBorder="1" applyAlignment="1" applyProtection="1">
      <alignment horizontal="right" vertical="center"/>
      <protection locked="0"/>
    </xf>
    <xf numFmtId="164" fontId="13" fillId="11" borderId="13" xfId="4" applyNumberFormat="1" applyFont="1" applyFill="1" applyBorder="1" applyAlignment="1">
      <alignment vertical="center"/>
    </xf>
    <xf numFmtId="164" fontId="14" fillId="11" borderId="13" xfId="4" applyNumberFormat="1" applyFont="1" applyFill="1" applyBorder="1" applyAlignment="1" applyProtection="1">
      <alignment horizontal="right" vertical="center"/>
      <protection locked="0"/>
    </xf>
    <xf numFmtId="164" fontId="14" fillId="11" borderId="13" xfId="5" applyNumberFormat="1" applyFont="1" applyFill="1" applyBorder="1" applyAlignment="1">
      <alignment vertical="center"/>
    </xf>
    <xf numFmtId="164" fontId="14" fillId="10" borderId="13" xfId="5" applyNumberFormat="1" applyFont="1" applyFill="1" applyBorder="1" applyAlignment="1" applyProtection="1">
      <alignment horizontal="right" vertical="center"/>
      <protection locked="0"/>
    </xf>
    <xf numFmtId="164" fontId="14" fillId="11" borderId="13" xfId="4" applyNumberFormat="1" applyFont="1" applyFill="1" applyBorder="1" applyAlignment="1">
      <alignment horizontal="center"/>
    </xf>
    <xf numFmtId="164" fontId="13" fillId="7" borderId="13" xfId="4" applyNumberFormat="1" applyFont="1" applyFill="1" applyBorder="1" applyAlignment="1" applyProtection="1">
      <alignment horizontal="right" vertical="center"/>
      <protection locked="0"/>
    </xf>
    <xf numFmtId="164" fontId="13" fillId="7" borderId="13" xfId="4" applyNumberFormat="1" applyFont="1" applyFill="1" applyBorder="1" applyAlignment="1">
      <alignment vertical="center"/>
    </xf>
    <xf numFmtId="164" fontId="14" fillId="7" borderId="13" xfId="4" applyNumberFormat="1" applyFont="1" applyFill="1" applyBorder="1" applyAlignment="1" applyProtection="1">
      <alignment horizontal="right" vertical="center"/>
      <protection locked="0"/>
    </xf>
    <xf numFmtId="164" fontId="14" fillId="7" borderId="13" xfId="5" applyNumberFormat="1" applyFont="1" applyFill="1" applyBorder="1" applyAlignment="1">
      <alignment vertical="center"/>
    </xf>
    <xf numFmtId="164" fontId="13" fillId="7" borderId="13" xfId="5" applyNumberFormat="1" applyFont="1" applyFill="1" applyBorder="1" applyAlignment="1" applyProtection="1">
      <alignment horizontal="right" vertical="center"/>
      <protection locked="0"/>
    </xf>
    <xf numFmtId="164" fontId="13" fillId="7" borderId="13" xfId="5" applyNumberFormat="1" applyFont="1" applyFill="1" applyBorder="1" applyAlignment="1">
      <alignment vertical="center"/>
    </xf>
    <xf numFmtId="164" fontId="14" fillId="24" borderId="13" xfId="4" applyNumberFormat="1" applyFont="1" applyFill="1" applyBorder="1" applyAlignment="1" applyProtection="1">
      <alignment vertical="center"/>
      <protection locked="0"/>
    </xf>
    <xf numFmtId="164" fontId="14" fillId="24" borderId="13" xfId="5" applyNumberFormat="1" applyFont="1" applyFill="1" applyBorder="1" applyAlignment="1">
      <alignment vertical="center"/>
    </xf>
    <xf numFmtId="164" fontId="14" fillId="24" borderId="13" xfId="4" applyNumberFormat="1" applyFont="1" applyFill="1" applyBorder="1" applyAlignment="1" applyProtection="1">
      <alignment horizontal="right" vertical="center"/>
      <protection locked="0"/>
    </xf>
    <xf numFmtId="164" fontId="13" fillId="7" borderId="13" xfId="4" applyNumberFormat="1" applyFont="1" applyFill="1" applyBorder="1" applyAlignment="1" applyProtection="1">
      <alignment vertical="center"/>
      <protection locked="0"/>
    </xf>
    <xf numFmtId="164" fontId="22" fillId="0" borderId="13" xfId="5" applyNumberFormat="1" applyFont="1" applyBorder="1" applyAlignment="1" applyProtection="1">
      <alignment vertical="center"/>
      <protection locked="0"/>
    </xf>
    <xf numFmtId="164" fontId="22" fillId="0" borderId="13" xfId="5" applyNumberFormat="1" applyFont="1" applyBorder="1" applyAlignment="1">
      <alignment vertical="center"/>
    </xf>
    <xf numFmtId="164" fontId="80" fillId="0" borderId="13" xfId="6" applyNumberFormat="1" applyFont="1" applyBorder="1"/>
    <xf numFmtId="0" fontId="12" fillId="0" borderId="0" xfId="2" applyFont="1" applyBorder="1"/>
    <xf numFmtId="174" fontId="81" fillId="0" borderId="0" xfId="10" applyNumberFormat="1" applyFont="1" applyBorder="1"/>
    <xf numFmtId="164" fontId="81" fillId="0" borderId="29" xfId="10" applyNumberFormat="1" applyFont="1" applyBorder="1"/>
    <xf numFmtId="164" fontId="81" fillId="0" borderId="16" xfId="10" applyNumberFormat="1" applyFont="1" applyBorder="1"/>
    <xf numFmtId="164" fontId="4" fillId="24" borderId="12" xfId="10" applyNumberFormat="1" applyFont="1" applyFill="1" applyBorder="1"/>
    <xf numFmtId="164" fontId="18" fillId="24" borderId="13" xfId="4" applyNumberFormat="1" applyFont="1" applyFill="1" applyBorder="1" applyAlignment="1">
      <alignment vertical="center"/>
    </xf>
    <xf numFmtId="164" fontId="4" fillId="24" borderId="13" xfId="10" applyNumberFormat="1" applyFont="1" applyFill="1" applyBorder="1" applyAlignment="1">
      <alignment vertical="top"/>
    </xf>
    <xf numFmtId="164" fontId="13" fillId="26" borderId="13" xfId="4" applyNumberFormat="1" applyFont="1" applyFill="1" applyBorder="1" applyAlignment="1" applyProtection="1">
      <alignment vertical="center"/>
      <protection locked="0"/>
    </xf>
    <xf numFmtId="164" fontId="13" fillId="26" borderId="13" xfId="4" applyNumberFormat="1" applyFont="1" applyFill="1" applyBorder="1" applyAlignment="1">
      <alignment vertical="center"/>
    </xf>
    <xf numFmtId="164" fontId="13" fillId="26" borderId="13" xfId="5" applyNumberFormat="1" applyFont="1" applyFill="1" applyBorder="1" applyAlignment="1" applyProtection="1">
      <alignment vertical="center"/>
      <protection locked="0"/>
    </xf>
    <xf numFmtId="164" fontId="13" fillId="26" borderId="13" xfId="5" applyNumberFormat="1" applyFont="1" applyFill="1" applyBorder="1" applyAlignment="1">
      <alignment vertical="center"/>
    </xf>
    <xf numFmtId="164" fontId="13" fillId="18" borderId="13" xfId="4" applyNumberFormat="1" applyFont="1" applyFill="1" applyBorder="1" applyAlignment="1" applyProtection="1">
      <alignment vertical="center"/>
      <protection locked="0"/>
    </xf>
    <xf numFmtId="164" fontId="13" fillId="18" borderId="13" xfId="4" applyNumberFormat="1" applyFont="1" applyFill="1" applyBorder="1" applyAlignment="1">
      <alignment vertical="center"/>
    </xf>
    <xf numFmtId="164" fontId="13" fillId="18" borderId="13" xfId="5" applyNumberFormat="1" applyFont="1" applyFill="1" applyBorder="1" applyAlignment="1" applyProtection="1">
      <alignment vertical="center"/>
      <protection locked="0"/>
    </xf>
    <xf numFmtId="164" fontId="13" fillId="18" borderId="13" xfId="5" applyNumberFormat="1" applyFont="1" applyFill="1" applyBorder="1" applyAlignment="1">
      <alignment vertical="center"/>
    </xf>
    <xf numFmtId="164" fontId="13" fillId="0" borderId="13" xfId="41" applyNumberFormat="1" applyFont="1" applyBorder="1" applyAlignment="1" applyProtection="1">
      <alignment horizontal="right" vertical="top"/>
      <protection locked="0"/>
    </xf>
    <xf numFmtId="164" fontId="13" fillId="0" borderId="13" xfId="2" applyNumberFormat="1" applyFont="1" applyBorder="1" applyAlignment="1" applyProtection="1">
      <alignment vertical="top" wrapText="1"/>
      <protection locked="0"/>
    </xf>
    <xf numFmtId="164" fontId="13" fillId="20" borderId="13" xfId="2" applyNumberFormat="1" applyFont="1" applyFill="1" applyBorder="1" applyAlignment="1" applyProtection="1">
      <alignment vertical="top" wrapText="1"/>
      <protection locked="0"/>
    </xf>
    <xf numFmtId="164" fontId="20" fillId="0" borderId="31" xfId="41" applyNumberFormat="1" applyFont="1" applyBorder="1" applyAlignment="1" applyProtection="1">
      <alignment vertical="top" wrapText="1"/>
      <protection locked="0"/>
    </xf>
    <xf numFmtId="164" fontId="20" fillId="0" borderId="32" xfId="2" applyNumberFormat="1" applyFont="1" applyBorder="1" applyAlignment="1" applyProtection="1">
      <alignment vertical="top" wrapText="1"/>
      <protection locked="0"/>
    </xf>
    <xf numFmtId="164" fontId="13" fillId="0" borderId="33" xfId="41" applyNumberFormat="1" applyFont="1" applyBorder="1" applyAlignment="1" applyProtection="1">
      <alignment vertical="center"/>
      <protection locked="0"/>
    </xf>
    <xf numFmtId="164" fontId="14" fillId="0" borderId="33" xfId="43" applyNumberFormat="1" applyFont="1" applyBorder="1" applyAlignment="1" applyProtection="1">
      <alignment vertical="center"/>
      <protection locked="0"/>
    </xf>
    <xf numFmtId="164" fontId="14" fillId="16" borderId="13" xfId="5" applyNumberFormat="1" applyFont="1" applyFill="1" applyBorder="1" applyAlignment="1">
      <alignment vertical="center"/>
    </xf>
    <xf numFmtId="164" fontId="14" fillId="11" borderId="13" xfId="4" applyNumberFormat="1" applyFont="1" applyFill="1" applyBorder="1" applyAlignment="1">
      <alignment horizontal="center" vertical="center"/>
    </xf>
    <xf numFmtId="164" fontId="14" fillId="11" borderId="13" xfId="5" applyNumberFormat="1" applyFont="1" applyFill="1" applyBorder="1" applyAlignment="1">
      <alignment horizontal="right"/>
    </xf>
    <xf numFmtId="180" fontId="14" fillId="10" borderId="13" xfId="4" applyNumberFormat="1" applyFont="1" applyFill="1" applyBorder="1" applyAlignment="1" applyProtection="1">
      <alignment horizontal="right" vertical="center"/>
      <protection locked="0"/>
    </xf>
    <xf numFmtId="180" fontId="14" fillId="11" borderId="13" xfId="4" applyNumberFormat="1" applyFont="1" applyFill="1" applyBorder="1" applyAlignment="1" applyProtection="1">
      <alignment horizontal="right" vertical="center"/>
      <protection locked="0"/>
    </xf>
    <xf numFmtId="180" fontId="14" fillId="7" borderId="13" xfId="4" applyNumberFormat="1" applyFont="1" applyFill="1" applyBorder="1" applyAlignment="1" applyProtection="1">
      <alignment horizontal="right" vertical="center"/>
      <protection locked="0"/>
    </xf>
    <xf numFmtId="180" fontId="14" fillId="24" borderId="13" xfId="4" applyNumberFormat="1" applyFont="1" applyFill="1" applyBorder="1" applyAlignment="1" applyProtection="1">
      <alignment horizontal="right" vertical="center"/>
      <protection locked="0"/>
    </xf>
    <xf numFmtId="180" fontId="14" fillId="11" borderId="13" xfId="4" applyNumberFormat="1" applyFont="1" applyFill="1" applyBorder="1" applyAlignment="1">
      <alignment horizontal="center"/>
    </xf>
    <xf numFmtId="0" fontId="6" fillId="0" borderId="0" xfId="6" applyFont="1" applyAlignment="1">
      <alignment horizontal="left" vertical="center" shrinkToFit="1"/>
    </xf>
    <xf numFmtId="0" fontId="14" fillId="13" borderId="5" xfId="6" applyFont="1" applyFill="1" applyBorder="1" applyAlignment="1">
      <alignment horizontal="center" vertical="center"/>
    </xf>
    <xf numFmtId="0" fontId="14" fillId="13" borderId="5" xfId="6" applyFont="1" applyFill="1" applyBorder="1" applyAlignment="1">
      <alignment horizontal="left" vertical="center"/>
    </xf>
    <xf numFmtId="0" fontId="20" fillId="11" borderId="13" xfId="0" applyFont="1" applyFill="1" applyBorder="1" applyAlignment="1">
      <alignment vertical="center" wrapText="1"/>
    </xf>
    <xf numFmtId="0" fontId="20" fillId="11" borderId="13" xfId="0" applyFont="1" applyFill="1" applyBorder="1" applyAlignment="1">
      <alignment vertical="top" wrapText="1"/>
    </xf>
    <xf numFmtId="49" fontId="3" fillId="7" borderId="13" xfId="6" applyNumberFormat="1" applyFont="1" applyFill="1" applyBorder="1" applyAlignment="1">
      <alignment horizontal="center" vertical="top"/>
    </xf>
    <xf numFmtId="0" fontId="14" fillId="7" borderId="13" xfId="0" applyFont="1" applyFill="1" applyBorder="1" applyAlignment="1">
      <alignment horizontal="left" vertical="top" wrapText="1"/>
    </xf>
    <xf numFmtId="4" fontId="3" fillId="7" borderId="13" xfId="6" applyNumberFormat="1" applyFont="1" applyFill="1" applyBorder="1" applyAlignment="1">
      <alignment horizontal="right" vertical="top" wrapText="1"/>
    </xf>
    <xf numFmtId="167" fontId="4" fillId="7" borderId="13" xfId="6" applyNumberFormat="1" applyFont="1" applyFill="1" applyBorder="1" applyAlignment="1">
      <alignment horizontal="right" vertical="top"/>
    </xf>
    <xf numFmtId="0" fontId="13" fillId="7" borderId="13" xfId="0" applyFont="1" applyFill="1" applyBorder="1" applyAlignment="1">
      <alignment horizontal="left" vertical="center" wrapText="1"/>
    </xf>
    <xf numFmtId="164" fontId="3" fillId="7" borderId="13" xfId="6" applyNumberFormat="1" applyFont="1" applyFill="1" applyBorder="1" applyAlignment="1">
      <alignment horizontal="right" vertical="top"/>
    </xf>
    <xf numFmtId="0" fontId="16" fillId="0" borderId="0" xfId="6" applyBorder="1"/>
    <xf numFmtId="179" fontId="127" fillId="28" borderId="14" xfId="6" applyNumberFormat="1" applyFont="1" applyFill="1" applyBorder="1" applyAlignment="1">
      <alignment horizontal="center" vertical="top" wrapText="1"/>
    </xf>
    <xf numFmtId="179" fontId="3" fillId="0" borderId="14" xfId="6" applyNumberFormat="1" applyFont="1" applyBorder="1" applyAlignment="1">
      <alignment horizontal="center" vertical="top" wrapText="1"/>
    </xf>
    <xf numFmtId="0" fontId="13" fillId="29" borderId="9" xfId="3" applyFont="1" applyFill="1" applyBorder="1" applyAlignment="1">
      <alignment horizontal="center" vertical="center"/>
    </xf>
    <xf numFmtId="0" fontId="13" fillId="29" borderId="11" xfId="3" applyFont="1" applyFill="1" applyBorder="1" applyAlignment="1">
      <alignment horizontal="center" vertical="center"/>
    </xf>
    <xf numFmtId="0" fontId="5" fillId="0" borderId="14" xfId="6" applyFont="1" applyBorder="1" applyAlignment="1">
      <alignment horizontal="center" vertical="top"/>
    </xf>
    <xf numFmtId="174" fontId="4" fillId="0" borderId="14" xfId="6" applyNumberFormat="1" applyFont="1" applyBorder="1" applyAlignment="1">
      <alignment horizontal="center" vertical="center"/>
    </xf>
    <xf numFmtId="166" fontId="4" fillId="5" borderId="15" xfId="6" applyNumberFormat="1" applyFont="1" applyFill="1" applyBorder="1" applyAlignment="1">
      <alignment horizontal="center" vertical="center"/>
    </xf>
    <xf numFmtId="174" fontId="4" fillId="8" borderId="35" xfId="6" applyNumberFormat="1" applyFont="1" applyFill="1" applyBorder="1" applyAlignment="1">
      <alignment horizontal="center" vertical="center"/>
    </xf>
    <xf numFmtId="179" fontId="5" fillId="0" borderId="14" xfId="6" applyNumberFormat="1" applyFont="1" applyBorder="1" applyAlignment="1">
      <alignment horizontal="center" vertical="top" wrapText="1"/>
    </xf>
    <xf numFmtId="179" fontId="8" fillId="0" borderId="13" xfId="6" applyNumberFormat="1" applyFont="1" applyBorder="1" applyAlignment="1">
      <alignment horizontal="center" vertical="top" wrapText="1"/>
    </xf>
    <xf numFmtId="174" fontId="4" fillId="5" borderId="13" xfId="6" applyNumberFormat="1" applyFont="1" applyFill="1" applyBorder="1" applyAlignment="1">
      <alignment horizontal="center" vertical="top"/>
    </xf>
    <xf numFmtId="175" fontId="3" fillId="0" borderId="13" xfId="6" applyNumberFormat="1" applyFont="1" applyBorder="1" applyAlignment="1">
      <alignment horizontal="center" vertical="top" wrapText="1"/>
    </xf>
    <xf numFmtId="179" fontId="3" fillId="0" borderId="13" xfId="6" applyNumberFormat="1" applyFont="1" applyBorder="1" applyAlignment="1">
      <alignment horizontal="center" vertical="top" wrapText="1"/>
    </xf>
    <xf numFmtId="0" fontId="16" fillId="0" borderId="5" xfId="6" applyBorder="1" applyAlignment="1">
      <alignment horizontal="center" vertical="top" wrapText="1"/>
    </xf>
    <xf numFmtId="49" fontId="4" fillId="5" borderId="13" xfId="6" applyNumberFormat="1" applyFont="1" applyFill="1" applyBorder="1" applyAlignment="1">
      <alignment horizontal="center" vertical="top"/>
    </xf>
    <xf numFmtId="179" fontId="4" fillId="5" borderId="13" xfId="6" applyNumberFormat="1" applyFont="1" applyFill="1" applyBorder="1" applyAlignment="1">
      <alignment horizontal="center" vertical="top"/>
    </xf>
    <xf numFmtId="179" fontId="3" fillId="0" borderId="13" xfId="6" applyNumberFormat="1" applyFont="1" applyBorder="1" applyAlignment="1" applyProtection="1">
      <alignment horizontal="center" vertical="top" wrapText="1"/>
      <protection locked="0"/>
    </xf>
    <xf numFmtId="0" fontId="13" fillId="30" borderId="9" xfId="3" applyFont="1" applyFill="1" applyBorder="1" applyAlignment="1">
      <alignment horizontal="center" vertical="center"/>
    </xf>
    <xf numFmtId="0" fontId="13" fillId="30" borderId="11" xfId="3" applyFont="1" applyFill="1" applyBorder="1" applyAlignment="1">
      <alignment horizontal="center" vertical="center"/>
    </xf>
    <xf numFmtId="167" fontId="3" fillId="7" borderId="13" xfId="6" applyNumberFormat="1" applyFont="1" applyFill="1" applyBorder="1" applyAlignment="1">
      <alignment horizontal="center" vertical="top" wrapText="1"/>
    </xf>
    <xf numFmtId="164" fontId="3" fillId="7" borderId="13" xfId="6" applyNumberFormat="1" applyFont="1" applyFill="1" applyBorder="1" applyAlignment="1">
      <alignment horizontal="center" vertical="top" wrapText="1"/>
    </xf>
    <xf numFmtId="164" fontId="3" fillId="0" borderId="13" xfId="6" applyNumberFormat="1" applyFont="1" applyBorder="1" applyAlignment="1">
      <alignment horizontal="center" vertical="top" wrapText="1"/>
    </xf>
    <xf numFmtId="164" fontId="3" fillId="0" borderId="13" xfId="3" applyNumberFormat="1" applyBorder="1" applyAlignment="1">
      <alignment horizontal="center" vertical="top" wrapText="1"/>
    </xf>
    <xf numFmtId="164" fontId="127" fillId="0" borderId="13" xfId="6" applyNumberFormat="1" applyFont="1" applyBorder="1" applyAlignment="1">
      <alignment horizontal="center" vertical="top" wrapText="1"/>
    </xf>
    <xf numFmtId="164" fontId="4" fillId="5" borderId="13" xfId="6" applyNumberFormat="1" applyFont="1" applyFill="1" applyBorder="1" applyAlignment="1">
      <alignment horizontal="center" vertical="top"/>
    </xf>
    <xf numFmtId="164" fontId="6" fillId="0" borderId="13" xfId="6" applyNumberFormat="1" applyFont="1" applyBorder="1" applyAlignment="1">
      <alignment horizontal="center" vertical="top"/>
    </xf>
    <xf numFmtId="164" fontId="3" fillId="0" borderId="13" xfId="6" applyNumberFormat="1" applyFont="1" applyBorder="1" applyAlignment="1" applyProtection="1">
      <alignment horizontal="center" vertical="top" wrapText="1"/>
      <protection locked="0"/>
    </xf>
    <xf numFmtId="164" fontId="3" fillId="23" borderId="13" xfId="6" applyNumberFormat="1" applyFont="1" applyFill="1" applyBorder="1" applyAlignment="1">
      <alignment horizontal="center" vertical="top" wrapText="1"/>
    </xf>
    <xf numFmtId="164" fontId="3" fillId="0" borderId="14" xfId="6" applyNumberFormat="1" applyFont="1" applyBorder="1" applyAlignment="1">
      <alignment horizontal="center" vertical="top" wrapText="1"/>
    </xf>
    <xf numFmtId="164" fontId="6" fillId="0" borderId="14" xfId="6" applyNumberFormat="1" applyFont="1" applyBorder="1" applyAlignment="1">
      <alignment horizontal="center" vertical="top"/>
    </xf>
    <xf numFmtId="179" fontId="3" fillId="0" borderId="0" xfId="6" applyNumberFormat="1" applyFont="1" applyAlignment="1">
      <alignment horizontal="center" vertical="top" wrapText="1"/>
    </xf>
    <xf numFmtId="0" fontId="20" fillId="0" borderId="13" xfId="6" applyFont="1" applyFill="1" applyBorder="1" applyAlignment="1">
      <alignment vertical="top" wrapText="1"/>
    </xf>
    <xf numFmtId="0" fontId="20" fillId="0" borderId="13" xfId="6" applyFont="1" applyFill="1" applyBorder="1" applyAlignment="1">
      <alignment vertical="center" wrapText="1"/>
    </xf>
    <xf numFmtId="49" fontId="3" fillId="0" borderId="4" xfId="6" applyNumberFormat="1" applyFont="1" applyBorder="1" applyAlignment="1">
      <alignment horizontal="center" vertical="top"/>
    </xf>
    <xf numFmtId="49" fontId="3" fillId="0" borderId="6" xfId="3" applyNumberFormat="1" applyBorder="1" applyAlignment="1">
      <alignment horizontal="center" vertical="top"/>
    </xf>
    <xf numFmtId="0" fontId="20" fillId="9" borderId="12" xfId="6" applyFont="1" applyFill="1" applyBorder="1" applyAlignment="1">
      <alignment vertical="center" wrapText="1"/>
    </xf>
    <xf numFmtId="0" fontId="20" fillId="10" borderId="13" xfId="0" applyFont="1" applyFill="1" applyBorder="1" applyAlignment="1">
      <alignment vertical="center" wrapText="1"/>
    </xf>
    <xf numFmtId="164" fontId="13" fillId="0" borderId="13" xfId="14" applyFont="1" applyFill="1" applyBorder="1" applyAlignment="1" applyProtection="1">
      <alignment vertical="center"/>
      <protection locked="0"/>
    </xf>
    <xf numFmtId="164" fontId="13" fillId="0" borderId="13" xfId="14" applyFont="1" applyFill="1" applyBorder="1" applyAlignment="1">
      <alignment vertical="center"/>
    </xf>
    <xf numFmtId="164" fontId="12" fillId="0" borderId="0" xfId="14" applyFont="1" applyAlignment="1"/>
    <xf numFmtId="164" fontId="12" fillId="0" borderId="0" xfId="14" applyFont="1" applyFill="1" applyAlignment="1"/>
    <xf numFmtId="0" fontId="20" fillId="0" borderId="13" xfId="0" applyFont="1" applyBorder="1" applyAlignment="1">
      <alignment vertical="top" wrapText="1"/>
    </xf>
    <xf numFmtId="0" fontId="3" fillId="0" borderId="13" xfId="9" applyFont="1" applyBorder="1" applyAlignment="1">
      <alignment horizontal="center" vertical="center" wrapText="1"/>
    </xf>
    <xf numFmtId="49" fontId="3" fillId="0" borderId="13" xfId="2" applyNumberFormat="1" applyFont="1" applyBorder="1" applyAlignment="1">
      <alignment horizontal="center" vertical="center"/>
    </xf>
    <xf numFmtId="0" fontId="4" fillId="0" borderId="13" xfId="6" applyFont="1" applyBorder="1" applyAlignment="1">
      <alignment vertical="top" wrapText="1"/>
    </xf>
    <xf numFmtId="0" fontId="20" fillId="9" borderId="13" xfId="0" applyFont="1" applyFill="1" applyBorder="1" applyAlignment="1">
      <alignment vertical="top" wrapText="1"/>
    </xf>
    <xf numFmtId="0" fontId="20" fillId="10" borderId="13" xfId="0" applyFont="1" applyFill="1" applyBorder="1" applyAlignment="1">
      <alignment vertical="top" wrapText="1"/>
    </xf>
    <xf numFmtId="0" fontId="12" fillId="11" borderId="13" xfId="2" applyFont="1" applyFill="1" applyBorder="1" applyAlignment="1">
      <alignment horizontal="center" vertical="top"/>
    </xf>
    <xf numFmtId="165" fontId="12" fillId="11" borderId="13" xfId="4" applyNumberFormat="1" applyFont="1" applyFill="1" applyBorder="1" applyAlignment="1">
      <alignment vertical="center"/>
    </xf>
    <xf numFmtId="164" fontId="13" fillId="11" borderId="13" xfId="14" applyFont="1" applyFill="1" applyBorder="1" applyAlignment="1" applyProtection="1">
      <alignment vertical="center"/>
      <protection locked="0"/>
    </xf>
    <xf numFmtId="164" fontId="13" fillId="11" borderId="13" xfId="14" applyFont="1" applyFill="1" applyBorder="1" applyAlignment="1">
      <alignment vertical="center"/>
    </xf>
    <xf numFmtId="165" fontId="13" fillId="11" borderId="13" xfId="4" applyNumberFormat="1" applyFont="1" applyFill="1" applyBorder="1" applyAlignment="1">
      <alignment vertical="center"/>
    </xf>
    <xf numFmtId="0" fontId="13" fillId="11" borderId="13" xfId="2" applyFont="1" applyFill="1" applyBorder="1" applyAlignment="1">
      <alignment horizontal="center" vertical="center" wrapText="1"/>
    </xf>
    <xf numFmtId="0" fontId="13" fillId="11" borderId="13" xfId="7" applyFont="1" applyFill="1" applyBorder="1" applyAlignment="1">
      <alignment horizontal="center" vertical="center" wrapText="1"/>
    </xf>
    <xf numFmtId="165" fontId="13" fillId="11" borderId="13" xfId="4" applyNumberFormat="1" applyFont="1" applyFill="1" applyBorder="1" applyAlignment="1">
      <alignment vertical="center" wrapText="1"/>
    </xf>
    <xf numFmtId="0" fontId="13" fillId="11" borderId="13" xfId="3" applyFont="1" applyFill="1" applyBorder="1" applyAlignment="1">
      <alignment vertical="center" wrapText="1"/>
    </xf>
    <xf numFmtId="49" fontId="16" fillId="11" borderId="13" xfId="6" applyNumberFormat="1" applyFill="1" applyBorder="1" applyAlignment="1">
      <alignment horizontal="left" vertical="top"/>
    </xf>
    <xf numFmtId="165" fontId="3" fillId="11" borderId="13" xfId="4" applyNumberFormat="1" applyFont="1" applyFill="1" applyBorder="1" applyAlignment="1">
      <alignment horizontal="right" vertical="center"/>
    </xf>
    <xf numFmtId="0" fontId="21" fillId="11" borderId="13" xfId="6" applyFont="1" applyFill="1" applyBorder="1" applyAlignment="1">
      <alignment vertical="center" wrapText="1"/>
    </xf>
    <xf numFmtId="0" fontId="66" fillId="11" borderId="13" xfId="6" applyFont="1" applyFill="1" applyBorder="1" applyAlignment="1">
      <alignment vertical="center" wrapText="1"/>
    </xf>
    <xf numFmtId="0" fontId="20" fillId="9" borderId="13" xfId="0" applyFont="1" applyFill="1" applyBorder="1" applyAlignment="1">
      <alignment vertical="center" wrapText="1"/>
    </xf>
    <xf numFmtId="164" fontId="13" fillId="9" borderId="13" xfId="14" applyFont="1" applyFill="1" applyBorder="1" applyAlignment="1" applyProtection="1">
      <alignment vertical="center"/>
      <protection locked="0"/>
    </xf>
    <xf numFmtId="164" fontId="13" fillId="9" borderId="13" xfId="14" applyFont="1" applyFill="1" applyBorder="1" applyAlignment="1">
      <alignment vertical="center"/>
    </xf>
    <xf numFmtId="164" fontId="12" fillId="0" borderId="0" xfId="14" applyFont="1" applyAlignment="1">
      <alignment vertical="center"/>
    </xf>
    <xf numFmtId="0" fontId="13" fillId="0" borderId="0" xfId="12" applyFont="1" applyAlignment="1">
      <alignment vertical="center" wrapText="1"/>
    </xf>
    <xf numFmtId="0" fontId="15" fillId="0" borderId="0" xfId="9" applyFont="1" applyAlignment="1">
      <alignment vertical="center" wrapText="1"/>
    </xf>
    <xf numFmtId="0" fontId="13" fillId="0" borderId="13" xfId="12" applyFont="1" applyBorder="1" applyAlignment="1">
      <alignment vertical="center" wrapText="1"/>
    </xf>
    <xf numFmtId="0" fontId="13" fillId="11" borderId="13" xfId="2" applyFont="1" applyFill="1" applyBorder="1" applyAlignment="1">
      <alignment horizontal="justify" vertical="center" wrapText="1"/>
    </xf>
    <xf numFmtId="0" fontId="13" fillId="11" borderId="13" xfId="2" applyFont="1" applyFill="1" applyBorder="1" applyAlignment="1">
      <alignment horizontal="left" vertical="center" wrapText="1"/>
    </xf>
    <xf numFmtId="0" fontId="12" fillId="0" borderId="13" xfId="9" applyFont="1" applyBorder="1" applyAlignment="1">
      <alignment horizontal="justify" vertical="center" wrapText="1"/>
    </xf>
    <xf numFmtId="0" fontId="12" fillId="0" borderId="0" xfId="9" applyFont="1" applyAlignment="1">
      <alignment vertical="center" wrapText="1"/>
    </xf>
    <xf numFmtId="0" fontId="17" fillId="16" borderId="13" xfId="12" applyFont="1" applyFill="1" applyBorder="1" applyAlignment="1">
      <alignment vertical="center" wrapText="1"/>
    </xf>
    <xf numFmtId="0" fontId="32" fillId="0" borderId="13" xfId="9" applyFont="1" applyBorder="1" applyAlignment="1">
      <alignment horizontal="justify" vertical="center" wrapText="1"/>
    </xf>
    <xf numFmtId="0" fontId="21" fillId="0" borderId="13" xfId="6" applyFont="1" applyBorder="1" applyAlignment="1">
      <alignment horizontal="justify" vertical="center"/>
    </xf>
    <xf numFmtId="0" fontId="12" fillId="0" borderId="13" xfId="9" applyFont="1" applyBorder="1" applyAlignment="1">
      <alignment horizontal="center" vertical="center" wrapText="1"/>
    </xf>
    <xf numFmtId="0" fontId="12" fillId="0" borderId="13" xfId="9" applyFont="1" applyBorder="1" applyAlignment="1">
      <alignment vertical="center" wrapText="1"/>
    </xf>
    <xf numFmtId="0" fontId="12" fillId="0" borderId="13" xfId="7" applyFont="1" applyBorder="1" applyAlignment="1">
      <alignment horizontal="justify" vertical="center" wrapText="1"/>
    </xf>
    <xf numFmtId="0" fontId="12" fillId="0" borderId="13" xfId="7" applyFont="1" applyBorder="1" applyAlignment="1">
      <alignment vertical="center" wrapText="1"/>
    </xf>
    <xf numFmtId="0" fontId="36" fillId="0" borderId="13" xfId="6" applyFont="1" applyBorder="1" applyAlignment="1">
      <alignment horizontal="left" vertical="center" wrapText="1"/>
    </xf>
    <xf numFmtId="167" fontId="36" fillId="0" borderId="13" xfId="13" applyFont="1" applyBorder="1" applyAlignment="1">
      <alignment horizontal="left" vertical="center"/>
    </xf>
    <xf numFmtId="0" fontId="32" fillId="0" borderId="13" xfId="6" applyFont="1" applyBorder="1" applyAlignment="1">
      <alignment horizontal="justify" vertical="center"/>
    </xf>
    <xf numFmtId="0" fontId="15" fillId="0" borderId="13" xfId="9" applyFont="1" applyBorder="1" applyAlignment="1">
      <alignment vertical="center" wrapText="1"/>
    </xf>
    <xf numFmtId="0" fontId="17" fillId="16" borderId="13" xfId="12" applyFont="1" applyFill="1" applyBorder="1" applyAlignment="1">
      <alignment horizontal="justify" vertical="center" wrapText="1"/>
    </xf>
    <xf numFmtId="0" fontId="86" fillId="0" borderId="13" xfId="7" applyFont="1" applyBorder="1" applyAlignment="1">
      <alignment vertical="center" wrapText="1"/>
    </xf>
    <xf numFmtId="0" fontId="15" fillId="0" borderId="13" xfId="7" applyFont="1" applyBorder="1" applyAlignment="1">
      <alignment horizontal="left" vertical="center" wrapText="1"/>
    </xf>
    <xf numFmtId="0" fontId="4" fillId="11" borderId="13" xfId="6" applyFont="1" applyFill="1" applyBorder="1" applyAlignment="1">
      <alignment vertical="center" wrapText="1"/>
    </xf>
    <xf numFmtId="0" fontId="3" fillId="11" borderId="13" xfId="6" applyFont="1" applyFill="1" applyBorder="1" applyAlignment="1">
      <alignment vertical="center"/>
    </xf>
    <xf numFmtId="0" fontId="11" fillId="11" borderId="13" xfId="6" applyFont="1" applyFill="1" applyBorder="1" applyAlignment="1">
      <alignment vertical="center" wrapText="1"/>
    </xf>
    <xf numFmtId="0" fontId="11" fillId="0" borderId="13" xfId="6" applyFont="1" applyBorder="1" applyAlignment="1">
      <alignment vertical="center" wrapText="1"/>
    </xf>
    <xf numFmtId="0" fontId="37" fillId="0" borderId="13" xfId="6" applyFont="1" applyBorder="1" applyAlignment="1">
      <alignment vertical="center" wrapText="1"/>
    </xf>
    <xf numFmtId="0" fontId="39" fillId="0" borderId="13" xfId="6" applyFont="1" applyBorder="1" applyAlignment="1">
      <alignment vertical="center" wrapText="1"/>
    </xf>
    <xf numFmtId="0" fontId="3" fillId="0" borderId="13" xfId="12" applyBorder="1" applyAlignment="1">
      <alignment vertical="center" wrapText="1"/>
    </xf>
    <xf numFmtId="0" fontId="3" fillId="11" borderId="13" xfId="12" applyFill="1" applyBorder="1" applyAlignment="1">
      <alignment vertical="center" wrapText="1"/>
    </xf>
    <xf numFmtId="0" fontId="4" fillId="0" borderId="13" xfId="12" applyFont="1" applyBorder="1" applyAlignment="1">
      <alignment vertical="center" wrapText="1"/>
    </xf>
    <xf numFmtId="0" fontId="15" fillId="0" borderId="8" xfId="9" applyFont="1" applyBorder="1" applyAlignment="1">
      <alignment vertical="center" wrapText="1"/>
    </xf>
    <xf numFmtId="0" fontId="3" fillId="0" borderId="13" xfId="6" applyFont="1" applyBorder="1" applyAlignment="1">
      <alignment horizontal="justify" vertical="center" readingOrder="1"/>
    </xf>
    <xf numFmtId="0" fontId="16" fillId="0" borderId="26" xfId="6" applyBorder="1" applyAlignment="1">
      <alignment horizontal="justify" vertical="center" wrapText="1" readingOrder="1"/>
    </xf>
    <xf numFmtId="0" fontId="3" fillId="0" borderId="13" xfId="6" applyFont="1" applyBorder="1" applyAlignment="1">
      <alignment horizontal="justify" vertical="center"/>
    </xf>
    <xf numFmtId="0" fontId="10" fillId="0" borderId="0" xfId="6" applyFont="1" applyAlignment="1">
      <alignment horizontal="justify" vertical="center"/>
    </xf>
    <xf numFmtId="0" fontId="10" fillId="0" borderId="0" xfId="3" applyFont="1" applyAlignment="1">
      <alignment horizontal="justify" vertical="center"/>
    </xf>
    <xf numFmtId="0" fontId="16" fillId="0" borderId="0" xfId="6" applyAlignment="1">
      <alignment horizontal="justify" vertical="center" wrapText="1" readingOrder="1"/>
    </xf>
    <xf numFmtId="0" fontId="25" fillId="9" borderId="13" xfId="0" applyFont="1" applyFill="1" applyBorder="1" applyAlignment="1">
      <alignment vertical="top" wrapText="1"/>
    </xf>
    <xf numFmtId="164" fontId="13" fillId="10" borderId="13" xfId="14" applyFont="1" applyFill="1" applyBorder="1" applyAlignment="1" applyProtection="1">
      <alignment horizontal="right" vertical="center"/>
      <protection locked="0"/>
    </xf>
    <xf numFmtId="164" fontId="13" fillId="10" borderId="13" xfId="14" applyFont="1" applyFill="1" applyBorder="1" applyAlignment="1">
      <alignment vertical="center"/>
    </xf>
    <xf numFmtId="164" fontId="13" fillId="11" borderId="13" xfId="14" applyFont="1" applyFill="1" applyBorder="1" applyAlignment="1" applyProtection="1">
      <alignment horizontal="right" vertical="center"/>
      <protection locked="0"/>
    </xf>
    <xf numFmtId="0" fontId="13" fillId="11" borderId="13" xfId="7" applyFont="1" applyFill="1" applyBorder="1" applyAlignment="1">
      <alignment vertical="center" wrapText="1"/>
    </xf>
    <xf numFmtId="0" fontId="13" fillId="11" borderId="13" xfId="7" applyFont="1" applyFill="1" applyBorder="1" applyAlignment="1">
      <alignment horizontal="center" vertical="center"/>
    </xf>
    <xf numFmtId="0" fontId="13" fillId="11" borderId="13" xfId="7" applyFont="1" applyFill="1" applyBorder="1" applyAlignment="1">
      <alignment wrapText="1"/>
    </xf>
    <xf numFmtId="0" fontId="13" fillId="11" borderId="13" xfId="7" applyFont="1" applyFill="1" applyBorder="1" applyAlignment="1">
      <alignment horizontal="justify" vertical="top" wrapText="1"/>
    </xf>
    <xf numFmtId="164" fontId="3" fillId="0" borderId="13" xfId="6" applyNumberFormat="1" applyFont="1" applyBorder="1" applyAlignment="1">
      <alignment vertical="center"/>
    </xf>
    <xf numFmtId="164" fontId="13" fillId="7" borderId="13" xfId="14" applyFont="1" applyFill="1" applyBorder="1" applyAlignment="1" applyProtection="1">
      <alignment horizontal="right" vertical="center"/>
      <protection locked="0"/>
    </xf>
    <xf numFmtId="164" fontId="13" fillId="7" borderId="13" xfId="14" applyFont="1" applyFill="1" applyBorder="1" applyAlignment="1">
      <alignment vertical="center"/>
    </xf>
    <xf numFmtId="0" fontId="20" fillId="7" borderId="13" xfId="0" applyFont="1" applyFill="1" applyBorder="1" applyAlignment="1">
      <alignment vertical="center" wrapText="1"/>
    </xf>
    <xf numFmtId="0" fontId="20" fillId="7" borderId="13" xfId="0" applyFont="1" applyFill="1" applyBorder="1" applyAlignment="1">
      <alignment vertical="top" wrapText="1"/>
    </xf>
    <xf numFmtId="0" fontId="14" fillId="0" borderId="0" xfId="12" applyFont="1" applyAlignment="1">
      <alignment vertical="center" wrapText="1"/>
    </xf>
    <xf numFmtId="0" fontId="13" fillId="0" borderId="13" xfId="12" applyFont="1" applyBorder="1" applyAlignment="1">
      <alignment horizontal="left" vertical="center" wrapText="1"/>
    </xf>
    <xf numFmtId="0" fontId="13" fillId="0" borderId="13" xfId="7" applyFont="1" applyBorder="1" applyAlignment="1">
      <alignment horizontal="left" vertical="center" wrapText="1"/>
    </xf>
    <xf numFmtId="0" fontId="14" fillId="0" borderId="13" xfId="6" applyFont="1" applyBorder="1" applyAlignment="1">
      <alignment horizontal="left" vertical="center" wrapText="1"/>
    </xf>
    <xf numFmtId="0" fontId="14" fillId="0" borderId="13" xfId="7" applyFont="1" applyBorder="1" applyAlignment="1">
      <alignment horizontal="justify" vertical="center" wrapText="1"/>
    </xf>
    <xf numFmtId="0" fontId="14" fillId="0" borderId="13" xfId="7" applyFont="1" applyBorder="1" applyAlignment="1">
      <alignment horizontal="left" vertical="center" wrapText="1"/>
    </xf>
    <xf numFmtId="0" fontId="14" fillId="0" borderId="13" xfId="12" applyFont="1" applyBorder="1" applyAlignment="1">
      <alignment vertical="center" wrapText="1"/>
    </xf>
    <xf numFmtId="0" fontId="25" fillId="18" borderId="13" xfId="6" applyFont="1" applyFill="1" applyBorder="1" applyAlignment="1">
      <alignment vertical="center" wrapText="1"/>
    </xf>
    <xf numFmtId="0" fontId="14" fillId="7" borderId="13" xfId="12" applyFont="1" applyFill="1" applyBorder="1" applyAlignment="1">
      <alignment vertical="center" wrapText="1"/>
    </xf>
    <xf numFmtId="0" fontId="13" fillId="7" borderId="13" xfId="12" applyFont="1" applyFill="1" applyBorder="1" applyAlignment="1">
      <alignment vertical="center"/>
    </xf>
    <xf numFmtId="167" fontId="13" fillId="7" borderId="13" xfId="13" applyFont="1" applyFill="1" applyBorder="1" applyAlignment="1" applyProtection="1">
      <alignment horizontal="right" vertical="center"/>
      <protection locked="0"/>
    </xf>
    <xf numFmtId="167" fontId="13" fillId="7" borderId="13" xfId="13" applyFont="1" applyFill="1" applyBorder="1" applyAlignment="1">
      <alignment vertical="center"/>
    </xf>
    <xf numFmtId="0" fontId="13" fillId="7" borderId="13" xfId="12" applyFont="1" applyFill="1" applyBorder="1" applyAlignment="1">
      <alignment vertical="center" wrapText="1"/>
    </xf>
    <xf numFmtId="0" fontId="13" fillId="9" borderId="13" xfId="12" applyFont="1" applyFill="1" applyBorder="1" applyAlignment="1">
      <alignment vertical="center"/>
    </xf>
    <xf numFmtId="167" fontId="13" fillId="9" borderId="13" xfId="13" applyFont="1" applyFill="1" applyBorder="1" applyAlignment="1">
      <alignment vertical="center"/>
    </xf>
    <xf numFmtId="0" fontId="14" fillId="34" borderId="13" xfId="12" applyFont="1" applyFill="1" applyBorder="1" applyAlignment="1">
      <alignment vertical="center" wrapText="1"/>
    </xf>
    <xf numFmtId="0" fontId="13" fillId="34" borderId="13" xfId="12" applyFont="1" applyFill="1" applyBorder="1" applyAlignment="1">
      <alignment vertical="center"/>
    </xf>
    <xf numFmtId="165" fontId="13" fillId="34" borderId="13" xfId="4" applyNumberFormat="1" applyFont="1" applyFill="1" applyBorder="1" applyAlignment="1">
      <alignment horizontal="right" vertical="center"/>
    </xf>
    <xf numFmtId="4" fontId="13" fillId="34" borderId="13" xfId="4" applyNumberFormat="1" applyFont="1" applyFill="1" applyBorder="1" applyAlignment="1" applyProtection="1">
      <alignment horizontal="right" vertical="center"/>
      <protection locked="0"/>
    </xf>
    <xf numFmtId="4" fontId="13" fillId="34" borderId="13" xfId="4" applyNumberFormat="1" applyFont="1" applyFill="1" applyBorder="1" applyAlignment="1">
      <alignment vertical="center"/>
    </xf>
    <xf numFmtId="0" fontId="13" fillId="34" borderId="13" xfId="12" applyFont="1" applyFill="1" applyBorder="1" applyAlignment="1">
      <alignment vertical="center" wrapText="1"/>
    </xf>
    <xf numFmtId="167" fontId="13" fillId="34" borderId="13" xfId="13" applyFont="1" applyFill="1" applyBorder="1" applyAlignment="1" applyProtection="1">
      <alignment horizontal="right" vertical="center"/>
      <protection locked="0"/>
    </xf>
    <xf numFmtId="167" fontId="13" fillId="34" borderId="13" xfId="13" applyFont="1" applyFill="1" applyBorder="1" applyAlignment="1">
      <alignment vertical="center"/>
    </xf>
    <xf numFmtId="0" fontId="20" fillId="34" borderId="13" xfId="6" applyFont="1" applyFill="1" applyBorder="1" applyAlignment="1">
      <alignment vertical="center" wrapText="1"/>
    </xf>
    <xf numFmtId="0" fontId="3" fillId="0" borderId="13" xfId="6" applyFont="1" applyBorder="1" applyAlignment="1">
      <alignment horizontal="left" vertical="center"/>
    </xf>
    <xf numFmtId="173" fontId="3" fillId="0" borderId="13" xfId="6" applyNumberFormat="1" applyFont="1" applyBorder="1" applyAlignment="1">
      <alignment horizontal="left" vertical="center"/>
    </xf>
    <xf numFmtId="164" fontId="3" fillId="0" borderId="13" xfId="6" applyNumberFormat="1" applyFont="1" applyBorder="1" applyAlignment="1">
      <alignment horizontal="left" vertical="center"/>
    </xf>
    <xf numFmtId="0" fontId="12" fillId="11" borderId="13" xfId="2" applyFont="1" applyFill="1" applyBorder="1" applyAlignment="1">
      <alignment horizontal="center" vertical="center"/>
    </xf>
    <xf numFmtId="0" fontId="3" fillId="11" borderId="13" xfId="6" applyFont="1" applyFill="1" applyBorder="1" applyAlignment="1">
      <alignment vertical="center" wrapText="1"/>
    </xf>
    <xf numFmtId="49" fontId="3" fillId="11" borderId="13" xfId="2" applyNumberFormat="1" applyFont="1" applyFill="1" applyBorder="1" applyAlignment="1">
      <alignment horizontal="center" vertical="top"/>
    </xf>
    <xf numFmtId="0" fontId="13" fillId="0" borderId="0" xfId="12" applyFont="1" applyAlignment="1">
      <alignment horizontal="center" vertical="center"/>
    </xf>
    <xf numFmtId="0" fontId="13" fillId="13" borderId="5" xfId="6" applyFont="1" applyFill="1" applyBorder="1" applyAlignment="1">
      <alignment horizontal="center" vertical="center"/>
    </xf>
    <xf numFmtId="0" fontId="13" fillId="14" borderId="8" xfId="3" applyFont="1" applyFill="1" applyBorder="1" applyAlignment="1">
      <alignment horizontal="center" vertical="center"/>
    </xf>
    <xf numFmtId="0" fontId="13" fillId="14" borderId="11" xfId="3" applyFont="1" applyFill="1" applyBorder="1" applyAlignment="1">
      <alignment horizontal="center" vertical="center"/>
    </xf>
    <xf numFmtId="0" fontId="13" fillId="14" borderId="3" xfId="3" applyFont="1" applyFill="1" applyBorder="1" applyAlignment="1">
      <alignment horizontal="center" vertical="center"/>
    </xf>
    <xf numFmtId="0" fontId="13" fillId="16" borderId="5" xfId="6" applyFont="1" applyFill="1" applyBorder="1" applyAlignment="1">
      <alignment horizontal="center" vertical="center"/>
    </xf>
    <xf numFmtId="0" fontId="3" fillId="16" borderId="5" xfId="6" applyFont="1" applyFill="1" applyBorder="1" applyAlignment="1">
      <alignment horizontal="center" vertical="center"/>
    </xf>
    <xf numFmtId="0" fontId="3" fillId="16" borderId="13" xfId="6" applyFont="1" applyFill="1" applyBorder="1" applyAlignment="1">
      <alignment horizontal="center" vertical="center" wrapText="1"/>
    </xf>
    <xf numFmtId="0" fontId="3" fillId="17" borderId="13" xfId="6" applyFont="1" applyFill="1" applyBorder="1" applyAlignment="1">
      <alignment horizontal="center" vertical="center"/>
    </xf>
    <xf numFmtId="0" fontId="3" fillId="0" borderId="13" xfId="12" applyBorder="1" applyAlignment="1">
      <alignment horizontal="center" vertical="center"/>
    </xf>
    <xf numFmtId="0" fontId="3" fillId="11" borderId="13" xfId="12" applyFill="1" applyBorder="1" applyAlignment="1">
      <alignment horizontal="center" vertical="center"/>
    </xf>
    <xf numFmtId="0" fontId="42" fillId="0" borderId="0" xfId="6" applyFont="1" applyAlignment="1">
      <alignment horizontal="center" vertical="center" shrinkToFit="1"/>
    </xf>
    <xf numFmtId="0" fontId="11" fillId="11" borderId="13" xfId="6" applyFont="1" applyFill="1" applyBorder="1" applyAlignment="1">
      <alignment horizontal="center" vertical="center"/>
    </xf>
    <xf numFmtId="4" fontId="11" fillId="11" borderId="13" xfId="13" applyNumberFormat="1" applyFont="1" applyFill="1" applyBorder="1" applyAlignment="1">
      <alignment horizontal="right" vertical="center"/>
    </xf>
    <xf numFmtId="167" fontId="4" fillId="11" borderId="13" xfId="13" applyNumberFormat="1" applyFont="1" applyFill="1" applyBorder="1" applyAlignment="1">
      <alignment horizontal="right" vertical="center"/>
    </xf>
    <xf numFmtId="167" fontId="38" fillId="11" borderId="13" xfId="13" applyNumberFormat="1" applyFont="1" applyFill="1" applyBorder="1" applyAlignment="1">
      <alignment horizontal="right" vertical="center"/>
    </xf>
    <xf numFmtId="49" fontId="16" fillId="9" borderId="13" xfId="6" applyNumberFormat="1" applyFill="1" applyBorder="1" applyAlignment="1">
      <alignment horizontal="left" vertical="top"/>
    </xf>
    <xf numFmtId="0" fontId="66" fillId="9" borderId="13" xfId="6" applyFont="1" applyFill="1" applyBorder="1" applyAlignment="1">
      <alignment vertical="center" wrapText="1"/>
    </xf>
    <xf numFmtId="0" fontId="11" fillId="9" borderId="13" xfId="6" applyFont="1" applyFill="1" applyBorder="1" applyAlignment="1">
      <alignment vertical="center" wrapText="1"/>
    </xf>
    <xf numFmtId="0" fontId="3" fillId="9" borderId="13" xfId="6" applyFont="1" applyFill="1" applyBorder="1" applyAlignment="1">
      <alignment horizontal="left" vertical="center" wrapText="1"/>
    </xf>
    <xf numFmtId="0" fontId="3" fillId="9" borderId="13" xfId="6" applyFont="1" applyFill="1" applyBorder="1" applyAlignment="1">
      <alignment vertical="center"/>
    </xf>
    <xf numFmtId="0" fontId="3" fillId="9" borderId="13" xfId="12" applyFill="1" applyBorder="1" applyAlignment="1">
      <alignment vertical="center" wrapText="1"/>
    </xf>
    <xf numFmtId="0" fontId="21" fillId="9" borderId="13" xfId="6" applyFont="1" applyFill="1" applyBorder="1" applyAlignment="1">
      <alignment vertical="center" wrapText="1"/>
    </xf>
    <xf numFmtId="0" fontId="3" fillId="9" borderId="13" xfId="12" applyFill="1" applyBorder="1" applyAlignment="1">
      <alignment horizontal="center" vertical="center"/>
    </xf>
    <xf numFmtId="165" fontId="3" fillId="9" borderId="13" xfId="4" applyNumberFormat="1" applyFont="1" applyFill="1" applyBorder="1" applyAlignment="1">
      <alignment horizontal="right" vertical="center"/>
    </xf>
    <xf numFmtId="49" fontId="3" fillId="9" borderId="13" xfId="2" applyNumberFormat="1" applyFont="1" applyFill="1" applyBorder="1" applyAlignment="1">
      <alignment horizontal="center" vertical="top"/>
    </xf>
    <xf numFmtId="164" fontId="13" fillId="9" borderId="13" xfId="14" applyFont="1" applyFill="1" applyBorder="1" applyAlignment="1" applyProtection="1">
      <alignment horizontal="right" vertical="center"/>
      <protection locked="0"/>
    </xf>
    <xf numFmtId="0" fontId="12" fillId="9" borderId="13" xfId="2" applyFont="1" applyFill="1" applyBorder="1" applyAlignment="1">
      <alignment horizontal="center" vertical="center"/>
    </xf>
    <xf numFmtId="0" fontId="11" fillId="9" borderId="13" xfId="6" applyFont="1" applyFill="1" applyBorder="1" applyAlignment="1">
      <alignment horizontal="center" vertical="center"/>
    </xf>
    <xf numFmtId="0" fontId="39" fillId="0" borderId="13" xfId="6" applyFont="1" applyBorder="1" applyAlignment="1">
      <alignment horizontal="center" vertical="center"/>
    </xf>
    <xf numFmtId="0" fontId="39" fillId="9" borderId="13" xfId="6" applyFont="1" applyFill="1" applyBorder="1" applyAlignment="1">
      <alignment horizontal="center" vertical="center"/>
    </xf>
    <xf numFmtId="164" fontId="12" fillId="0" borderId="0" xfId="47" applyFont="1" applyAlignment="1"/>
    <xf numFmtId="164" fontId="13" fillId="9" borderId="13" xfId="47" applyFont="1" applyFill="1" applyBorder="1" applyAlignment="1" applyProtection="1">
      <alignment vertical="center"/>
      <protection locked="0"/>
    </xf>
    <xf numFmtId="164" fontId="13" fillId="9" borderId="13" xfId="47" applyFont="1" applyFill="1" applyBorder="1" applyAlignment="1">
      <alignment vertical="center"/>
    </xf>
    <xf numFmtId="164" fontId="12" fillId="0" borderId="0" xfId="47" applyFont="1" applyAlignment="1">
      <alignment vertical="center"/>
    </xf>
    <xf numFmtId="0" fontId="12" fillId="9" borderId="13" xfId="2" applyFont="1" applyFill="1" applyBorder="1" applyAlignment="1">
      <alignment horizontal="center" vertical="top"/>
    </xf>
    <xf numFmtId="0" fontId="13" fillId="11" borderId="13" xfId="2" applyFont="1" applyFill="1" applyBorder="1" applyAlignment="1">
      <alignment vertical="center" wrapText="1"/>
    </xf>
    <xf numFmtId="0" fontId="13" fillId="9" borderId="13" xfId="2" applyFont="1" applyFill="1" applyBorder="1" applyAlignment="1">
      <alignment vertical="center" wrapText="1"/>
    </xf>
    <xf numFmtId="0" fontId="3" fillId="9" borderId="13" xfId="6" applyFont="1" applyFill="1" applyBorder="1" applyAlignment="1">
      <alignment vertical="center" wrapText="1"/>
    </xf>
    <xf numFmtId="4" fontId="11" fillId="9" borderId="13" xfId="13" applyNumberFormat="1" applyFont="1" applyFill="1" applyBorder="1" applyAlignment="1">
      <alignment horizontal="right" vertical="center"/>
    </xf>
    <xf numFmtId="167" fontId="4" fillId="9" borderId="13" xfId="13" applyNumberFormat="1" applyFont="1" applyFill="1" applyBorder="1" applyAlignment="1">
      <alignment horizontal="right" vertical="center"/>
    </xf>
    <xf numFmtId="167" fontId="38" fillId="9" borderId="13" xfId="13" applyNumberFormat="1" applyFont="1" applyFill="1" applyBorder="1" applyAlignment="1">
      <alignment horizontal="right" vertical="center"/>
    </xf>
    <xf numFmtId="0" fontId="4" fillId="9" borderId="13" xfId="6" applyFont="1" applyFill="1" applyBorder="1" applyAlignment="1">
      <alignment vertical="center" wrapText="1"/>
    </xf>
    <xf numFmtId="167" fontId="4" fillId="11" borderId="13" xfId="13" applyNumberFormat="1" applyFont="1" applyFill="1" applyBorder="1" applyAlignment="1">
      <alignment horizontal="center" vertical="center"/>
    </xf>
    <xf numFmtId="167" fontId="38" fillId="11" borderId="13" xfId="13" applyNumberFormat="1" applyFont="1" applyFill="1" applyBorder="1" applyAlignment="1">
      <alignment horizontal="center" vertical="center"/>
    </xf>
    <xf numFmtId="0" fontId="56" fillId="0" borderId="6" xfId="12" applyFont="1" applyBorder="1" applyAlignment="1">
      <alignment horizontal="left" vertical="center" wrapText="1"/>
    </xf>
    <xf numFmtId="49" fontId="6" fillId="0" borderId="13" xfId="6" applyNumberFormat="1" applyFont="1" applyBorder="1" applyAlignment="1">
      <alignment horizontal="left" vertical="center" shrinkToFit="1"/>
    </xf>
    <xf numFmtId="0" fontId="6" fillId="0" borderId="13" xfId="6" applyFont="1" applyBorder="1" applyAlignment="1">
      <alignment horizontal="justify" vertical="center" shrinkToFit="1" readingOrder="1"/>
    </xf>
    <xf numFmtId="0" fontId="6" fillId="0" borderId="13" xfId="6" applyFont="1" applyBorder="1" applyAlignment="1">
      <alignment horizontal="left" vertical="center" shrinkToFit="1"/>
    </xf>
    <xf numFmtId="0" fontId="10" fillId="0" borderId="13" xfId="6" applyFont="1" applyBorder="1" applyAlignment="1">
      <alignment horizontal="left" vertical="top"/>
    </xf>
    <xf numFmtId="0" fontId="10" fillId="0" borderId="13" xfId="6" applyFont="1" applyBorder="1" applyAlignment="1">
      <alignment horizontal="justify" vertical="center" readingOrder="1"/>
    </xf>
    <xf numFmtId="0" fontId="10" fillId="0" borderId="13" xfId="6" applyFont="1" applyBorder="1" applyAlignment="1">
      <alignment horizontal="left" vertical="top" wrapText="1"/>
    </xf>
    <xf numFmtId="0" fontId="10" fillId="0" borderId="13" xfId="6" applyFont="1" applyBorder="1" applyAlignment="1">
      <alignment horizontal="justify" vertical="center" wrapText="1" readingOrder="1"/>
    </xf>
    <xf numFmtId="0" fontId="44" fillId="0" borderId="13" xfId="6" applyFont="1" applyBorder="1" applyAlignment="1">
      <alignment horizontal="justify" vertical="center" wrapText="1" readingOrder="1"/>
    </xf>
    <xf numFmtId="0" fontId="10" fillId="0" borderId="13" xfId="6" applyFont="1" applyBorder="1" applyAlignment="1">
      <alignment horizontal="left" vertical="top" wrapText="1" shrinkToFit="1"/>
    </xf>
    <xf numFmtId="0" fontId="10" fillId="0" borderId="13" xfId="6" applyFont="1" applyBorder="1" applyAlignment="1">
      <alignment horizontal="justify" vertical="center" wrapText="1" shrinkToFit="1" readingOrder="1"/>
    </xf>
    <xf numFmtId="0" fontId="10" fillId="0" borderId="13" xfId="6" quotePrefix="1" applyFont="1" applyBorder="1" applyAlignment="1">
      <alignment horizontal="left" vertical="top" wrapText="1" shrinkToFit="1"/>
    </xf>
    <xf numFmtId="16" fontId="10" fillId="0" borderId="13" xfId="6" applyNumberFormat="1" applyFont="1" applyBorder="1" applyAlignment="1">
      <alignment horizontal="left" vertical="center" wrapText="1" shrinkToFit="1"/>
    </xf>
    <xf numFmtId="0" fontId="3" fillId="0" borderId="13" xfId="6" applyFont="1" applyBorder="1" applyAlignment="1">
      <alignment horizontal="center" vertical="center" wrapText="1" shrinkToFit="1"/>
    </xf>
    <xf numFmtId="167" fontId="10" fillId="0" borderId="13" xfId="6" applyNumberFormat="1" applyFont="1" applyBorder="1" applyAlignment="1">
      <alignment horizontal="center" vertical="center" wrapText="1"/>
    </xf>
    <xf numFmtId="167" fontId="16" fillId="0" borderId="13" xfId="6" applyNumberFormat="1" applyBorder="1" applyAlignment="1">
      <alignment horizontal="right" vertical="center" wrapText="1"/>
    </xf>
    <xf numFmtId="0" fontId="3" fillId="0" borderId="13" xfId="6" applyFont="1" applyBorder="1" applyAlignment="1">
      <alignment horizontal="center" vertical="center" wrapText="1"/>
    </xf>
    <xf numFmtId="0" fontId="10" fillId="0" borderId="13" xfId="6" quotePrefix="1" applyFont="1" applyBorder="1" applyAlignment="1">
      <alignment horizontal="left" vertical="top" wrapText="1"/>
    </xf>
    <xf numFmtId="16" fontId="10" fillId="0" borderId="13" xfId="6" applyNumberFormat="1" applyFont="1" applyBorder="1" applyAlignment="1">
      <alignment horizontal="left" vertical="top" wrapText="1"/>
    </xf>
    <xf numFmtId="0" fontId="10" fillId="0" borderId="13" xfId="18" applyNumberFormat="1" applyFont="1" applyFill="1" applyBorder="1" applyAlignment="1">
      <alignment horizontal="left" vertical="center" wrapText="1"/>
    </xf>
    <xf numFmtId="0" fontId="45" fillId="0" borderId="13" xfId="6" applyFont="1" applyBorder="1" applyAlignment="1">
      <alignment horizontal="left" vertical="center" wrapText="1" shrinkToFit="1"/>
    </xf>
    <xf numFmtId="0" fontId="10" fillId="0" borderId="13" xfId="6" applyFont="1" applyBorder="1" applyAlignment="1">
      <alignment horizontal="center" vertical="center" wrapText="1" shrinkToFit="1"/>
    </xf>
    <xf numFmtId="0" fontId="45" fillId="0" borderId="13" xfId="6" applyFont="1" applyBorder="1" applyAlignment="1">
      <alignment horizontal="left" vertical="top" wrapText="1" shrinkToFit="1"/>
    </xf>
    <xf numFmtId="0" fontId="7" fillId="0" borderId="13" xfId="6" applyFont="1" applyBorder="1" applyAlignment="1">
      <alignment horizontal="justify" vertical="center" wrapText="1" shrinkToFit="1" readingOrder="1"/>
    </xf>
    <xf numFmtId="0" fontId="50" fillId="0" borderId="13" xfId="21" applyFont="1" applyBorder="1" applyAlignment="1">
      <alignment horizontal="left" vertical="center" wrapText="1"/>
    </xf>
    <xf numFmtId="0" fontId="10" fillId="0" borderId="13" xfId="6" applyFont="1" applyBorder="1" applyAlignment="1">
      <alignment horizontal="left" vertical="center" wrapText="1" shrinkToFit="1"/>
    </xf>
    <xf numFmtId="167" fontId="16" fillId="0" borderId="13" xfId="6" applyNumberFormat="1" applyBorder="1" applyAlignment="1">
      <alignment horizontal="center" vertical="center" wrapText="1"/>
    </xf>
    <xf numFmtId="0" fontId="10" fillId="0" borderId="13" xfId="6" applyFont="1" applyBorder="1" applyAlignment="1">
      <alignment vertical="center" wrapText="1" shrinkToFit="1" readingOrder="1"/>
    </xf>
    <xf numFmtId="0" fontId="54" fillId="0" borderId="13" xfId="12" applyFont="1" applyBorder="1" applyAlignment="1">
      <alignment horizontal="left" vertical="center" wrapText="1"/>
    </xf>
    <xf numFmtId="167" fontId="11" fillId="0" borderId="13" xfId="6" applyNumberFormat="1" applyFont="1" applyBorder="1" applyAlignment="1">
      <alignment horizontal="right" vertical="center" wrapText="1"/>
    </xf>
    <xf numFmtId="0" fontId="57" fillId="0" borderId="13" xfId="6" applyFont="1" applyBorder="1" applyAlignment="1">
      <alignment horizontal="left" vertical="top" wrapText="1"/>
    </xf>
    <xf numFmtId="0" fontId="59" fillId="0" borderId="13" xfId="6" applyFont="1" applyBorder="1" applyAlignment="1">
      <alignment horizontal="justify" vertical="center" wrapText="1"/>
    </xf>
    <xf numFmtId="0" fontId="3" fillId="0" borderId="13" xfId="6" applyFont="1" applyBorder="1" applyAlignment="1">
      <alignment horizontal="justify" vertical="center" wrapText="1" shrinkToFit="1" readingOrder="1"/>
    </xf>
    <xf numFmtId="0" fontId="51" fillId="0" borderId="13" xfId="21" applyFont="1" applyBorder="1" applyAlignment="1">
      <alignment horizontal="left" vertical="center" wrapText="1"/>
    </xf>
    <xf numFmtId="0" fontId="59" fillId="0" borderId="13" xfId="6" applyFont="1" applyBorder="1" applyAlignment="1">
      <alignment horizontal="left" vertical="top" wrapText="1"/>
    </xf>
    <xf numFmtId="0" fontId="59" fillId="0" borderId="13" xfId="6" applyFont="1" applyBorder="1" applyAlignment="1">
      <alignment horizontal="left" vertical="center" wrapText="1"/>
    </xf>
    <xf numFmtId="172" fontId="54" fillId="0" borderId="13" xfId="22" applyNumberFormat="1" applyFont="1" applyFill="1" applyBorder="1" applyAlignment="1">
      <alignment horizontal="left" vertical="center" wrapText="1"/>
    </xf>
    <xf numFmtId="0" fontId="54" fillId="0" borderId="13" xfId="21" applyFont="1" applyBorder="1" applyAlignment="1">
      <alignment horizontal="left" vertical="center" wrapText="1"/>
    </xf>
    <xf numFmtId="0" fontId="62" fillId="0" borderId="13" xfId="23" applyFont="1" applyBorder="1" applyAlignment="1">
      <alignment horizontal="left" vertical="center" wrapText="1"/>
    </xf>
    <xf numFmtId="0" fontId="56" fillId="0" borderId="13" xfId="21" applyFont="1" applyBorder="1" applyAlignment="1">
      <alignment horizontal="left" vertical="center" wrapText="1"/>
    </xf>
    <xf numFmtId="49" fontId="10" fillId="0" borderId="13" xfId="6" applyNumberFormat="1" applyFont="1" applyBorder="1" applyAlignment="1">
      <alignment horizontal="left" vertical="top" shrinkToFit="1"/>
    </xf>
    <xf numFmtId="0" fontId="16" fillId="0" borderId="13" xfId="6" applyBorder="1" applyAlignment="1">
      <alignment horizontal="left" vertical="top" wrapText="1"/>
    </xf>
    <xf numFmtId="0" fontId="16" fillId="0" borderId="13" xfId="6" applyBorder="1" applyAlignment="1">
      <alignment horizontal="justify" vertical="center" wrapText="1" readingOrder="1"/>
    </xf>
    <xf numFmtId="16" fontId="10" fillId="0" borderId="13" xfId="6" applyNumberFormat="1" applyFont="1" applyBorder="1" applyAlignment="1">
      <alignment horizontal="left" vertical="center" wrapText="1"/>
    </xf>
    <xf numFmtId="0" fontId="3" fillId="0" borderId="13" xfId="18" applyNumberFormat="1" applyFont="1" applyFill="1" applyBorder="1" applyAlignment="1">
      <alignment horizontal="left" vertical="center" wrapText="1"/>
    </xf>
    <xf numFmtId="0" fontId="53" fillId="0" borderId="13" xfId="21" applyFont="1" applyBorder="1" applyAlignment="1">
      <alignment horizontal="left" vertical="center" wrapText="1"/>
    </xf>
    <xf numFmtId="0" fontId="53" fillId="0" borderId="13" xfId="20" applyFont="1" applyBorder="1" applyAlignment="1">
      <alignment horizontal="left" vertical="center" wrapText="1" readingOrder="1"/>
    </xf>
    <xf numFmtId="0" fontId="68" fillId="0" borderId="13" xfId="21" applyFont="1" applyBorder="1" applyAlignment="1">
      <alignment horizontal="left" vertical="center" wrapText="1"/>
    </xf>
    <xf numFmtId="172" fontId="56" fillId="0" borderId="13" xfId="22" applyNumberFormat="1" applyFont="1" applyFill="1" applyBorder="1" applyAlignment="1">
      <alignment horizontal="left" vertical="center" wrapText="1"/>
    </xf>
    <xf numFmtId="0" fontId="64" fillId="0" borderId="13" xfId="23" applyFont="1" applyBorder="1" applyAlignment="1">
      <alignment horizontal="left" vertical="center" wrapText="1"/>
    </xf>
    <xf numFmtId="0" fontId="45" fillId="0" borderId="13" xfId="25" applyNumberFormat="1" applyFont="1" applyFill="1" applyBorder="1" applyAlignment="1">
      <alignment vertical="center" wrapText="1" shrinkToFit="1" readingOrder="1"/>
    </xf>
    <xf numFmtId="167" fontId="10" fillId="0" borderId="13" xfId="6" applyNumberFormat="1" applyFont="1" applyBorder="1" applyAlignment="1">
      <alignment vertical="center" wrapText="1"/>
    </xf>
    <xf numFmtId="167" fontId="16" fillId="0" borderId="13" xfId="6" applyNumberFormat="1" applyBorder="1" applyAlignment="1">
      <alignment vertical="center" wrapText="1"/>
    </xf>
    <xf numFmtId="4" fontId="12" fillId="0" borderId="0" xfId="13" applyNumberFormat="1" applyFont="1" applyAlignment="1">
      <alignment vertical="center"/>
    </xf>
    <xf numFmtId="4" fontId="15" fillId="0" borderId="0" xfId="13" applyNumberFormat="1" applyFont="1" applyFill="1" applyBorder="1" applyAlignment="1">
      <alignment vertical="center"/>
    </xf>
    <xf numFmtId="167" fontId="12" fillId="0" borderId="0" xfId="13" applyFont="1" applyFill="1" applyBorder="1" applyAlignment="1">
      <alignment vertical="center"/>
    </xf>
    <xf numFmtId="167" fontId="15" fillId="0" borderId="0" xfId="13" applyFont="1" applyFill="1" applyBorder="1" applyAlignment="1">
      <alignment vertical="center"/>
    </xf>
    <xf numFmtId="4" fontId="12" fillId="0" borderId="13" xfId="13" applyNumberFormat="1" applyFont="1" applyBorder="1" applyAlignment="1">
      <alignment vertical="center" wrapText="1"/>
    </xf>
    <xf numFmtId="167" fontId="12" fillId="0" borderId="13" xfId="13" applyFont="1" applyFill="1" applyBorder="1" applyAlignment="1">
      <alignment vertical="center" wrapText="1"/>
    </xf>
    <xf numFmtId="167" fontId="12" fillId="0" borderId="13" xfId="13" applyFont="1" applyBorder="1" applyAlignment="1">
      <alignment vertical="center"/>
    </xf>
    <xf numFmtId="4" fontId="12" fillId="0" borderId="13" xfId="13" applyNumberFormat="1" applyFont="1" applyFill="1" applyBorder="1" applyAlignment="1">
      <alignment vertical="center"/>
    </xf>
    <xf numFmtId="4" fontId="32" fillId="0" borderId="13" xfId="13" applyNumberFormat="1" applyFont="1" applyFill="1" applyBorder="1" applyAlignment="1">
      <alignment horizontal="right" vertical="center" wrapText="1"/>
    </xf>
    <xf numFmtId="167" fontId="3" fillId="0" borderId="13" xfId="13" applyFont="1" applyBorder="1" applyAlignment="1">
      <alignment vertical="center"/>
    </xf>
    <xf numFmtId="4" fontId="32" fillId="0" borderId="13" xfId="13" applyNumberFormat="1" applyFont="1" applyFill="1" applyBorder="1" applyAlignment="1">
      <alignment vertical="center"/>
    </xf>
    <xf numFmtId="167" fontId="32" fillId="0" borderId="13" xfId="13" applyFont="1" applyFill="1" applyBorder="1" applyAlignment="1">
      <alignment vertical="center"/>
    </xf>
    <xf numFmtId="167" fontId="36" fillId="0" borderId="13" xfId="13" applyFont="1" applyBorder="1" applyAlignment="1">
      <alignment vertical="center"/>
    </xf>
    <xf numFmtId="167" fontId="36" fillId="0" borderId="13" xfId="13" applyFont="1" applyFill="1" applyBorder="1" applyAlignment="1">
      <alignment vertical="center"/>
    </xf>
    <xf numFmtId="167" fontId="36" fillId="0" borderId="13" xfId="13" applyFont="1" applyBorder="1" applyAlignment="1">
      <alignment horizontal="center" vertical="center"/>
    </xf>
    <xf numFmtId="167" fontId="12" fillId="0" borderId="13" xfId="13" applyFont="1" applyBorder="1" applyAlignment="1">
      <alignment horizontal="center" vertical="center"/>
    </xf>
    <xf numFmtId="4" fontId="15" fillId="0" borderId="13" xfId="13" applyNumberFormat="1" applyFont="1" applyBorder="1" applyAlignment="1">
      <alignment vertical="center"/>
    </xf>
    <xf numFmtId="167" fontId="15" fillId="0" borderId="13" xfId="13" applyFont="1" applyFill="1" applyBorder="1" applyAlignment="1">
      <alignment vertical="center"/>
    </xf>
    <xf numFmtId="167" fontId="15" fillId="0" borderId="13" xfId="13" applyFont="1" applyBorder="1" applyAlignment="1">
      <alignment vertical="center"/>
    </xf>
    <xf numFmtId="4" fontId="12" fillId="0" borderId="13" xfId="13" applyNumberFormat="1" applyFont="1" applyBorder="1" applyAlignment="1">
      <alignment vertical="center"/>
    </xf>
    <xf numFmtId="4" fontId="32" fillId="0" borderId="13" xfId="13" applyNumberFormat="1" applyFont="1" applyFill="1" applyBorder="1" applyAlignment="1">
      <alignment vertical="center" wrapText="1"/>
    </xf>
    <xf numFmtId="167" fontId="32" fillId="0" borderId="13" xfId="13" applyFont="1" applyFill="1" applyBorder="1" applyAlignment="1" applyProtection="1">
      <alignment horizontal="center" vertical="center" wrapText="1"/>
      <protection locked="0"/>
    </xf>
    <xf numFmtId="167" fontId="32" fillId="0" borderId="13" xfId="13" applyFont="1" applyFill="1" applyBorder="1" applyAlignment="1">
      <alignment horizontal="right" vertical="center" wrapText="1"/>
    </xf>
    <xf numFmtId="167" fontId="12" fillId="0" borderId="13" xfId="13" applyFont="1" applyBorder="1" applyAlignment="1" applyProtection="1">
      <alignment vertical="center"/>
      <protection locked="0"/>
    </xf>
    <xf numFmtId="4" fontId="3" fillId="11" borderId="13" xfId="13" applyNumberFormat="1" applyFont="1" applyFill="1" applyBorder="1" applyAlignment="1">
      <alignment horizontal="right" vertical="center"/>
    </xf>
    <xf numFmtId="4" fontId="16" fillId="11" borderId="13" xfId="13" applyNumberFormat="1" applyFont="1" applyFill="1" applyBorder="1" applyAlignment="1">
      <alignment horizontal="right" vertical="center"/>
    </xf>
    <xf numFmtId="167" fontId="12" fillId="0" borderId="13" xfId="13" applyNumberFormat="1" applyFont="1" applyFill="1" applyBorder="1" applyAlignment="1">
      <alignment vertical="center"/>
    </xf>
    <xf numFmtId="167" fontId="12" fillId="0" borderId="13" xfId="13" applyNumberFormat="1" applyFont="1" applyBorder="1" applyAlignment="1">
      <alignment vertical="center"/>
    </xf>
    <xf numFmtId="167" fontId="3" fillId="11" borderId="13" xfId="13" applyNumberFormat="1" applyFont="1" applyFill="1" applyBorder="1" applyAlignment="1">
      <alignment horizontal="right" vertical="center"/>
    </xf>
    <xf numFmtId="167" fontId="16" fillId="11" borderId="13" xfId="13" applyNumberFormat="1" applyFont="1" applyFill="1" applyBorder="1" applyAlignment="1">
      <alignment horizontal="right" vertical="center"/>
    </xf>
    <xf numFmtId="4" fontId="11" fillId="0" borderId="13" xfId="13" applyNumberFormat="1" applyFont="1" applyFill="1" applyBorder="1" applyAlignment="1">
      <alignment horizontal="right" vertical="center"/>
    </xf>
    <xf numFmtId="167" fontId="3" fillId="0" borderId="13" xfId="13" applyNumberFormat="1" applyFont="1" applyFill="1" applyBorder="1" applyAlignment="1">
      <alignment horizontal="right" vertical="center"/>
    </xf>
    <xf numFmtId="167" fontId="16" fillId="0" borderId="13" xfId="13" applyNumberFormat="1" applyFont="1" applyFill="1" applyBorder="1" applyAlignment="1">
      <alignment horizontal="right" vertical="center"/>
    </xf>
    <xf numFmtId="4" fontId="37" fillId="0" borderId="13" xfId="13" applyNumberFormat="1" applyFont="1" applyFill="1" applyBorder="1" applyAlignment="1">
      <alignment horizontal="right" vertical="center"/>
    </xf>
    <xf numFmtId="167" fontId="4" fillId="0" borderId="13" xfId="13" applyNumberFormat="1" applyFont="1" applyFill="1" applyBorder="1" applyAlignment="1">
      <alignment horizontal="right" vertical="center"/>
    </xf>
    <xf numFmtId="167" fontId="38" fillId="0" borderId="13" xfId="13" applyNumberFormat="1" applyFont="1" applyFill="1" applyBorder="1" applyAlignment="1">
      <alignment horizontal="right" vertical="center"/>
    </xf>
    <xf numFmtId="167" fontId="3" fillId="9" borderId="13" xfId="13" applyNumberFormat="1" applyFont="1" applyFill="1" applyBorder="1" applyAlignment="1">
      <alignment horizontal="right" vertical="center"/>
    </xf>
    <xf numFmtId="167" fontId="16" fillId="9" borderId="13" xfId="13" applyNumberFormat="1" applyFont="1" applyFill="1" applyBorder="1" applyAlignment="1">
      <alignment horizontal="right" vertical="center"/>
    </xf>
    <xf numFmtId="4" fontId="39" fillId="0" borderId="13" xfId="13" applyNumberFormat="1" applyFont="1" applyFill="1" applyBorder="1" applyAlignment="1">
      <alignment horizontal="right" vertical="center"/>
    </xf>
    <xf numFmtId="4" fontId="39" fillId="9" borderId="13" xfId="13" applyNumberFormat="1" applyFont="1" applyFill="1" applyBorder="1" applyAlignment="1">
      <alignment horizontal="right" vertical="center"/>
    </xf>
    <xf numFmtId="4" fontId="15" fillId="0" borderId="8" xfId="13" applyNumberFormat="1" applyFont="1" applyBorder="1" applyAlignment="1">
      <alignment vertical="center"/>
    </xf>
    <xf numFmtId="167" fontId="15" fillId="0" borderId="8" xfId="13" applyFont="1" applyFill="1" applyBorder="1" applyAlignment="1">
      <alignment vertical="center"/>
    </xf>
    <xf numFmtId="167" fontId="15" fillId="0" borderId="8" xfId="13" applyFont="1" applyBorder="1" applyAlignment="1">
      <alignment vertical="center"/>
    </xf>
    <xf numFmtId="0" fontId="42" fillId="0" borderId="13" xfId="6" applyFont="1" applyBorder="1" applyAlignment="1">
      <alignment horizontal="left" vertical="center" shrinkToFit="1"/>
    </xf>
    <xf numFmtId="171" fontId="43" fillId="0" borderId="13" xfId="6" applyNumberFormat="1" applyFont="1" applyBorder="1" applyAlignment="1">
      <alignment horizontal="center" vertical="center" shrinkToFit="1"/>
    </xf>
    <xf numFmtId="171" fontId="43" fillId="0" borderId="13" xfId="6" applyNumberFormat="1" applyFont="1" applyBorder="1" applyAlignment="1">
      <alignment horizontal="right" vertical="center" shrinkToFit="1"/>
    </xf>
    <xf numFmtId="0" fontId="3" fillId="0" borderId="13" xfId="6" applyFont="1" applyBorder="1" applyAlignment="1">
      <alignment horizontal="right" vertical="center"/>
    </xf>
    <xf numFmtId="171" fontId="3" fillId="0" borderId="13" xfId="6" applyNumberFormat="1" applyFont="1" applyBorder="1" applyAlignment="1">
      <alignment horizontal="center" vertical="center"/>
    </xf>
    <xf numFmtId="171" fontId="3" fillId="0" borderId="13" xfId="6" applyNumberFormat="1" applyFont="1" applyBorder="1" applyAlignment="1">
      <alignment horizontal="right" vertical="center"/>
    </xf>
    <xf numFmtId="0" fontId="10" fillId="0" borderId="13" xfId="6" applyFont="1" applyBorder="1" applyAlignment="1">
      <alignment horizontal="right" vertical="center"/>
    </xf>
    <xf numFmtId="171" fontId="10" fillId="0" borderId="13" xfId="6" applyNumberFormat="1" applyFont="1" applyBorder="1" applyAlignment="1">
      <alignment horizontal="center" vertical="center"/>
    </xf>
    <xf numFmtId="171" fontId="10" fillId="0" borderId="13" xfId="6" applyNumberFormat="1" applyFont="1" applyBorder="1" applyAlignment="1">
      <alignment horizontal="right" vertical="center"/>
    </xf>
    <xf numFmtId="0" fontId="7" fillId="0" borderId="13" xfId="6" applyFont="1" applyBorder="1" applyAlignment="1">
      <alignment horizontal="center" vertical="center" wrapText="1"/>
    </xf>
    <xf numFmtId="167" fontId="7" fillId="0" borderId="13" xfId="6" applyNumberFormat="1" applyFont="1" applyBorder="1" applyAlignment="1">
      <alignment horizontal="center" vertical="center" wrapText="1"/>
    </xf>
    <xf numFmtId="0" fontId="10" fillId="0" borderId="13" xfId="6" applyFont="1" applyBorder="1" applyAlignment="1">
      <alignment horizontal="center" vertical="center" wrapText="1"/>
    </xf>
    <xf numFmtId="167" fontId="10" fillId="0" borderId="13" xfId="6" applyNumberFormat="1" applyFont="1" applyBorder="1" applyAlignment="1">
      <alignment horizontal="center" vertical="center"/>
    </xf>
    <xf numFmtId="0" fontId="7" fillId="0" borderId="13" xfId="6" applyFont="1" applyBorder="1" applyAlignment="1">
      <alignment horizontal="center" vertical="center" wrapText="1" shrinkToFit="1"/>
    </xf>
    <xf numFmtId="0" fontId="59" fillId="0" borderId="13" xfId="6" applyFont="1" applyBorder="1" applyAlignment="1">
      <alignment horizontal="center" vertical="center" wrapText="1"/>
    </xf>
    <xf numFmtId="0" fontId="10" fillId="0" borderId="13" xfId="6" applyFont="1" applyBorder="1" applyAlignment="1">
      <alignment horizontal="center" vertical="center" shrinkToFit="1"/>
    </xf>
    <xf numFmtId="0" fontId="16" fillId="0" borderId="13" xfId="6" applyBorder="1" applyAlignment="1">
      <alignment horizontal="center" vertical="center" wrapText="1"/>
    </xf>
    <xf numFmtId="171" fontId="16" fillId="0" borderId="13" xfId="6" applyNumberFormat="1" applyBorder="1" applyAlignment="1">
      <alignment horizontal="center" vertical="center" wrapText="1"/>
    </xf>
    <xf numFmtId="171" fontId="10" fillId="0" borderId="13" xfId="6" applyNumberFormat="1" applyFont="1" applyBorder="1" applyAlignment="1">
      <alignment horizontal="right" vertical="center" wrapText="1"/>
    </xf>
    <xf numFmtId="171" fontId="7" fillId="0" borderId="13" xfId="6" applyNumberFormat="1" applyFont="1" applyBorder="1" applyAlignment="1">
      <alignment horizontal="center" vertical="center" wrapText="1"/>
    </xf>
    <xf numFmtId="171" fontId="10" fillId="0" borderId="13" xfId="6" applyNumberFormat="1" applyFont="1" applyBorder="1" applyAlignment="1">
      <alignment horizontal="center" vertical="center" shrinkToFit="1"/>
    </xf>
    <xf numFmtId="171" fontId="43" fillId="0" borderId="0" xfId="6" applyNumberFormat="1" applyFont="1" applyAlignment="1">
      <alignment horizontal="center" vertical="center" shrinkToFit="1"/>
    </xf>
    <xf numFmtId="171" fontId="43" fillId="0" borderId="0" xfId="6" applyNumberFormat="1" applyFont="1" applyAlignment="1">
      <alignment horizontal="right" vertical="center" shrinkToFit="1"/>
    </xf>
    <xf numFmtId="0" fontId="16" fillId="0" borderId="26" xfId="6" applyBorder="1" applyAlignment="1">
      <alignment horizontal="center" vertical="center" wrapText="1"/>
    </xf>
    <xf numFmtId="171" fontId="16" fillId="0" borderId="26" xfId="6" applyNumberFormat="1" applyBorder="1" applyAlignment="1">
      <alignment horizontal="center" vertical="center" wrapText="1"/>
    </xf>
    <xf numFmtId="171" fontId="16" fillId="0" borderId="26" xfId="6" applyNumberFormat="1" applyBorder="1" applyAlignment="1">
      <alignment horizontal="right" vertical="center" wrapText="1"/>
    </xf>
    <xf numFmtId="0" fontId="10" fillId="0" borderId="0" xfId="6" applyFont="1" applyAlignment="1">
      <alignment horizontal="right" vertical="center"/>
    </xf>
    <xf numFmtId="0" fontId="10" fillId="0" borderId="0" xfId="6" applyFont="1" applyAlignment="1">
      <alignment horizontal="center" vertical="center"/>
    </xf>
    <xf numFmtId="171" fontId="3" fillId="0" borderId="0" xfId="3" applyNumberFormat="1" applyAlignment="1">
      <alignment horizontal="center" vertical="center"/>
    </xf>
    <xf numFmtId="171" fontId="3" fillId="0" borderId="0" xfId="3" applyNumberFormat="1" applyAlignment="1">
      <alignment horizontal="right" vertical="center"/>
    </xf>
    <xf numFmtId="171" fontId="16" fillId="0" borderId="0" xfId="6" applyNumberFormat="1" applyAlignment="1">
      <alignment horizontal="center" vertical="center" wrapText="1"/>
    </xf>
    <xf numFmtId="0" fontId="16" fillId="0" borderId="0" xfId="6" applyAlignment="1">
      <alignment horizontal="center" vertical="center" wrapText="1"/>
    </xf>
    <xf numFmtId="0" fontId="15" fillId="0" borderId="0" xfId="9" applyFont="1" applyAlignment="1">
      <alignment horizontal="center" vertical="center"/>
    </xf>
    <xf numFmtId="0" fontId="12" fillId="0" borderId="0" xfId="9" applyFont="1" applyAlignment="1">
      <alignment horizontal="center" vertical="center"/>
    </xf>
    <xf numFmtId="0" fontId="12" fillId="0" borderId="13" xfId="9" applyFont="1" applyBorder="1" applyAlignment="1">
      <alignment horizontal="center" vertical="center"/>
    </xf>
    <xf numFmtId="49" fontId="32" fillId="0" borderId="13" xfId="8" applyNumberFormat="1" applyFont="1" applyBorder="1" applyAlignment="1">
      <alignment horizontal="center" vertical="center" wrapText="1"/>
    </xf>
    <xf numFmtId="0" fontId="32" fillId="0" borderId="13" xfId="8" applyFont="1" applyBorder="1" applyAlignment="1">
      <alignment horizontal="center" vertical="center"/>
    </xf>
    <xf numFmtId="167" fontId="36" fillId="0" borderId="13" xfId="13" applyFont="1" applyFill="1" applyBorder="1" applyAlignment="1">
      <alignment horizontal="center" vertical="center"/>
    </xf>
    <xf numFmtId="0" fontId="15" fillId="0" borderId="13" xfId="9" applyFont="1" applyBorder="1" applyAlignment="1">
      <alignment horizontal="center" vertical="center"/>
    </xf>
    <xf numFmtId="0" fontId="32" fillId="0" borderId="13" xfId="7" applyFont="1" applyBorder="1" applyAlignment="1">
      <alignment horizontal="center" vertical="center" wrapText="1"/>
    </xf>
    <xf numFmtId="0" fontId="11" fillId="0" borderId="13" xfId="6" applyFont="1" applyBorder="1" applyAlignment="1">
      <alignment horizontal="center" vertical="center"/>
    </xf>
    <xf numFmtId="0" fontId="16" fillId="11" borderId="13" xfId="6" applyFill="1" applyBorder="1" applyAlignment="1">
      <alignment horizontal="center" vertical="center"/>
    </xf>
    <xf numFmtId="0" fontId="37" fillId="0" borderId="13" xfId="6" applyFont="1" applyBorder="1" applyAlignment="1">
      <alignment horizontal="center" vertical="center"/>
    </xf>
    <xf numFmtId="0" fontId="16" fillId="9" borderId="13" xfId="6" applyFill="1" applyBorder="1" applyAlignment="1">
      <alignment horizontal="center" vertical="center"/>
    </xf>
    <xf numFmtId="0" fontId="4" fillId="0" borderId="13" xfId="12" applyFont="1" applyBorder="1" applyAlignment="1">
      <alignment horizontal="center" vertical="center" wrapText="1"/>
    </xf>
    <xf numFmtId="0" fontId="15" fillId="0" borderId="8" xfId="9" applyFont="1" applyBorder="1" applyAlignment="1">
      <alignment horizontal="center" vertical="center"/>
    </xf>
    <xf numFmtId="0" fontId="42" fillId="0" borderId="13" xfId="6" applyFont="1" applyBorder="1" applyAlignment="1">
      <alignment horizontal="center" vertical="center" shrinkToFit="1"/>
    </xf>
    <xf numFmtId="0" fontId="3" fillId="0" borderId="13" xfId="6" applyFont="1" applyBorder="1" applyAlignment="1">
      <alignment horizontal="center" vertical="center"/>
    </xf>
    <xf numFmtId="0" fontId="10" fillId="0" borderId="13" xfId="6" applyFont="1" applyBorder="1" applyAlignment="1">
      <alignment horizontal="center" vertical="center"/>
    </xf>
    <xf numFmtId="0" fontId="10" fillId="0" borderId="0" xfId="3" applyFont="1" applyAlignment="1">
      <alignment horizontal="center" vertical="center"/>
    </xf>
    <xf numFmtId="0" fontId="16" fillId="0" borderId="0" xfId="6" applyAlignment="1">
      <alignment horizontal="center" vertical="center"/>
    </xf>
    <xf numFmtId="171" fontId="7" fillId="11" borderId="13" xfId="3" applyNumberFormat="1" applyFont="1" applyFill="1" applyBorder="1" applyAlignment="1">
      <alignment horizontal="right" vertical="center"/>
    </xf>
    <xf numFmtId="0" fontId="67" fillId="0" borderId="13" xfId="20" applyFont="1" applyBorder="1" applyAlignment="1">
      <alignment horizontal="left" vertical="center" wrapText="1" readingOrder="1"/>
    </xf>
    <xf numFmtId="0" fontId="10" fillId="0" borderId="13" xfId="6" applyFont="1" applyBorder="1" applyAlignment="1">
      <alignment horizontal="justify" vertical="center"/>
    </xf>
    <xf numFmtId="49" fontId="7" fillId="0" borderId="13" xfId="6" applyNumberFormat="1" applyFont="1" applyBorder="1" applyAlignment="1">
      <alignment horizontal="left" vertical="top"/>
    </xf>
    <xf numFmtId="0" fontId="7" fillId="0" borderId="13" xfId="6" applyFont="1" applyBorder="1" applyAlignment="1">
      <alignment horizontal="justify" vertical="center"/>
    </xf>
    <xf numFmtId="49" fontId="10" fillId="0" borderId="13" xfId="6" applyNumberFormat="1" applyFont="1" applyBorder="1" applyAlignment="1">
      <alignment horizontal="left" vertical="top"/>
    </xf>
    <xf numFmtId="0" fontId="10" fillId="0" borderId="13" xfId="6" applyFont="1" applyBorder="1" applyAlignment="1">
      <alignment vertical="center"/>
    </xf>
    <xf numFmtId="0" fontId="10" fillId="0" borderId="13" xfId="6" applyFont="1" applyBorder="1" applyAlignment="1">
      <alignment vertical="center" shrinkToFit="1"/>
    </xf>
    <xf numFmtId="0" fontId="10" fillId="0" borderId="13" xfId="6" applyFont="1" applyBorder="1" applyAlignment="1">
      <alignment vertical="center" wrapText="1"/>
    </xf>
    <xf numFmtId="0" fontId="10" fillId="0" borderId="13" xfId="6" applyFont="1" applyBorder="1" applyAlignment="1">
      <alignment horizontal="left" vertical="center" wrapText="1"/>
    </xf>
    <xf numFmtId="49" fontId="7" fillId="0" borderId="13" xfId="6" applyNumberFormat="1" applyFont="1" applyBorder="1" applyAlignment="1">
      <alignment horizontal="left" vertical="top" shrinkToFit="1"/>
    </xf>
    <xf numFmtId="0" fontId="7" fillId="0" borderId="13" xfId="6" applyFont="1" applyBorder="1" applyAlignment="1">
      <alignment horizontal="justify" vertical="center" shrinkToFit="1"/>
    </xf>
    <xf numFmtId="0" fontId="10" fillId="0" borderId="13" xfId="6" applyFont="1" applyBorder="1" applyAlignment="1">
      <alignment horizontal="justify" vertical="center" wrapText="1" shrinkToFit="1"/>
    </xf>
    <xf numFmtId="0" fontId="10" fillId="0" borderId="13" xfId="6" applyFont="1" applyBorder="1" applyAlignment="1">
      <alignment horizontal="justify" vertical="center" shrinkToFit="1"/>
    </xf>
    <xf numFmtId="9" fontId="10" fillId="0" borderId="13" xfId="6" applyNumberFormat="1" applyFont="1" applyBorder="1" applyAlignment="1">
      <alignment horizontal="center" vertical="center" shrinkToFit="1"/>
    </xf>
    <xf numFmtId="49" fontId="10" fillId="0" borderId="13" xfId="6" quotePrefix="1" applyNumberFormat="1" applyFont="1" applyBorder="1" applyAlignment="1">
      <alignment horizontal="left" vertical="top" shrinkToFit="1"/>
    </xf>
    <xf numFmtId="0" fontId="10" fillId="0" borderId="13" xfId="6" applyFont="1" applyBorder="1" applyAlignment="1">
      <alignment horizontal="justify" vertical="center" wrapText="1"/>
    </xf>
    <xf numFmtId="49" fontId="10" fillId="0" borderId="13" xfId="6" quotePrefix="1" applyNumberFormat="1" applyFont="1" applyBorder="1" applyAlignment="1">
      <alignment horizontal="left" vertical="top"/>
    </xf>
    <xf numFmtId="49" fontId="3" fillId="0" borderId="13" xfId="6" quotePrefix="1" applyNumberFormat="1" applyFont="1" applyBorder="1" applyAlignment="1">
      <alignment horizontal="left" vertical="top"/>
    </xf>
    <xf numFmtId="0" fontId="3" fillId="0" borderId="13" xfId="6" applyFont="1" applyBorder="1" applyAlignment="1">
      <alignment horizontal="justify" vertical="center" wrapText="1"/>
    </xf>
    <xf numFmtId="49" fontId="7" fillId="0" borderId="13" xfId="6" quotePrefix="1" applyNumberFormat="1" applyFont="1" applyBorder="1" applyAlignment="1">
      <alignment horizontal="left" vertical="top" shrinkToFit="1"/>
    </xf>
    <xf numFmtId="0" fontId="7" fillId="0" borderId="13" xfId="6" applyFont="1" applyBorder="1" applyAlignment="1">
      <alignment horizontal="center" vertical="center" shrinkToFit="1"/>
    </xf>
    <xf numFmtId="0" fontId="44" fillId="0" borderId="13" xfId="6" applyFont="1" applyBorder="1" applyAlignment="1">
      <alignment horizontal="justify" vertical="center"/>
    </xf>
    <xf numFmtId="49" fontId="10" fillId="0" borderId="13" xfId="6" applyNumberFormat="1" applyFont="1" applyBorder="1" applyAlignment="1">
      <alignment horizontal="left" vertical="top" wrapText="1"/>
    </xf>
    <xf numFmtId="49" fontId="10" fillId="0" borderId="13" xfId="6" applyNumberFormat="1" applyFont="1" applyBorder="1" applyAlignment="1">
      <alignment horizontal="left" vertical="top" wrapText="1" shrinkToFit="1"/>
    </xf>
    <xf numFmtId="0" fontId="6" fillId="11" borderId="13" xfId="6" applyFont="1" applyFill="1" applyBorder="1" applyAlignment="1">
      <alignment vertical="center" shrinkToFit="1"/>
    </xf>
    <xf numFmtId="0" fontId="6" fillId="11" borderId="6" xfId="6" applyFont="1" applyFill="1" applyBorder="1" applyAlignment="1">
      <alignment vertical="center" shrinkToFit="1"/>
    </xf>
    <xf numFmtId="0" fontId="14" fillId="9" borderId="13" xfId="12" applyFont="1" applyFill="1" applyBorder="1" applyAlignment="1">
      <alignment vertical="top" wrapText="1"/>
    </xf>
    <xf numFmtId="167" fontId="13" fillId="9" borderId="13" xfId="4" applyNumberFormat="1" applyFont="1" applyFill="1" applyBorder="1" applyAlignment="1">
      <alignment vertical="center"/>
    </xf>
    <xf numFmtId="0" fontId="14" fillId="9" borderId="13" xfId="12" applyFont="1" applyFill="1" applyBorder="1" applyAlignment="1">
      <alignment vertical="center"/>
    </xf>
    <xf numFmtId="165" fontId="14" fillId="9" borderId="13" xfId="4" applyNumberFormat="1" applyFont="1" applyFill="1" applyBorder="1" applyAlignment="1">
      <alignment horizontal="right" vertical="center"/>
    </xf>
    <xf numFmtId="167" fontId="14" fillId="9" borderId="13" xfId="4" applyNumberFormat="1" applyFont="1" applyFill="1" applyBorder="1" applyAlignment="1" applyProtection="1">
      <alignment horizontal="right" vertical="center"/>
      <protection locked="0"/>
    </xf>
    <xf numFmtId="167" fontId="14" fillId="9" borderId="13" xfId="13" applyNumberFormat="1" applyFont="1" applyFill="1" applyBorder="1" applyAlignment="1">
      <alignment vertical="center"/>
    </xf>
    <xf numFmtId="0" fontId="13" fillId="9" borderId="13" xfId="12" applyFont="1" applyFill="1" applyBorder="1" applyAlignment="1">
      <alignment vertical="top" wrapText="1"/>
    </xf>
    <xf numFmtId="167" fontId="13" fillId="9" borderId="13" xfId="13" applyFont="1" applyFill="1" applyBorder="1" applyAlignment="1" applyProtection="1">
      <alignment vertical="center"/>
      <protection locked="0"/>
    </xf>
    <xf numFmtId="0" fontId="13" fillId="9" borderId="13" xfId="12" applyFont="1" applyFill="1" applyBorder="1" applyAlignment="1">
      <alignment wrapText="1"/>
    </xf>
    <xf numFmtId="0" fontId="14" fillId="10" borderId="13" xfId="12" applyFont="1" applyFill="1" applyBorder="1" applyAlignment="1">
      <alignment vertical="top" wrapText="1"/>
    </xf>
    <xf numFmtId="0" fontId="13" fillId="10" borderId="13" xfId="12" applyFont="1" applyFill="1" applyBorder="1" applyAlignment="1">
      <alignment vertical="center"/>
    </xf>
    <xf numFmtId="167" fontId="13" fillId="10" borderId="13" xfId="4" applyNumberFormat="1" applyFont="1" applyFill="1" applyBorder="1" applyAlignment="1" applyProtection="1">
      <alignment horizontal="right" vertical="center"/>
      <protection locked="0"/>
    </xf>
    <xf numFmtId="167" fontId="13" fillId="10" borderId="13" xfId="4" applyNumberFormat="1" applyFont="1" applyFill="1" applyBorder="1" applyAlignment="1">
      <alignment vertical="center"/>
    </xf>
    <xf numFmtId="0" fontId="14" fillId="10" borderId="13" xfId="12" applyFont="1" applyFill="1" applyBorder="1" applyAlignment="1">
      <alignment vertical="center"/>
    </xf>
    <xf numFmtId="167" fontId="14" fillId="10" borderId="13" xfId="4" applyNumberFormat="1" applyFont="1" applyFill="1" applyBorder="1" applyAlignment="1" applyProtection="1">
      <alignment horizontal="right" vertical="center"/>
      <protection locked="0"/>
    </xf>
    <xf numFmtId="167" fontId="14" fillId="10" borderId="13" xfId="13" applyNumberFormat="1" applyFont="1" applyFill="1" applyBorder="1" applyAlignment="1">
      <alignment vertical="center"/>
    </xf>
    <xf numFmtId="0" fontId="13" fillId="10" borderId="13" xfId="12" applyFont="1" applyFill="1" applyBorder="1" applyAlignment="1">
      <alignment vertical="top" wrapText="1"/>
    </xf>
    <xf numFmtId="167" fontId="13" fillId="10" borderId="13" xfId="13" applyFont="1" applyFill="1" applyBorder="1" applyAlignment="1" applyProtection="1">
      <alignment vertical="center"/>
      <protection locked="0"/>
    </xf>
    <xf numFmtId="167" fontId="13" fillId="10" borderId="13" xfId="13" applyFont="1" applyFill="1" applyBorder="1" applyAlignment="1">
      <alignment vertical="center"/>
    </xf>
    <xf numFmtId="0" fontId="13" fillId="10" borderId="13" xfId="12" applyFont="1" applyFill="1" applyBorder="1" applyAlignment="1">
      <alignment wrapText="1"/>
    </xf>
    <xf numFmtId="0" fontId="14" fillId="35" borderId="13" xfId="12" applyFont="1" applyFill="1" applyBorder="1" applyAlignment="1">
      <alignment vertical="top" wrapText="1"/>
    </xf>
    <xf numFmtId="0" fontId="13" fillId="35" borderId="13" xfId="12" applyFont="1" applyFill="1" applyBorder="1" applyAlignment="1">
      <alignment vertical="center"/>
    </xf>
    <xf numFmtId="165" fontId="13" fillId="35" borderId="13" xfId="4" applyNumberFormat="1" applyFont="1" applyFill="1" applyBorder="1" applyAlignment="1">
      <alignment horizontal="right" vertical="center"/>
    </xf>
    <xf numFmtId="167" fontId="13" fillId="35" borderId="13" xfId="4" applyNumberFormat="1" applyFont="1" applyFill="1" applyBorder="1" applyAlignment="1" applyProtection="1">
      <alignment horizontal="right" vertical="center"/>
      <protection locked="0"/>
    </xf>
    <xf numFmtId="167" fontId="13" fillId="35" borderId="13" xfId="4" applyNumberFormat="1" applyFont="1" applyFill="1" applyBorder="1" applyAlignment="1">
      <alignment vertical="center"/>
    </xf>
    <xf numFmtId="0" fontId="14" fillId="35" borderId="13" xfId="12" applyFont="1" applyFill="1" applyBorder="1" applyAlignment="1">
      <alignment vertical="center"/>
    </xf>
    <xf numFmtId="165" fontId="14" fillId="35" borderId="13" xfId="4" applyNumberFormat="1" applyFont="1" applyFill="1" applyBorder="1" applyAlignment="1">
      <alignment horizontal="right" vertical="center"/>
    </xf>
    <xf numFmtId="167" fontId="14" fillId="35" borderId="13" xfId="4" applyNumberFormat="1" applyFont="1" applyFill="1" applyBorder="1" applyAlignment="1" applyProtection="1">
      <alignment horizontal="right" vertical="center"/>
      <protection locked="0"/>
    </xf>
    <xf numFmtId="167" fontId="14" fillId="35" borderId="13" xfId="13" applyNumberFormat="1" applyFont="1" applyFill="1" applyBorder="1" applyAlignment="1">
      <alignment vertical="center"/>
    </xf>
    <xf numFmtId="0" fontId="13" fillId="35" borderId="13" xfId="12" applyFont="1" applyFill="1" applyBorder="1" applyAlignment="1">
      <alignment vertical="top" wrapText="1"/>
    </xf>
    <xf numFmtId="0" fontId="20" fillId="35" borderId="13" xfId="6" applyFont="1" applyFill="1" applyBorder="1" applyAlignment="1">
      <alignment vertical="center" wrapText="1"/>
    </xf>
    <xf numFmtId="167" fontId="13" fillId="35" borderId="13" xfId="13" applyFont="1" applyFill="1" applyBorder="1" applyAlignment="1" applyProtection="1">
      <alignment vertical="center"/>
      <protection locked="0"/>
    </xf>
    <xf numFmtId="167" fontId="13" fillId="35" borderId="13" xfId="13" applyFont="1" applyFill="1" applyBorder="1" applyAlignment="1">
      <alignment vertical="center"/>
    </xf>
    <xf numFmtId="167" fontId="13" fillId="9" borderId="13" xfId="4" applyNumberFormat="1" applyFont="1" applyFill="1" applyBorder="1" applyAlignment="1" applyProtection="1">
      <alignment horizontal="right" vertical="center"/>
      <protection locked="0"/>
    </xf>
    <xf numFmtId="0" fontId="14" fillId="24" borderId="13" xfId="12" applyFont="1" applyFill="1" applyBorder="1" applyAlignment="1">
      <alignment vertical="top" wrapText="1"/>
    </xf>
    <xf numFmtId="0" fontId="13" fillId="24" borderId="13" xfId="12" applyFont="1" applyFill="1" applyBorder="1" applyAlignment="1">
      <alignment vertical="center"/>
    </xf>
    <xf numFmtId="167" fontId="13" fillId="24" borderId="13" xfId="4" applyNumberFormat="1" applyFont="1" applyFill="1" applyBorder="1" applyAlignment="1" applyProtection="1">
      <alignment horizontal="right" vertical="center"/>
      <protection locked="0"/>
    </xf>
    <xf numFmtId="167" fontId="13" fillId="24" borderId="13" xfId="4" applyNumberFormat="1" applyFont="1" applyFill="1" applyBorder="1" applyAlignment="1">
      <alignment vertical="center"/>
    </xf>
    <xf numFmtId="0" fontId="14" fillId="24" borderId="13" xfId="12" applyFont="1" applyFill="1" applyBorder="1" applyAlignment="1">
      <alignment vertical="center"/>
    </xf>
    <xf numFmtId="167" fontId="14" fillId="24" borderId="13" xfId="4" applyNumberFormat="1" applyFont="1" applyFill="1" applyBorder="1" applyAlignment="1" applyProtection="1">
      <alignment horizontal="right" vertical="center"/>
      <protection locked="0"/>
    </xf>
    <xf numFmtId="167" fontId="14" fillId="24" borderId="13" xfId="4" applyNumberFormat="1" applyFont="1" applyFill="1" applyBorder="1" applyAlignment="1">
      <alignment vertical="center"/>
    </xf>
    <xf numFmtId="0" fontId="13" fillId="24" borderId="13" xfId="12" applyFont="1" applyFill="1" applyBorder="1" applyAlignment="1">
      <alignment vertical="top" wrapText="1"/>
    </xf>
    <xf numFmtId="164" fontId="13" fillId="24" borderId="13" xfId="14" applyFont="1" applyFill="1" applyBorder="1" applyAlignment="1" applyProtection="1">
      <alignment horizontal="right" vertical="center"/>
      <protection locked="0"/>
    </xf>
    <xf numFmtId="164" fontId="13" fillId="24" borderId="13" xfId="14" applyFont="1" applyFill="1" applyBorder="1" applyAlignment="1">
      <alignment vertical="center"/>
    </xf>
    <xf numFmtId="0" fontId="13" fillId="24" borderId="13" xfId="12" applyFont="1" applyFill="1" applyBorder="1" applyAlignment="1">
      <alignment wrapText="1"/>
    </xf>
    <xf numFmtId="0" fontId="20" fillId="24" borderId="13" xfId="6" applyFont="1" applyFill="1" applyBorder="1" applyAlignment="1">
      <alignment vertical="center" wrapText="1"/>
    </xf>
    <xf numFmtId="0" fontId="20" fillId="24" borderId="13" xfId="6" applyFont="1" applyFill="1" applyBorder="1" applyAlignment="1">
      <alignment vertical="top" wrapText="1"/>
    </xf>
    <xf numFmtId="0" fontId="4" fillId="13" borderId="5" xfId="6" applyFont="1" applyFill="1" applyBorder="1" applyAlignment="1">
      <alignment horizontal="left" vertical="center"/>
    </xf>
    <xf numFmtId="0" fontId="14" fillId="17" borderId="13" xfId="12" applyFont="1" applyFill="1" applyBorder="1" applyAlignment="1">
      <alignment horizontal="left" vertical="center" wrapText="1"/>
    </xf>
    <xf numFmtId="0" fontId="9" fillId="16" borderId="13" xfId="12" applyFont="1" applyFill="1" applyBorder="1" applyAlignment="1">
      <alignment horizontal="left" vertical="center"/>
    </xf>
    <xf numFmtId="0" fontId="14" fillId="16" borderId="13" xfId="12" applyFont="1" applyFill="1" applyBorder="1" applyAlignment="1">
      <alignment horizontal="left" vertical="center"/>
    </xf>
    <xf numFmtId="0" fontId="20" fillId="0" borderId="13" xfId="6" applyFont="1" applyBorder="1" applyAlignment="1">
      <alignment horizontal="left" vertical="center" wrapText="1"/>
    </xf>
    <xf numFmtId="0" fontId="14" fillId="16" borderId="13" xfId="12" applyFont="1" applyFill="1" applyBorder="1" applyAlignment="1">
      <alignment horizontal="left" vertical="center" wrapText="1"/>
    </xf>
    <xf numFmtId="0" fontId="14" fillId="0" borderId="0" xfId="12" applyFont="1" applyAlignment="1">
      <alignment horizontal="left" vertical="center" wrapText="1"/>
    </xf>
    <xf numFmtId="0" fontId="17" fillId="16" borderId="13" xfId="12" applyFont="1" applyFill="1" applyBorder="1" applyAlignment="1">
      <alignment horizontal="left" vertical="center" wrapText="1"/>
    </xf>
    <xf numFmtId="0" fontId="14" fillId="0" borderId="13" xfId="12" applyFont="1" applyBorder="1" applyAlignment="1">
      <alignment horizontal="left" vertical="center" wrapText="1"/>
    </xf>
    <xf numFmtId="0" fontId="16" fillId="0" borderId="0" xfId="6" applyAlignment="1">
      <alignment horizontal="left" vertical="center"/>
    </xf>
    <xf numFmtId="164" fontId="22" fillId="24" borderId="13" xfId="5" applyNumberFormat="1" applyFont="1" applyFill="1" applyBorder="1" applyAlignment="1" applyProtection="1">
      <alignment vertical="center"/>
      <protection locked="0"/>
    </xf>
    <xf numFmtId="0" fontId="89" fillId="0" borderId="13" xfId="0" applyFont="1" applyBorder="1" applyAlignment="1">
      <alignment vertical="center" wrapText="1"/>
    </xf>
    <xf numFmtId="0" fontId="81" fillId="0" borderId="13" xfId="10" applyFont="1" applyBorder="1" applyAlignment="1">
      <alignment horizontal="center" vertical="center"/>
    </xf>
    <xf numFmtId="4" fontId="81" fillId="0" borderId="13" xfId="10" applyNumberFormat="1" applyFont="1" applyBorder="1" applyAlignment="1">
      <alignment horizontal="right" vertical="center"/>
    </xf>
    <xf numFmtId="4" fontId="20" fillId="0" borderId="13" xfId="10" applyNumberFormat="1" applyFont="1" applyBorder="1" applyAlignment="1">
      <alignment horizontal="justify" vertical="top"/>
    </xf>
    <xf numFmtId="0" fontId="101" fillId="0" borderId="13" xfId="39" applyFont="1" applyBorder="1" applyAlignment="1">
      <alignment vertical="top" wrapText="1"/>
    </xf>
    <xf numFmtId="2" fontId="100" fillId="0" borderId="13" xfId="6" applyNumberFormat="1" applyFont="1" applyBorder="1" applyAlignment="1">
      <alignment vertical="justify" wrapText="1"/>
    </xf>
    <xf numFmtId="2" fontId="13" fillId="0" borderId="13" xfId="6" applyNumberFormat="1" applyFont="1" applyBorder="1" applyAlignment="1">
      <alignment vertical="justify"/>
    </xf>
    <xf numFmtId="0" fontId="13" fillId="0" borderId="13" xfId="38" applyFont="1" applyBorder="1" applyAlignment="1">
      <alignment horizontal="left" vertical="top" wrapText="1"/>
    </xf>
    <xf numFmtId="0" fontId="81" fillId="0" borderId="7" xfId="10" applyFont="1" applyBorder="1" applyAlignment="1">
      <alignment horizontal="center" vertical="center"/>
    </xf>
    <xf numFmtId="4" fontId="81" fillId="0" borderId="7" xfId="10" applyNumberFormat="1" applyFont="1" applyBorder="1" applyAlignment="1">
      <alignment horizontal="right" vertical="center"/>
    </xf>
    <xf numFmtId="0" fontId="81" fillId="0" borderId="29" xfId="10" applyFont="1" applyBorder="1" applyAlignment="1">
      <alignment horizontal="center" vertical="center"/>
    </xf>
    <xf numFmtId="4" fontId="81" fillId="0" borderId="29" xfId="10" applyNumberFormat="1" applyFont="1" applyBorder="1" applyAlignment="1">
      <alignment horizontal="right" vertical="center"/>
    </xf>
    <xf numFmtId="0" fontId="3" fillId="0" borderId="13" xfId="10" applyFont="1" applyBorder="1" applyAlignment="1">
      <alignment horizontal="left" vertical="top"/>
    </xf>
    <xf numFmtId="0" fontId="78" fillId="0" borderId="13" xfId="10" applyFont="1" applyBorder="1" applyAlignment="1">
      <alignment vertical="top" wrapText="1"/>
    </xf>
    <xf numFmtId="0" fontId="78" fillId="0" borderId="13" xfId="6" applyFont="1" applyBorder="1" applyAlignment="1">
      <alignment wrapText="1"/>
    </xf>
    <xf numFmtId="0" fontId="13" fillId="0" borderId="13" xfId="10" applyFont="1" applyBorder="1" applyAlignment="1">
      <alignment vertical="top" wrapText="1"/>
    </xf>
    <xf numFmtId="0" fontId="98" fillId="0" borderId="13" xfId="10" applyFont="1" applyBorder="1" applyAlignment="1">
      <alignment wrapText="1"/>
    </xf>
    <xf numFmtId="11" fontId="78" fillId="0" borderId="13" xfId="6" applyNumberFormat="1" applyFont="1" applyBorder="1" applyAlignment="1">
      <alignment vertical="top" wrapText="1"/>
    </xf>
    <xf numFmtId="0" fontId="78" fillId="0" borderId="13" xfId="10" applyFont="1" applyBorder="1" applyAlignment="1">
      <alignment wrapText="1"/>
    </xf>
    <xf numFmtId="0" fontId="80" fillId="0" borderId="4" xfId="6" applyFont="1" applyBorder="1" applyAlignment="1">
      <alignment horizontal="center" vertical="center"/>
    </xf>
    <xf numFmtId="4" fontId="80" fillId="0" borderId="4" xfId="6" applyNumberFormat="1" applyFont="1" applyBorder="1" applyAlignment="1">
      <alignment horizontal="right" vertical="center"/>
    </xf>
    <xf numFmtId="0" fontId="81" fillId="0" borderId="29" xfId="6" applyFont="1" applyBorder="1" applyAlignment="1">
      <alignment horizontal="center" vertical="center"/>
    </xf>
    <xf numFmtId="4" fontId="81" fillId="0" borderId="29" xfId="6" applyNumberFormat="1" applyFont="1" applyBorder="1" applyAlignment="1">
      <alignment horizontal="right" vertical="center"/>
    </xf>
    <xf numFmtId="0" fontId="78" fillId="0" borderId="4" xfId="6" applyFont="1" applyBorder="1" applyAlignment="1">
      <alignment horizontal="center" vertical="center" wrapText="1"/>
    </xf>
    <xf numFmtId="4" fontId="78" fillId="0" borderId="4" xfId="31" applyNumberFormat="1" applyFont="1" applyBorder="1" applyAlignment="1">
      <alignment horizontal="right" vertical="center"/>
    </xf>
    <xf numFmtId="49" fontId="20" fillId="0" borderId="13" xfId="6" applyNumberFormat="1" applyFont="1" applyBorder="1" applyAlignment="1">
      <alignment horizontal="center" vertical="center"/>
    </xf>
    <xf numFmtId="4" fontId="20" fillId="0" borderId="13" xfId="6" applyNumberFormat="1" applyFont="1" applyBorder="1" applyAlignment="1">
      <alignment horizontal="right" vertical="center" wrapText="1"/>
    </xf>
    <xf numFmtId="49" fontId="20" fillId="0" borderId="4" xfId="6" applyNumberFormat="1" applyFont="1" applyBorder="1" applyAlignment="1">
      <alignment horizontal="center" vertical="center"/>
    </xf>
    <xf numFmtId="4" fontId="20" fillId="0" borderId="4" xfId="6" applyNumberFormat="1" applyFont="1" applyBorder="1" applyAlignment="1">
      <alignment horizontal="right" vertical="center" wrapText="1"/>
    </xf>
    <xf numFmtId="0" fontId="81" fillId="0" borderId="4" xfId="6" applyFont="1" applyBorder="1" applyAlignment="1">
      <alignment horizontal="center" vertical="center" wrapText="1"/>
    </xf>
    <xf numFmtId="4" fontId="81" fillId="0" borderId="4" xfId="31" applyNumberFormat="1" applyFont="1" applyBorder="1" applyAlignment="1">
      <alignment horizontal="right" vertical="center"/>
    </xf>
    <xf numFmtId="0" fontId="82" fillId="0" borderId="0" xfId="6" applyFont="1" applyAlignment="1">
      <alignment vertical="center"/>
    </xf>
    <xf numFmtId="4" fontId="82" fillId="0" borderId="0" xfId="6" applyNumberFormat="1" applyFont="1" applyAlignment="1">
      <alignment horizontal="right" vertical="center"/>
    </xf>
    <xf numFmtId="0" fontId="78" fillId="0" borderId="4" xfId="6" applyFont="1" applyBorder="1" applyAlignment="1">
      <alignment horizontal="center" vertical="center"/>
    </xf>
    <xf numFmtId="4" fontId="78" fillId="0" borderId="4" xfId="6" applyNumberFormat="1" applyFont="1" applyBorder="1" applyAlignment="1">
      <alignment horizontal="right" vertical="center"/>
    </xf>
    <xf numFmtId="0" fontId="78" fillId="0" borderId="0" xfId="6" applyFont="1" applyAlignment="1">
      <alignment horizontal="center" vertical="center"/>
    </xf>
    <xf numFmtId="4" fontId="78" fillId="0" borderId="0" xfId="6" applyNumberFormat="1" applyFont="1" applyAlignment="1">
      <alignment horizontal="right" vertical="center"/>
    </xf>
    <xf numFmtId="0" fontId="78" fillId="0" borderId="16" xfId="6" applyFont="1" applyBorder="1" applyAlignment="1">
      <alignment horizontal="center" vertical="center"/>
    </xf>
    <xf numFmtId="4" fontId="78" fillId="0" borderId="16" xfId="6" applyNumberFormat="1" applyFont="1" applyBorder="1" applyAlignment="1">
      <alignment horizontal="right" vertical="center"/>
    </xf>
    <xf numFmtId="0" fontId="78" fillId="0" borderId="10" xfId="6" applyFont="1" applyBorder="1" applyAlignment="1">
      <alignment horizontal="center" vertical="center"/>
    </xf>
    <xf numFmtId="4" fontId="78" fillId="0" borderId="10" xfId="6" applyNumberFormat="1" applyFont="1" applyBorder="1" applyAlignment="1">
      <alignment horizontal="right" vertical="center"/>
    </xf>
    <xf numFmtId="0" fontId="78" fillId="0" borderId="13" xfId="6" applyFont="1" applyBorder="1" applyAlignment="1">
      <alignment horizontal="center" vertical="center"/>
    </xf>
    <xf numFmtId="4" fontId="78" fillId="0" borderId="13" xfId="6" applyNumberFormat="1" applyFont="1" applyBorder="1" applyAlignment="1">
      <alignment horizontal="right" vertical="center"/>
    </xf>
    <xf numFmtId="0" fontId="78" fillId="0" borderId="29" xfId="6" applyFont="1" applyBorder="1" applyAlignment="1">
      <alignment horizontal="center" vertical="center"/>
    </xf>
    <xf numFmtId="4" fontId="78" fillId="0" borderId="29" xfId="6" applyNumberFormat="1" applyFont="1" applyBorder="1" applyAlignment="1">
      <alignment horizontal="right" vertical="center"/>
    </xf>
    <xf numFmtId="0" fontId="81" fillId="0" borderId="4" xfId="10" applyFont="1" applyBorder="1" applyAlignment="1">
      <alignment horizontal="center" vertical="center"/>
    </xf>
    <xf numFmtId="4" fontId="81" fillId="0" borderId="4" xfId="10" applyNumberFormat="1" applyFont="1" applyBorder="1" applyAlignment="1">
      <alignment horizontal="right" vertical="center"/>
    </xf>
    <xf numFmtId="0" fontId="3" fillId="0" borderId="13" xfId="10" applyFont="1" applyBorder="1" applyAlignment="1">
      <alignment horizontal="center" vertical="center"/>
    </xf>
    <xf numFmtId="4" fontId="3" fillId="0" borderId="13" xfId="10" applyNumberFormat="1" applyFont="1" applyBorder="1" applyAlignment="1">
      <alignment horizontal="right" vertical="center"/>
    </xf>
    <xf numFmtId="0" fontId="81" fillId="0" borderId="16" xfId="10" applyFont="1" applyBorder="1" applyAlignment="1">
      <alignment horizontal="center" vertical="center"/>
    </xf>
    <xf numFmtId="4" fontId="81" fillId="0" borderId="16" xfId="10" applyNumberFormat="1" applyFont="1" applyBorder="1" applyAlignment="1">
      <alignment horizontal="right" vertical="center"/>
    </xf>
    <xf numFmtId="4" fontId="81" fillId="0" borderId="5" xfId="10" applyNumberFormat="1" applyFont="1" applyBorder="1" applyAlignment="1">
      <alignment horizontal="right" vertical="center"/>
    </xf>
    <xf numFmtId="0" fontId="81" fillId="0" borderId="0" xfId="10" applyFont="1" applyAlignment="1">
      <alignment horizontal="center" vertical="center"/>
    </xf>
    <xf numFmtId="4" fontId="81" fillId="0" borderId="0" xfId="10" applyNumberFormat="1" applyFont="1" applyAlignment="1">
      <alignment horizontal="right" vertical="center"/>
    </xf>
    <xf numFmtId="0" fontId="81" fillId="0" borderId="15" xfId="10" applyFont="1" applyBorder="1" applyAlignment="1">
      <alignment horizontal="center" vertical="center"/>
    </xf>
    <xf numFmtId="4" fontId="81" fillId="0" borderId="15" xfId="10" applyNumberFormat="1" applyFont="1" applyBorder="1" applyAlignment="1">
      <alignment horizontal="right" vertical="center"/>
    </xf>
    <xf numFmtId="177" fontId="107" fillId="15" borderId="13" xfId="40" applyNumberFormat="1" applyFont="1" applyFill="1" applyBorder="1" applyAlignment="1">
      <alignment horizontal="center" vertical="center"/>
    </xf>
    <xf numFmtId="177" fontId="13" fillId="0" borderId="13" xfId="40" applyNumberFormat="1" applyFont="1" applyBorder="1" applyAlignment="1">
      <alignment horizontal="center" vertical="center"/>
    </xf>
    <xf numFmtId="2" fontId="13" fillId="0" borderId="13" xfId="40" applyNumberFormat="1" applyFont="1" applyBorder="1" applyAlignment="1">
      <alignment vertical="center"/>
    </xf>
    <xf numFmtId="2" fontId="13" fillId="20" borderId="13" xfId="40" applyNumberFormat="1" applyFont="1" applyFill="1" applyBorder="1" applyAlignment="1">
      <alignment vertical="center"/>
    </xf>
    <xf numFmtId="177" fontId="13" fillId="20" borderId="13" xfId="40" applyNumberFormat="1" applyFont="1" applyFill="1" applyBorder="1" applyAlignment="1">
      <alignment horizontal="center" vertical="center"/>
    </xf>
    <xf numFmtId="0" fontId="20" fillId="0" borderId="13" xfId="2" applyFont="1" applyBorder="1" applyAlignment="1">
      <alignment horizontal="center" vertical="center" wrapText="1"/>
    </xf>
    <xf numFmtId="2" fontId="20" fillId="0" borderId="13" xfId="2" applyNumberFormat="1" applyFont="1" applyBorder="1" applyAlignment="1">
      <alignment vertical="center" wrapText="1"/>
    </xf>
    <xf numFmtId="0" fontId="20" fillId="0" borderId="31" xfId="2" applyFont="1" applyBorder="1" applyAlignment="1">
      <alignment horizontal="center" vertical="center" wrapText="1"/>
    </xf>
    <xf numFmtId="2" fontId="20" fillId="0" borderId="31" xfId="2" applyNumberFormat="1" applyFont="1" applyBorder="1" applyAlignment="1">
      <alignment vertical="center" wrapText="1"/>
    </xf>
    <xf numFmtId="4" fontId="13" fillId="0" borderId="33" xfId="43" applyNumberFormat="1" applyFont="1" applyBorder="1" applyAlignment="1">
      <alignment horizontal="center" vertical="center"/>
    </xf>
    <xf numFmtId="4" fontId="13" fillId="0" borderId="26" xfId="43" applyNumberFormat="1" applyFont="1" applyBorder="1" applyAlignment="1">
      <alignment horizontal="center" vertical="center"/>
    </xf>
    <xf numFmtId="2" fontId="13" fillId="0" borderId="26" xfId="43" applyNumberFormat="1" applyFont="1" applyBorder="1" applyAlignment="1">
      <alignment vertical="center"/>
    </xf>
    <xf numFmtId="4" fontId="13" fillId="0" borderId="3" xfId="43" applyNumberFormat="1" applyFont="1" applyBorder="1" applyAlignment="1">
      <alignment horizontal="center" vertical="center"/>
    </xf>
    <xf numFmtId="2" fontId="13" fillId="0" borderId="3" xfId="43" applyNumberFormat="1" applyFont="1" applyBorder="1" applyAlignment="1">
      <alignment vertical="center"/>
    </xf>
    <xf numFmtId="0" fontId="20" fillId="0" borderId="5" xfId="2" applyFont="1" applyBorder="1" applyAlignment="1">
      <alignment horizontal="center" vertical="center" wrapText="1"/>
    </xf>
    <xf numFmtId="2" fontId="20" fillId="0" borderId="5" xfId="2" applyNumberFormat="1" applyFont="1" applyBorder="1" applyAlignment="1">
      <alignment vertical="center" wrapText="1"/>
    </xf>
    <xf numFmtId="0" fontId="20" fillId="20" borderId="13" xfId="2" applyFont="1" applyFill="1" applyBorder="1" applyAlignment="1">
      <alignment horizontal="center" vertical="center" wrapText="1"/>
    </xf>
    <xf numFmtId="2" fontId="20" fillId="20" borderId="13" xfId="2" applyNumberFormat="1" applyFont="1" applyFill="1" applyBorder="1" applyAlignment="1">
      <alignment vertical="center" wrapText="1"/>
    </xf>
    <xf numFmtId="0" fontId="20" fillId="0" borderId="16" xfId="2" applyFont="1" applyBorder="1" applyAlignment="1">
      <alignment horizontal="center" vertical="center" wrapText="1"/>
    </xf>
    <xf numFmtId="2" fontId="20" fillId="0" borderId="16" xfId="2" applyNumberFormat="1" applyFont="1" applyBorder="1" applyAlignment="1">
      <alignment vertical="center" wrapText="1"/>
    </xf>
    <xf numFmtId="0" fontId="20" fillId="0" borderId="3" xfId="2" applyFont="1" applyBorder="1" applyAlignment="1">
      <alignment horizontal="center" vertical="center" wrapText="1"/>
    </xf>
    <xf numFmtId="2" fontId="20" fillId="0" borderId="3" xfId="2" applyNumberFormat="1" applyFont="1" applyBorder="1" applyAlignment="1">
      <alignment vertical="center" wrapText="1"/>
    </xf>
    <xf numFmtId="177" fontId="13" fillId="0" borderId="5" xfId="40" applyNumberFormat="1" applyFont="1" applyBorder="1" applyAlignment="1">
      <alignment horizontal="center" vertical="center"/>
    </xf>
    <xf numFmtId="2" fontId="13" fillId="0" borderId="5" xfId="40" applyNumberFormat="1" applyFont="1" applyBorder="1" applyAlignment="1">
      <alignment vertical="center"/>
    </xf>
    <xf numFmtId="177" fontId="13" fillId="0" borderId="31" xfId="40" applyNumberFormat="1" applyFont="1" applyBorder="1" applyAlignment="1">
      <alignment horizontal="center" vertical="center"/>
    </xf>
    <xf numFmtId="2" fontId="13" fillId="0" borderId="31" xfId="40" applyNumberFormat="1" applyFont="1" applyBorder="1" applyAlignment="1">
      <alignment vertical="center"/>
    </xf>
    <xf numFmtId="4" fontId="13" fillId="0" borderId="0" xfId="43" applyNumberFormat="1" applyFont="1" applyAlignment="1">
      <alignment horizontal="center" vertical="center"/>
    </xf>
    <xf numFmtId="0" fontId="20" fillId="0" borderId="0" xfId="10" applyFont="1" applyAlignment="1">
      <alignment horizontal="center" vertical="center" wrapText="1"/>
    </xf>
    <xf numFmtId="4" fontId="20" fillId="0" borderId="0" xfId="10" applyNumberFormat="1" applyFont="1" applyAlignment="1">
      <alignment vertical="center" wrapText="1"/>
    </xf>
    <xf numFmtId="0" fontId="25" fillId="27" borderId="13" xfId="10" applyFont="1" applyFill="1" applyBorder="1" applyAlignment="1">
      <alignment horizontal="center" vertical="center" wrapText="1"/>
    </xf>
    <xf numFmtId="4" fontId="25" fillId="27" borderId="13" xfId="10" applyNumberFormat="1" applyFont="1" applyFill="1" applyBorder="1" applyAlignment="1">
      <alignment vertical="center" wrapText="1"/>
    </xf>
    <xf numFmtId="177" fontId="13" fillId="0" borderId="16" xfId="40" applyNumberFormat="1" applyFont="1" applyBorder="1" applyAlignment="1">
      <alignment horizontal="center" vertical="center" wrapText="1"/>
    </xf>
    <xf numFmtId="4" fontId="13" fillId="0" borderId="16" xfId="40" applyNumberFormat="1" applyFont="1" applyBorder="1" applyAlignment="1">
      <alignment vertical="center" wrapText="1"/>
    </xf>
    <xf numFmtId="4" fontId="14" fillId="0" borderId="33" xfId="43" applyNumberFormat="1" applyFont="1" applyBorder="1" applyAlignment="1">
      <alignment horizontal="center" vertical="center" wrapText="1"/>
    </xf>
    <xf numFmtId="4" fontId="14" fillId="0" borderId="33" xfId="43" applyNumberFormat="1" applyFont="1" applyBorder="1" applyAlignment="1">
      <alignment vertical="center" wrapText="1"/>
    </xf>
    <xf numFmtId="4" fontId="13" fillId="0" borderId="0" xfId="43" applyNumberFormat="1" applyFont="1" applyAlignment="1">
      <alignment horizontal="center" vertical="center" wrapText="1"/>
    </xf>
    <xf numFmtId="4" fontId="13" fillId="0" borderId="0" xfId="43" applyNumberFormat="1" applyFont="1" applyAlignment="1">
      <alignment vertical="center" wrapText="1"/>
    </xf>
    <xf numFmtId="177" fontId="13" fillId="0" borderId="0" xfId="40" applyNumberFormat="1" applyFont="1" applyAlignment="1">
      <alignment horizontal="center" vertical="center" wrapText="1"/>
    </xf>
    <xf numFmtId="4" fontId="13" fillId="0" borderId="0" xfId="40" applyNumberFormat="1" applyFont="1" applyAlignment="1">
      <alignment vertical="center" wrapText="1"/>
    </xf>
    <xf numFmtId="0" fontId="78" fillId="0" borderId="13" xfId="10" applyFont="1" applyBorder="1" applyAlignment="1">
      <alignment horizontal="left" vertical="top"/>
    </xf>
    <xf numFmtId="4" fontId="20" fillId="0" borderId="13" xfId="10" applyNumberFormat="1" applyFont="1" applyBorder="1" applyAlignment="1">
      <alignment horizontal="justify" vertical="top" wrapText="1"/>
    </xf>
    <xf numFmtId="0" fontId="78" fillId="0" borderId="13" xfId="10" applyFont="1" applyBorder="1" applyAlignment="1">
      <alignment horizontal="center" vertical="center"/>
    </xf>
    <xf numFmtId="4" fontId="78" fillId="0" borderId="13" xfId="10" applyNumberFormat="1" applyFont="1" applyBorder="1" applyAlignment="1">
      <alignment horizontal="right" vertical="center"/>
    </xf>
    <xf numFmtId="1" fontId="13" fillId="0" borderId="13" xfId="35" quotePrefix="1" applyFont="1" applyBorder="1" applyAlignment="1">
      <alignment horizontal="left" vertical="top" wrapText="1"/>
    </xf>
    <xf numFmtId="0" fontId="78" fillId="0" borderId="13" xfId="10" applyFont="1" applyBorder="1" applyAlignment="1">
      <alignment horizontal="right" vertical="top"/>
    </xf>
    <xf numFmtId="0" fontId="13" fillId="0" borderId="13" xfId="36" applyFont="1" applyBorder="1" applyAlignment="1">
      <alignment horizontal="justify" vertical="top" wrapText="1"/>
    </xf>
    <xf numFmtId="0" fontId="13" fillId="0" borderId="13" xfId="37" applyNumberFormat="1" applyFont="1" applyBorder="1" applyAlignment="1">
      <alignment horizontal="left" vertical="top" wrapText="1"/>
    </xf>
    <xf numFmtId="164" fontId="22" fillId="10" borderId="13" xfId="5" applyNumberFormat="1" applyFont="1" applyFill="1" applyBorder="1" applyAlignment="1" applyProtection="1">
      <alignment vertical="center"/>
      <protection locked="0"/>
    </xf>
    <xf numFmtId="49" fontId="82" fillId="7" borderId="4" xfId="6" applyNumberFormat="1" applyFont="1" applyFill="1" applyBorder="1" applyAlignment="1">
      <alignment horizontal="left" vertical="top"/>
    </xf>
    <xf numFmtId="0" fontId="4" fillId="7" borderId="4" xfId="6" applyFont="1" applyFill="1" applyBorder="1" applyAlignment="1">
      <alignment horizontal="right" vertical="top" wrapText="1"/>
    </xf>
    <xf numFmtId="164" fontId="22" fillId="7" borderId="13" xfId="5" applyNumberFormat="1" applyFont="1" applyFill="1" applyBorder="1" applyAlignment="1" applyProtection="1">
      <alignment vertical="center"/>
      <protection locked="0"/>
    </xf>
    <xf numFmtId="49" fontId="14" fillId="33" borderId="13" xfId="3" quotePrefix="1" applyNumberFormat="1" applyFont="1" applyFill="1" applyBorder="1" applyAlignment="1">
      <alignment horizontal="left" vertical="top"/>
    </xf>
    <xf numFmtId="0" fontId="14" fillId="33" borderId="13" xfId="3" applyFont="1" applyFill="1" applyBorder="1"/>
    <xf numFmtId="0" fontId="13" fillId="33" borderId="13" xfId="3" applyFont="1" applyFill="1" applyBorder="1" applyAlignment="1">
      <alignment vertical="center"/>
    </xf>
    <xf numFmtId="165" fontId="13" fillId="33" borderId="13" xfId="3" applyNumberFormat="1" applyFont="1" applyFill="1" applyBorder="1" applyAlignment="1">
      <alignment horizontal="right" vertical="center"/>
    </xf>
    <xf numFmtId="174" fontId="14" fillId="33" borderId="4" xfId="3" applyNumberFormat="1" applyFont="1" applyFill="1" applyBorder="1" applyAlignment="1" applyProtection="1">
      <alignment vertical="center"/>
      <protection locked="0"/>
    </xf>
    <xf numFmtId="164" fontId="22" fillId="33" borderId="13" xfId="5" applyNumberFormat="1" applyFont="1" applyFill="1" applyBorder="1" applyAlignment="1" applyProtection="1">
      <alignment vertical="center"/>
      <protection locked="0"/>
    </xf>
    <xf numFmtId="49" fontId="14" fillId="24" borderId="13" xfId="3" applyNumberFormat="1" applyFont="1" applyFill="1" applyBorder="1" applyAlignment="1">
      <alignment horizontal="left" vertical="top"/>
    </xf>
    <xf numFmtId="0" fontId="14" fillId="24" borderId="4" xfId="3" applyFont="1" applyFill="1" applyBorder="1" applyAlignment="1">
      <alignment horizontal="left" vertical="center"/>
    </xf>
    <xf numFmtId="0" fontId="13" fillId="24" borderId="5" xfId="3" applyFont="1" applyFill="1" applyBorder="1" applyAlignment="1">
      <alignment horizontal="left" vertical="center"/>
    </xf>
    <xf numFmtId="165" fontId="13" fillId="24" borderId="6" xfId="3" applyNumberFormat="1" applyFont="1" applyFill="1" applyBorder="1" applyAlignment="1">
      <alignment horizontal="right" vertical="center"/>
    </xf>
    <xf numFmtId="174" fontId="13" fillId="24" borderId="13" xfId="3" applyNumberFormat="1" applyFont="1" applyFill="1" applyBorder="1" applyAlignment="1" applyProtection="1">
      <alignment vertical="center"/>
      <protection locked="0"/>
    </xf>
    <xf numFmtId="174" fontId="13" fillId="24" borderId="13" xfId="3" applyNumberFormat="1" applyFont="1" applyFill="1" applyBorder="1" applyAlignment="1">
      <alignment vertical="center"/>
    </xf>
    <xf numFmtId="0" fontId="14" fillId="24" borderId="4" xfId="3" applyFont="1" applyFill="1" applyBorder="1" applyAlignment="1">
      <alignment horizontal="center" vertical="center"/>
    </xf>
    <xf numFmtId="0" fontId="13" fillId="24" borderId="5" xfId="3" applyFont="1" applyFill="1" applyBorder="1" applyAlignment="1">
      <alignment vertical="center"/>
    </xf>
    <xf numFmtId="174" fontId="14" fillId="24" borderId="13" xfId="3" applyNumberFormat="1" applyFont="1" applyFill="1" applyBorder="1" applyAlignment="1" applyProtection="1">
      <alignment vertical="center"/>
      <protection locked="0"/>
    </xf>
    <xf numFmtId="174" fontId="14" fillId="24" borderId="13" xfId="3" applyNumberFormat="1" applyFont="1" applyFill="1" applyBorder="1" applyAlignment="1">
      <alignment vertical="center"/>
    </xf>
    <xf numFmtId="49" fontId="14" fillId="24" borderId="13" xfId="3" quotePrefix="1" applyNumberFormat="1" applyFont="1" applyFill="1" applyBorder="1" applyAlignment="1">
      <alignment horizontal="left" vertical="top"/>
    </xf>
    <xf numFmtId="0" fontId="14" fillId="24" borderId="13" xfId="3" applyFont="1" applyFill="1" applyBorder="1" applyAlignment="1">
      <alignment wrapText="1"/>
    </xf>
    <xf numFmtId="0" fontId="13" fillId="24" borderId="13" xfId="3" applyFont="1" applyFill="1" applyBorder="1" applyAlignment="1">
      <alignment vertical="center" wrapText="1"/>
    </xf>
    <xf numFmtId="165" fontId="13" fillId="24" borderId="13" xfId="3" applyNumberFormat="1" applyFont="1" applyFill="1" applyBorder="1" applyAlignment="1">
      <alignment horizontal="right" vertical="center" wrapText="1"/>
    </xf>
    <xf numFmtId="49" fontId="14" fillId="9" borderId="13" xfId="3" quotePrefix="1" applyNumberFormat="1" applyFont="1" applyFill="1" applyBorder="1" applyAlignment="1">
      <alignment horizontal="left" vertical="top"/>
    </xf>
    <xf numFmtId="0" fontId="14" fillId="9" borderId="13" xfId="3" applyFont="1" applyFill="1" applyBorder="1" applyAlignment="1">
      <alignment wrapText="1"/>
    </xf>
    <xf numFmtId="0" fontId="13" fillId="9" borderId="13" xfId="3" applyFont="1" applyFill="1" applyBorder="1" applyAlignment="1">
      <alignment vertical="center" wrapText="1"/>
    </xf>
    <xf numFmtId="165" fontId="13" fillId="9" borderId="13" xfId="3" applyNumberFormat="1" applyFont="1" applyFill="1" applyBorder="1" applyAlignment="1">
      <alignment horizontal="right" vertical="center" wrapText="1"/>
    </xf>
    <xf numFmtId="174" fontId="14" fillId="9" borderId="13" xfId="3" applyNumberFormat="1" applyFont="1" applyFill="1" applyBorder="1" applyAlignment="1" applyProtection="1">
      <alignment vertical="center"/>
      <protection locked="0"/>
    </xf>
    <xf numFmtId="164" fontId="22" fillId="9" borderId="13" xfId="5" applyNumberFormat="1" applyFont="1" applyFill="1" applyBorder="1" applyAlignment="1" applyProtection="1">
      <alignment vertical="center"/>
      <protection locked="0"/>
    </xf>
    <xf numFmtId="49" fontId="14" fillId="10" borderId="13" xfId="3" quotePrefix="1" applyNumberFormat="1" applyFont="1" applyFill="1" applyBorder="1" applyAlignment="1">
      <alignment horizontal="left" vertical="top"/>
    </xf>
    <xf numFmtId="0" fontId="14" fillId="10" borderId="13" xfId="3" applyFont="1" applyFill="1" applyBorder="1" applyAlignment="1">
      <alignment wrapText="1"/>
    </xf>
    <xf numFmtId="0" fontId="13" fillId="10" borderId="13" xfId="3" applyFont="1" applyFill="1" applyBorder="1" applyAlignment="1">
      <alignment vertical="center" wrapText="1"/>
    </xf>
    <xf numFmtId="165" fontId="13" fillId="10" borderId="13" xfId="3" applyNumberFormat="1" applyFont="1" applyFill="1" applyBorder="1" applyAlignment="1">
      <alignment horizontal="right" vertical="center" wrapText="1"/>
    </xf>
    <xf numFmtId="174" fontId="14" fillId="10" borderId="13" xfId="3" applyNumberFormat="1" applyFont="1" applyFill="1" applyBorder="1" applyAlignment="1" applyProtection="1">
      <alignment vertical="center"/>
      <protection locked="0"/>
    </xf>
    <xf numFmtId="49" fontId="14" fillId="34" borderId="13" xfId="3" quotePrefix="1" applyNumberFormat="1" applyFont="1" applyFill="1" applyBorder="1" applyAlignment="1">
      <alignment horizontal="left" vertical="top"/>
    </xf>
    <xf numFmtId="0" fontId="14" fillId="34" borderId="13" xfId="3" applyFont="1" applyFill="1" applyBorder="1" applyAlignment="1">
      <alignment wrapText="1"/>
    </xf>
    <xf numFmtId="0" fontId="13" fillId="34" borderId="13" xfId="3" applyFont="1" applyFill="1" applyBorder="1" applyAlignment="1">
      <alignment vertical="center" wrapText="1"/>
    </xf>
    <xf numFmtId="165" fontId="13" fillId="34" borderId="13" xfId="3" applyNumberFormat="1" applyFont="1" applyFill="1" applyBorder="1" applyAlignment="1">
      <alignment horizontal="right" vertical="center" wrapText="1"/>
    </xf>
    <xf numFmtId="174" fontId="14" fillId="34" borderId="13" xfId="3" applyNumberFormat="1" applyFont="1" applyFill="1" applyBorder="1" applyAlignment="1" applyProtection="1">
      <alignment vertical="center"/>
      <protection locked="0"/>
    </xf>
    <xf numFmtId="164" fontId="22" fillId="34" borderId="13" xfId="5" applyNumberFormat="1" applyFont="1" applyFill="1" applyBorder="1" applyAlignment="1" applyProtection="1">
      <alignment vertical="center"/>
      <protection locked="0"/>
    </xf>
    <xf numFmtId="164" fontId="13" fillId="11" borderId="13" xfId="5" applyFont="1" applyFill="1" applyBorder="1" applyAlignment="1">
      <alignment horizontal="right"/>
    </xf>
    <xf numFmtId="180" fontId="13" fillId="10" borderId="13" xfId="4" applyNumberFormat="1" applyFont="1" applyFill="1" applyBorder="1" applyAlignment="1" applyProtection="1">
      <alignment horizontal="right" vertical="center"/>
      <protection locked="0"/>
    </xf>
    <xf numFmtId="164" fontId="13" fillId="11" borderId="13" xfId="4" applyNumberFormat="1" applyFont="1" applyFill="1" applyBorder="1" applyAlignment="1">
      <alignment horizontal="center"/>
    </xf>
    <xf numFmtId="164" fontId="13" fillId="10" borderId="13" xfId="5" applyFont="1" applyFill="1" applyBorder="1" applyAlignment="1" applyProtection="1">
      <alignment vertical="center"/>
      <protection locked="0"/>
    </xf>
    <xf numFmtId="0" fontId="10" fillId="4" borderId="5" xfId="6" applyFont="1" applyFill="1" applyBorder="1" applyAlignment="1">
      <alignment horizontal="center" vertical="center"/>
    </xf>
    <xf numFmtId="0" fontId="13" fillId="21" borderId="0" xfId="6" applyFont="1" applyFill="1" applyAlignment="1">
      <alignment horizontal="center" vertical="center"/>
    </xf>
    <xf numFmtId="0" fontId="13" fillId="5" borderId="9" xfId="3" applyFont="1" applyFill="1" applyBorder="1" applyAlignment="1">
      <alignment horizontal="center" vertical="top"/>
    </xf>
    <xf numFmtId="0" fontId="13" fillId="5" borderId="3" xfId="3" applyFont="1" applyFill="1" applyBorder="1" applyAlignment="1">
      <alignment horizontal="center" vertical="top"/>
    </xf>
    <xf numFmtId="0" fontId="13" fillId="5" borderId="0" xfId="3" applyFont="1" applyFill="1" applyAlignment="1">
      <alignment horizontal="center" vertical="top"/>
    </xf>
    <xf numFmtId="0" fontId="3" fillId="5" borderId="5" xfId="2" applyFont="1" applyFill="1" applyBorder="1" applyAlignment="1">
      <alignment horizontal="center" vertical="top" wrapText="1"/>
    </xf>
    <xf numFmtId="0" fontId="14" fillId="10" borderId="13" xfId="2" applyFont="1" applyFill="1" applyBorder="1" applyAlignment="1">
      <alignment horizontal="center" vertical="center"/>
    </xf>
    <xf numFmtId="0" fontId="14" fillId="11" borderId="13" xfId="2" applyFont="1" applyFill="1" applyBorder="1" applyAlignment="1">
      <alignment horizontal="center" vertical="center"/>
    </xf>
    <xf numFmtId="0" fontId="13" fillId="24" borderId="13" xfId="2" applyFont="1" applyFill="1" applyBorder="1" applyAlignment="1">
      <alignment horizontal="center" vertical="center"/>
    </xf>
    <xf numFmtId="180" fontId="13" fillId="7" borderId="13" xfId="4" applyNumberFormat="1" applyFont="1" applyFill="1" applyBorder="1" applyAlignment="1" applyProtection="1">
      <alignment horizontal="right" vertical="center"/>
      <protection locked="0"/>
    </xf>
    <xf numFmtId="180" fontId="13" fillId="11" borderId="13" xfId="4" applyNumberFormat="1" applyFont="1" applyFill="1" applyBorder="1" applyAlignment="1" applyProtection="1">
      <alignment horizontal="right" vertical="center"/>
      <protection locked="0"/>
    </xf>
    <xf numFmtId="180" fontId="13" fillId="11" borderId="13" xfId="4" applyNumberFormat="1" applyFont="1" applyFill="1" applyBorder="1" applyAlignment="1">
      <alignment horizontal="center"/>
    </xf>
    <xf numFmtId="0" fontId="140" fillId="31" borderId="13" xfId="46" applyFont="1" applyFill="1" applyBorder="1" applyAlignment="1">
      <alignment horizontal="left" vertical="top" wrapText="1"/>
    </xf>
    <xf numFmtId="0" fontId="14" fillId="31" borderId="13" xfId="2" applyFont="1" applyFill="1" applyBorder="1" applyAlignment="1">
      <alignment vertical="center"/>
    </xf>
    <xf numFmtId="165" fontId="14" fillId="31" borderId="13" xfId="4" applyNumberFormat="1" applyFont="1" applyFill="1" applyBorder="1" applyAlignment="1">
      <alignment horizontal="right" vertical="center"/>
    </xf>
    <xf numFmtId="164" fontId="14" fillId="31" borderId="13" xfId="5" applyFont="1" applyFill="1" applyBorder="1" applyAlignment="1" applyProtection="1">
      <alignment horizontal="right" vertical="center"/>
      <protection locked="0"/>
    </xf>
    <xf numFmtId="164" fontId="14" fillId="31" borderId="13" xfId="5" applyFont="1" applyFill="1" applyBorder="1" applyAlignment="1">
      <alignment vertical="center"/>
    </xf>
    <xf numFmtId="0" fontId="25" fillId="6" borderId="13" xfId="6" applyFont="1" applyFill="1" applyBorder="1" applyAlignment="1">
      <alignment vertical="center" wrapText="1"/>
    </xf>
    <xf numFmtId="0" fontId="13" fillId="6" borderId="13" xfId="2" applyFont="1" applyFill="1" applyBorder="1" applyAlignment="1">
      <alignment vertical="center"/>
    </xf>
    <xf numFmtId="165" fontId="13" fillId="6" borderId="13" xfId="4" applyNumberFormat="1" applyFont="1" applyFill="1" applyBorder="1" applyAlignment="1">
      <alignment horizontal="right" vertical="center"/>
    </xf>
    <xf numFmtId="164" fontId="13" fillId="6" borderId="13" xfId="5" applyFont="1" applyFill="1" applyBorder="1" applyAlignment="1" applyProtection="1">
      <alignment horizontal="right" vertical="center"/>
      <protection locked="0"/>
    </xf>
    <xf numFmtId="164" fontId="13" fillId="6" borderId="13" xfId="5" applyFont="1" applyFill="1" applyBorder="1" applyAlignment="1">
      <alignment vertical="center"/>
    </xf>
    <xf numFmtId="0" fontId="20" fillId="6" borderId="13" xfId="6" applyFont="1" applyFill="1" applyBorder="1" applyAlignment="1">
      <alignment vertical="center" wrapText="1"/>
    </xf>
    <xf numFmtId="0" fontId="14" fillId="6" borderId="13" xfId="2" applyFont="1" applyFill="1" applyBorder="1" applyAlignment="1">
      <alignment vertical="center"/>
    </xf>
    <xf numFmtId="165" fontId="14" fillId="6" borderId="13" xfId="4" applyNumberFormat="1" applyFont="1" applyFill="1" applyBorder="1" applyAlignment="1">
      <alignment horizontal="right" vertical="center"/>
    </xf>
    <xf numFmtId="164" fontId="14" fillId="6" borderId="13" xfId="5" applyFont="1" applyFill="1" applyBorder="1" applyAlignment="1" applyProtection="1">
      <alignment horizontal="right" vertical="center"/>
      <protection locked="0"/>
    </xf>
    <xf numFmtId="164" fontId="14" fillId="6" borderId="13" xfId="5" applyFont="1" applyFill="1" applyBorder="1" applyAlignment="1">
      <alignment vertical="center"/>
    </xf>
    <xf numFmtId="49" fontId="4" fillId="6" borderId="13" xfId="2" applyNumberFormat="1" applyFont="1" applyFill="1" applyBorder="1" applyAlignment="1">
      <alignment horizontal="center" vertical="top"/>
    </xf>
    <xf numFmtId="49" fontId="3" fillId="6" borderId="13" xfId="2" applyNumberFormat="1" applyFont="1" applyFill="1" applyBorder="1" applyAlignment="1">
      <alignment horizontal="center" vertical="top"/>
    </xf>
    <xf numFmtId="0" fontId="4" fillId="6" borderId="13" xfId="2" applyFont="1" applyFill="1" applyBorder="1" applyAlignment="1">
      <alignment horizontal="center" vertical="center"/>
    </xf>
    <xf numFmtId="0" fontId="14" fillId="6" borderId="13" xfId="2" applyFont="1" applyFill="1" applyBorder="1" applyAlignment="1">
      <alignment horizontal="justify" vertical="center" wrapText="1"/>
    </xf>
    <xf numFmtId="0" fontId="13" fillId="6" borderId="13" xfId="2" applyFont="1" applyFill="1" applyBorder="1" applyAlignment="1">
      <alignment horizontal="center" vertical="center"/>
    </xf>
    <xf numFmtId="165" fontId="13" fillId="6" borderId="13" xfId="4" applyNumberFormat="1" applyFont="1" applyFill="1" applyBorder="1" applyAlignment="1">
      <alignment vertical="center"/>
    </xf>
    <xf numFmtId="164" fontId="13" fillId="6" borderId="13" xfId="5" applyFont="1" applyFill="1" applyBorder="1" applyAlignment="1" applyProtection="1">
      <alignment vertical="center"/>
      <protection locked="0"/>
    </xf>
    <xf numFmtId="0" fontId="13" fillId="6" borderId="13" xfId="6" applyFont="1" applyFill="1" applyBorder="1" applyAlignment="1">
      <alignment horizontal="center" vertical="center"/>
    </xf>
    <xf numFmtId="164" fontId="13" fillId="6" borderId="13" xfId="5" applyFont="1" applyFill="1" applyBorder="1" applyAlignment="1" applyProtection="1">
      <alignment horizontal="center" vertical="center"/>
      <protection locked="0"/>
    </xf>
    <xf numFmtId="0" fontId="14" fillId="6" borderId="13" xfId="2" applyFont="1" applyFill="1" applyBorder="1" applyAlignment="1">
      <alignment vertical="top" wrapText="1"/>
    </xf>
    <xf numFmtId="164" fontId="14" fillId="36" borderId="13" xfId="5" applyNumberFormat="1" applyFont="1" applyFill="1" applyBorder="1" applyAlignment="1">
      <alignment vertical="center"/>
    </xf>
    <xf numFmtId="49" fontId="3" fillId="6" borderId="15" xfId="49" applyNumberFormat="1" applyFill="1" applyBorder="1" applyAlignment="1">
      <alignment vertical="top"/>
    </xf>
    <xf numFmtId="0" fontId="13" fillId="6" borderId="13" xfId="16" applyFont="1" applyFill="1" applyBorder="1" applyAlignment="1">
      <alignment horizontal="center" vertical="center"/>
    </xf>
    <xf numFmtId="49" fontId="4" fillId="8" borderId="13" xfId="6" quotePrefix="1" applyNumberFormat="1" applyFont="1" applyFill="1" applyBorder="1" applyAlignment="1">
      <alignment horizontal="left" vertical="center"/>
    </xf>
    <xf numFmtId="0" fontId="14" fillId="8" borderId="4" xfId="6" applyFont="1" applyFill="1" applyBorder="1" applyAlignment="1">
      <alignment horizontal="left" vertical="center" wrapText="1"/>
    </xf>
    <xf numFmtId="0" fontId="13" fillId="8" borderId="5" xfId="6" applyFont="1" applyFill="1" applyBorder="1" applyAlignment="1">
      <alignment horizontal="center" vertical="center" wrapText="1"/>
    </xf>
    <xf numFmtId="165" fontId="13" fillId="8" borderId="5" xfId="6" applyNumberFormat="1" applyFont="1" applyFill="1" applyBorder="1" applyAlignment="1">
      <alignment horizontal="center" vertical="center" wrapText="1"/>
    </xf>
    <xf numFmtId="4" fontId="14" fillId="8" borderId="6" xfId="6" applyNumberFormat="1" applyFont="1" applyFill="1" applyBorder="1" applyAlignment="1" applyProtection="1">
      <alignment horizontal="center" vertical="center"/>
      <protection locked="0"/>
    </xf>
    <xf numFmtId="164" fontId="14" fillId="8" borderId="6" xfId="5" applyNumberFormat="1" applyFont="1" applyFill="1" applyBorder="1" applyAlignment="1" applyProtection="1">
      <alignment horizontal="right" vertical="center"/>
    </xf>
    <xf numFmtId="164" fontId="13" fillId="6" borderId="6" xfId="5" applyNumberFormat="1" applyFont="1" applyFill="1" applyBorder="1" applyAlignment="1" applyProtection="1">
      <alignment horizontal="right" vertical="center"/>
    </xf>
    <xf numFmtId="49" fontId="4" fillId="8" borderId="4" xfId="6" applyNumberFormat="1" applyFont="1" applyFill="1" applyBorder="1" applyAlignment="1">
      <alignment horizontal="center" vertical="center"/>
    </xf>
    <xf numFmtId="0" fontId="14" fillId="8" borderId="5" xfId="6" applyFont="1" applyFill="1" applyBorder="1" applyAlignment="1">
      <alignment horizontal="left" vertical="center" wrapText="1"/>
    </xf>
    <xf numFmtId="0" fontId="14" fillId="8" borderId="6" xfId="6" applyFont="1" applyFill="1" applyBorder="1" applyAlignment="1">
      <alignment horizontal="left" vertical="center" wrapText="1"/>
    </xf>
    <xf numFmtId="4" fontId="14" fillId="8" borderId="6" xfId="3" applyNumberFormat="1" applyFont="1" applyFill="1" applyBorder="1" applyAlignment="1">
      <alignment horizontal="center" vertical="center"/>
    </xf>
    <xf numFmtId="49" fontId="4" fillId="8" borderId="13" xfId="6" applyNumberFormat="1" applyFont="1" applyFill="1" applyBorder="1" applyAlignment="1">
      <alignment horizontal="left" vertical="center"/>
    </xf>
    <xf numFmtId="0" fontId="7" fillId="8" borderId="4" xfId="6" applyFont="1" applyFill="1" applyBorder="1" applyAlignment="1">
      <alignment horizontal="left" vertical="center" wrapText="1"/>
    </xf>
    <xf numFmtId="4" fontId="14" fillId="8" borderId="13" xfId="6" applyNumberFormat="1" applyFont="1" applyFill="1" applyBorder="1" applyAlignment="1">
      <alignment horizontal="center" vertical="center"/>
    </xf>
    <xf numFmtId="49" fontId="4" fillId="8" borderId="13" xfId="3" applyNumberFormat="1" applyFont="1" applyFill="1" applyBorder="1" applyAlignment="1">
      <alignment horizontal="left" vertical="center"/>
    </xf>
    <xf numFmtId="0" fontId="7" fillId="8" borderId="4" xfId="3" applyFont="1" applyFill="1" applyBorder="1" applyAlignment="1">
      <alignment horizontal="left" vertical="center" wrapText="1"/>
    </xf>
    <xf numFmtId="4" fontId="14" fillId="8" borderId="13" xfId="3" applyNumberFormat="1" applyFont="1" applyFill="1" applyBorder="1" applyAlignment="1">
      <alignment horizontal="center" vertical="center"/>
    </xf>
    <xf numFmtId="49" fontId="4" fillId="6" borderId="13" xfId="3" quotePrefix="1" applyNumberFormat="1" applyFont="1" applyFill="1" applyBorder="1" applyAlignment="1">
      <alignment horizontal="left" vertical="center"/>
    </xf>
    <xf numFmtId="164" fontId="14" fillId="6" borderId="13" xfId="5" applyNumberFormat="1" applyFont="1" applyFill="1" applyBorder="1" applyAlignment="1" applyProtection="1">
      <alignment horizontal="right" vertical="center"/>
    </xf>
    <xf numFmtId="0" fontId="3" fillId="10" borderId="7" xfId="3" applyFill="1" applyBorder="1"/>
    <xf numFmtId="0" fontId="13" fillId="10" borderId="8" xfId="3" applyFont="1" applyFill="1" applyBorder="1"/>
    <xf numFmtId="0" fontId="13" fillId="10" borderId="8" xfId="3" applyFont="1" applyFill="1" applyBorder="1" applyAlignment="1">
      <alignment vertical="center"/>
    </xf>
    <xf numFmtId="0" fontId="13" fillId="10" borderId="9" xfId="3" applyFont="1" applyFill="1" applyBorder="1" applyAlignment="1">
      <alignment vertical="center"/>
    </xf>
    <xf numFmtId="0" fontId="4" fillId="10" borderId="10" xfId="3" applyFont="1" applyFill="1" applyBorder="1"/>
    <xf numFmtId="0" fontId="13" fillId="10" borderId="3" xfId="3" applyFont="1" applyFill="1" applyBorder="1"/>
    <xf numFmtId="0" fontId="13" fillId="10" borderId="11" xfId="3" applyFont="1" applyFill="1" applyBorder="1" applyAlignment="1">
      <alignment vertical="center"/>
    </xf>
    <xf numFmtId="0" fontId="13" fillId="10" borderId="3" xfId="3" applyFont="1" applyFill="1" applyBorder="1" applyAlignment="1">
      <alignment vertical="center"/>
    </xf>
    <xf numFmtId="165" fontId="14" fillId="13" borderId="5" xfId="6" applyNumberFormat="1" applyFont="1" applyFill="1" applyBorder="1" applyAlignment="1">
      <alignment horizontal="left" vertical="center"/>
    </xf>
    <xf numFmtId="0" fontId="4" fillId="7" borderId="4" xfId="6" applyFont="1" applyFill="1" applyBorder="1" applyAlignment="1">
      <alignment horizontal="left" vertical="center"/>
    </xf>
    <xf numFmtId="0" fontId="4" fillId="7" borderId="13" xfId="6" applyFont="1" applyFill="1" applyBorder="1" applyAlignment="1">
      <alignment horizontal="left" vertical="center" wrapText="1"/>
    </xf>
    <xf numFmtId="49" fontId="4" fillId="6" borderId="13" xfId="6" quotePrefix="1" applyNumberFormat="1" applyFont="1" applyFill="1" applyBorder="1" applyAlignment="1">
      <alignment vertical="center"/>
    </xf>
    <xf numFmtId="0" fontId="4" fillId="6" borderId="13" xfId="6" applyFont="1" applyFill="1" applyBorder="1" applyAlignment="1">
      <alignment horizontal="left" vertical="center"/>
    </xf>
    <xf numFmtId="0" fontId="3" fillId="6" borderId="13" xfId="6" applyFont="1" applyFill="1" applyBorder="1" applyAlignment="1">
      <alignment vertical="center"/>
    </xf>
    <xf numFmtId="165" fontId="3" fillId="6" borderId="13" xfId="6" applyNumberFormat="1" applyFont="1" applyFill="1" applyBorder="1" applyAlignment="1">
      <alignment vertical="center"/>
    </xf>
    <xf numFmtId="4" fontId="4" fillId="6" borderId="4" xfId="6" applyNumberFormat="1" applyFont="1" applyFill="1" applyBorder="1" applyAlignment="1" applyProtection="1">
      <alignment vertical="center"/>
      <protection locked="0"/>
    </xf>
    <xf numFmtId="164" fontId="4" fillId="6" borderId="13" xfId="5" applyFont="1" applyFill="1" applyBorder="1" applyAlignment="1">
      <alignment vertical="center"/>
    </xf>
    <xf numFmtId="0" fontId="15" fillId="6" borderId="13" xfId="12" applyFont="1" applyFill="1" applyBorder="1" applyAlignment="1">
      <alignment horizontal="center" vertical="center" wrapText="1"/>
    </xf>
    <xf numFmtId="0" fontId="14" fillId="6" borderId="13" xfId="12" applyFont="1" applyFill="1" applyBorder="1" applyAlignment="1">
      <alignment horizontal="left" vertical="center" wrapText="1"/>
    </xf>
    <xf numFmtId="0" fontId="14" fillId="6" borderId="13" xfId="12" applyFont="1" applyFill="1" applyBorder="1" applyAlignment="1">
      <alignment horizontal="justify" vertical="center" wrapText="1"/>
    </xf>
    <xf numFmtId="0" fontId="13" fillId="10" borderId="8" xfId="3" applyFont="1" applyFill="1" applyBorder="1" applyAlignment="1">
      <alignment horizontal="left" vertical="center"/>
    </xf>
    <xf numFmtId="0" fontId="13" fillId="10" borderId="3" xfId="3" applyFont="1" applyFill="1" applyBorder="1" applyAlignment="1">
      <alignment horizontal="left" vertical="center"/>
    </xf>
    <xf numFmtId="49" fontId="4" fillId="6" borderId="13" xfId="6" quotePrefix="1" applyNumberFormat="1" applyFont="1" applyFill="1" applyBorder="1" applyAlignment="1">
      <alignment horizontal="left"/>
    </xf>
    <xf numFmtId="0" fontId="14" fillId="6" borderId="13" xfId="6" applyFont="1" applyFill="1" applyBorder="1"/>
    <xf numFmtId="0" fontId="13" fillId="6" borderId="13" xfId="6" applyFont="1" applyFill="1" applyBorder="1" applyAlignment="1">
      <alignment vertical="center"/>
    </xf>
    <xf numFmtId="165" fontId="13" fillId="6" borderId="13" xfId="6" applyNumberFormat="1" applyFont="1" applyFill="1" applyBorder="1" applyAlignment="1">
      <alignment vertical="center"/>
    </xf>
    <xf numFmtId="174" fontId="14" fillId="6" borderId="4" xfId="6" applyNumberFormat="1" applyFont="1" applyFill="1" applyBorder="1" applyAlignment="1" applyProtection="1">
      <alignment horizontal="right" vertical="center"/>
      <protection locked="0"/>
    </xf>
    <xf numFmtId="174" fontId="14" fillId="6" borderId="13" xfId="4" applyNumberFormat="1" applyFont="1" applyFill="1" applyBorder="1" applyAlignment="1" applyProtection="1">
      <alignment horizontal="center" vertical="center" wrapText="1"/>
      <protection locked="0"/>
    </xf>
    <xf numFmtId="0" fontId="14" fillId="10" borderId="13" xfId="12" applyFont="1" applyFill="1" applyBorder="1" applyAlignment="1">
      <alignment horizontal="left" vertical="center" wrapText="1"/>
    </xf>
    <xf numFmtId="167" fontId="13" fillId="10" borderId="13" xfId="13" applyFont="1" applyFill="1" applyBorder="1" applyAlignment="1" applyProtection="1">
      <alignment horizontal="right" vertical="center"/>
      <protection locked="0"/>
    </xf>
    <xf numFmtId="0" fontId="13" fillId="10" borderId="13" xfId="12" applyFont="1" applyFill="1" applyBorder="1" applyAlignment="1">
      <alignment horizontal="left" vertical="center" wrapText="1"/>
    </xf>
    <xf numFmtId="0" fontId="20" fillId="10" borderId="13" xfId="6" applyFont="1" applyFill="1" applyBorder="1" applyAlignment="1">
      <alignment horizontal="left" vertical="center" wrapText="1"/>
    </xf>
    <xf numFmtId="0" fontId="25" fillId="9" borderId="13" xfId="6" applyFont="1" applyFill="1" applyBorder="1" applyAlignment="1">
      <alignment horizontal="left" vertical="center" wrapText="1"/>
    </xf>
    <xf numFmtId="0" fontId="20" fillId="9" borderId="13" xfId="6" applyFont="1" applyFill="1" applyBorder="1" applyAlignment="1">
      <alignment horizontal="left" vertical="center" wrapText="1"/>
    </xf>
    <xf numFmtId="0" fontId="13" fillId="9" borderId="13" xfId="12" applyFont="1" applyFill="1" applyBorder="1" applyAlignment="1">
      <alignment horizontal="center" vertical="center"/>
    </xf>
    <xf numFmtId="0" fontId="14" fillId="9" borderId="13" xfId="12" applyFont="1" applyFill="1" applyBorder="1" applyAlignment="1">
      <alignment horizontal="left" vertical="center" wrapText="1"/>
    </xf>
    <xf numFmtId="167" fontId="13" fillId="9" borderId="13" xfId="13" applyFont="1" applyFill="1" applyBorder="1" applyAlignment="1" applyProtection="1">
      <alignment horizontal="right" vertical="center"/>
      <protection locked="0"/>
    </xf>
    <xf numFmtId="0" fontId="13" fillId="9" borderId="13" xfId="12" applyFont="1" applyFill="1" applyBorder="1" applyAlignment="1">
      <alignment horizontal="left" vertical="center" wrapText="1"/>
    </xf>
    <xf numFmtId="0" fontId="14" fillId="11" borderId="13" xfId="12" applyFont="1" applyFill="1" applyBorder="1" applyAlignment="1">
      <alignment horizontal="left" vertical="center" wrapText="1"/>
    </xf>
    <xf numFmtId="0" fontId="13" fillId="11" borderId="13" xfId="12" applyFont="1" applyFill="1" applyBorder="1" applyAlignment="1">
      <alignment vertical="center"/>
    </xf>
    <xf numFmtId="167" fontId="13" fillId="11" borderId="13" xfId="13" applyFont="1" applyFill="1" applyBorder="1" applyAlignment="1" applyProtection="1">
      <alignment horizontal="right" vertical="center"/>
      <protection locked="0"/>
    </xf>
    <xf numFmtId="167" fontId="13" fillId="11" borderId="13" xfId="13" applyFont="1" applyFill="1" applyBorder="1" applyAlignment="1">
      <alignment vertical="center"/>
    </xf>
    <xf numFmtId="0" fontId="13" fillId="11" borderId="13" xfId="12" applyFont="1" applyFill="1" applyBorder="1" applyAlignment="1">
      <alignment horizontal="left" vertical="center" wrapText="1"/>
    </xf>
    <xf numFmtId="0" fontId="20" fillId="11" borderId="13" xfId="6" applyFont="1" applyFill="1" applyBorder="1" applyAlignment="1">
      <alignment horizontal="left" vertical="center" wrapText="1"/>
    </xf>
    <xf numFmtId="0" fontId="14" fillId="7" borderId="13" xfId="12" applyFont="1" applyFill="1" applyBorder="1" applyAlignment="1">
      <alignment horizontal="left" vertical="center" wrapText="1"/>
    </xf>
    <xf numFmtId="0" fontId="14" fillId="7" borderId="13" xfId="12" applyFont="1" applyFill="1" applyBorder="1" applyAlignment="1">
      <alignment vertical="top" wrapText="1"/>
    </xf>
    <xf numFmtId="0" fontId="13" fillId="7" borderId="13" xfId="12" applyFont="1" applyFill="1" applyBorder="1" applyAlignment="1">
      <alignment horizontal="left" vertical="center" wrapText="1"/>
    </xf>
    <xf numFmtId="0" fontId="20" fillId="7" borderId="13" xfId="6" applyFont="1" applyFill="1" applyBorder="1" applyAlignment="1">
      <alignment horizontal="left" vertical="center" wrapText="1"/>
    </xf>
    <xf numFmtId="0" fontId="14" fillId="34" borderId="13" xfId="12" applyFont="1" applyFill="1" applyBorder="1" applyAlignment="1">
      <alignment horizontal="left" vertical="center" wrapText="1"/>
    </xf>
    <xf numFmtId="0" fontId="14" fillId="34" borderId="13" xfId="12" applyFont="1" applyFill="1" applyBorder="1" applyAlignment="1">
      <alignment horizontal="center" vertical="center"/>
    </xf>
    <xf numFmtId="165" fontId="14" fillId="34" borderId="13" xfId="4" applyNumberFormat="1" applyFont="1" applyFill="1" applyBorder="1" applyAlignment="1">
      <alignment vertical="center"/>
    </xf>
    <xf numFmtId="4" fontId="14" fillId="34" borderId="13" xfId="4" applyNumberFormat="1" applyFont="1" applyFill="1" applyBorder="1" applyAlignment="1" applyProtection="1">
      <alignment vertical="center"/>
      <protection locked="0"/>
    </xf>
    <xf numFmtId="167" fontId="14" fillId="34" borderId="13" xfId="13" applyFont="1" applyFill="1" applyBorder="1" applyAlignment="1">
      <alignment vertical="center"/>
    </xf>
    <xf numFmtId="0" fontId="13" fillId="34" borderId="13" xfId="12" applyFont="1" applyFill="1" applyBorder="1" applyAlignment="1">
      <alignment horizontal="left" vertical="center" wrapText="1"/>
    </xf>
    <xf numFmtId="0" fontId="12" fillId="0" borderId="0" xfId="2" applyFont="1" applyFill="1"/>
    <xf numFmtId="49" fontId="81" fillId="0" borderId="13" xfId="10" applyNumberFormat="1" applyFont="1" applyFill="1" applyBorder="1" applyAlignment="1">
      <alignment horizontal="left" vertical="top"/>
    </xf>
    <xf numFmtId="0" fontId="4" fillId="0" borderId="13" xfId="10" applyFont="1" applyFill="1" applyBorder="1" applyAlignment="1">
      <alignment horizontal="right" vertical="top"/>
    </xf>
    <xf numFmtId="0" fontId="81" fillId="0" borderId="4" xfId="10" applyFont="1" applyFill="1" applyBorder="1" applyAlignment="1">
      <alignment horizontal="center" vertical="top"/>
    </xf>
    <xf numFmtId="0" fontId="16" fillId="0" borderId="5" xfId="6" applyFill="1" applyBorder="1" applyAlignment="1">
      <alignment horizontal="center" vertical="top"/>
    </xf>
    <xf numFmtId="0" fontId="16" fillId="0" borderId="6" xfId="6" applyFill="1" applyBorder="1" applyAlignment="1">
      <alignment horizontal="center" vertical="top"/>
    </xf>
    <xf numFmtId="164" fontId="4" fillId="0" borderId="13" xfId="10" applyNumberFormat="1" applyFont="1" applyFill="1" applyBorder="1" applyAlignment="1">
      <alignment vertical="top"/>
    </xf>
    <xf numFmtId="164" fontId="4" fillId="25" borderId="13" xfId="10" applyNumberFormat="1" applyFont="1" applyFill="1" applyBorder="1" applyAlignment="1">
      <alignment vertical="top"/>
    </xf>
    <xf numFmtId="49" fontId="81" fillId="0" borderId="4" xfId="10" applyNumberFormat="1" applyFont="1" applyFill="1" applyBorder="1" applyAlignment="1">
      <alignment horizontal="left" vertical="top"/>
    </xf>
    <xf numFmtId="0" fontId="4" fillId="0" borderId="4" xfId="10" applyFont="1" applyFill="1" applyBorder="1" applyAlignment="1">
      <alignment horizontal="right" vertical="top"/>
    </xf>
    <xf numFmtId="0" fontId="81" fillId="0" borderId="4" xfId="10" applyFont="1" applyFill="1" applyBorder="1" applyAlignment="1">
      <alignment horizontal="center"/>
    </xf>
    <xf numFmtId="0" fontId="16" fillId="0" borderId="5" xfId="6" applyFill="1" applyBorder="1"/>
    <xf numFmtId="0" fontId="16" fillId="0" borderId="6" xfId="6" applyFill="1" applyBorder="1"/>
    <xf numFmtId="164" fontId="22" fillId="0" borderId="13" xfId="5" applyNumberFormat="1" applyFont="1" applyFill="1" applyBorder="1" applyAlignment="1" applyProtection="1">
      <alignment vertical="center"/>
      <protection locked="0"/>
    </xf>
    <xf numFmtId="164" fontId="14" fillId="5" borderId="13" xfId="5" applyNumberFormat="1" applyFont="1" applyFill="1" applyBorder="1" applyAlignment="1" applyProtection="1">
      <alignment vertical="center"/>
      <protection locked="0"/>
    </xf>
    <xf numFmtId="0" fontId="3" fillId="10" borderId="7" xfId="3" applyFill="1" applyBorder="1" applyAlignment="1">
      <alignment horizontal="left" vertical="top"/>
    </xf>
    <xf numFmtId="0" fontId="13" fillId="10" borderId="8" xfId="3" applyFont="1" applyFill="1" applyBorder="1" applyAlignment="1">
      <alignment horizontal="right" vertical="center"/>
    </xf>
    <xf numFmtId="174" fontId="13" fillId="10" borderId="8" xfId="3" applyNumberFormat="1" applyFont="1" applyFill="1" applyBorder="1" applyAlignment="1">
      <alignment vertical="center"/>
    </xf>
    <xf numFmtId="174" fontId="13" fillId="10" borderId="9" xfId="3" applyNumberFormat="1" applyFont="1" applyFill="1" applyBorder="1" applyAlignment="1">
      <alignment vertical="center"/>
    </xf>
    <xf numFmtId="0" fontId="4" fillId="10" borderId="10" xfId="3" applyFont="1" applyFill="1" applyBorder="1" applyAlignment="1">
      <alignment horizontal="left" vertical="top"/>
    </xf>
    <xf numFmtId="0" fontId="13" fillId="10" borderId="3" xfId="3" applyFont="1" applyFill="1" applyBorder="1" applyAlignment="1">
      <alignment horizontal="right" vertical="center"/>
    </xf>
    <xf numFmtId="174" fontId="13" fillId="10" borderId="3" xfId="3" applyNumberFormat="1" applyFont="1" applyFill="1" applyBorder="1" applyAlignment="1">
      <alignment vertical="center"/>
    </xf>
    <xf numFmtId="174" fontId="13" fillId="10" borderId="11" xfId="3" applyNumberFormat="1" applyFont="1" applyFill="1" applyBorder="1" applyAlignment="1">
      <alignment vertical="center"/>
    </xf>
    <xf numFmtId="174" fontId="14" fillId="9" borderId="4" xfId="3" applyNumberFormat="1" applyFont="1" applyFill="1" applyBorder="1" applyAlignment="1" applyProtection="1">
      <alignment vertical="center"/>
      <protection locked="0"/>
    </xf>
    <xf numFmtId="164" fontId="14" fillId="7" borderId="13" xfId="5" applyFont="1" applyFill="1" applyBorder="1" applyAlignment="1">
      <alignment horizontal="right" vertical="center"/>
    </xf>
    <xf numFmtId="165" fontId="12" fillId="0" borderId="0" xfId="2" applyNumberFormat="1" applyFont="1" applyAlignment="1">
      <alignment vertical="center"/>
    </xf>
    <xf numFmtId="174" fontId="14" fillId="8" borderId="4" xfId="6" applyNumberFormat="1" applyFont="1" applyFill="1" applyBorder="1" applyAlignment="1" applyProtection="1">
      <alignment horizontal="right" vertical="center"/>
      <protection locked="0"/>
    </xf>
    <xf numFmtId="0" fontId="4" fillId="8" borderId="13" xfId="2" applyFont="1" applyFill="1" applyBorder="1" applyAlignment="1">
      <alignment horizontal="center" vertical="center" wrapText="1"/>
    </xf>
    <xf numFmtId="0" fontId="14" fillId="34" borderId="13" xfId="2" applyFont="1" applyFill="1" applyBorder="1" applyAlignment="1">
      <alignment wrapText="1"/>
    </xf>
    <xf numFmtId="0" fontId="14" fillId="34" borderId="13" xfId="2" applyFont="1" applyFill="1" applyBorder="1" applyAlignment="1">
      <alignment horizontal="center" vertical="center"/>
    </xf>
    <xf numFmtId="164" fontId="14" fillId="34" borderId="13" xfId="5" applyFont="1" applyFill="1" applyBorder="1" applyAlignment="1">
      <alignment vertical="center"/>
    </xf>
    <xf numFmtId="0" fontId="13" fillId="34" borderId="13" xfId="2" applyFont="1" applyFill="1" applyBorder="1" applyAlignment="1">
      <alignment wrapText="1"/>
    </xf>
    <xf numFmtId="165" fontId="14" fillId="34" borderId="13" xfId="4" applyNumberFormat="1" applyFont="1" applyFill="1" applyBorder="1" applyAlignment="1">
      <alignment horizontal="right" vertical="center"/>
    </xf>
    <xf numFmtId="164" fontId="14" fillId="34" borderId="13" xfId="5" applyFont="1" applyFill="1" applyBorder="1" applyAlignment="1" applyProtection="1">
      <alignment horizontal="right" vertical="center"/>
      <protection locked="0"/>
    </xf>
    <xf numFmtId="164" fontId="13" fillId="0" borderId="13" xfId="4" applyFont="1" applyBorder="1" applyAlignment="1" applyProtection="1">
      <alignment vertical="center"/>
      <protection locked="0"/>
    </xf>
    <xf numFmtId="164" fontId="13" fillId="0" borderId="13" xfId="4" applyFont="1" applyBorder="1" applyAlignment="1">
      <alignment vertical="center"/>
    </xf>
    <xf numFmtId="164" fontId="12" fillId="0" borderId="0" xfId="4" applyFont="1"/>
    <xf numFmtId="0" fontId="20" fillId="0" borderId="13" xfId="3" applyFont="1" applyFill="1" applyBorder="1" applyAlignment="1">
      <alignment vertical="top" wrapText="1"/>
    </xf>
    <xf numFmtId="0" fontId="14" fillId="7" borderId="4" xfId="3" applyFont="1" applyFill="1" applyBorder="1" applyAlignment="1">
      <alignment horizontal="left" vertical="center" wrapText="1"/>
    </xf>
    <xf numFmtId="0" fontId="14" fillId="7" borderId="5" xfId="3" applyFont="1" applyFill="1" applyBorder="1" applyAlignment="1">
      <alignment horizontal="left" vertical="center" wrapText="1"/>
    </xf>
    <xf numFmtId="0" fontId="14" fillId="7" borderId="6" xfId="3" applyFont="1" applyFill="1" applyBorder="1" applyAlignment="1">
      <alignment horizontal="left" vertical="center" wrapText="1"/>
    </xf>
    <xf numFmtId="0" fontId="13" fillId="7" borderId="4" xfId="3" applyFont="1" applyFill="1" applyBorder="1" applyAlignment="1">
      <alignment horizontal="left" vertical="center" wrapText="1"/>
    </xf>
    <xf numFmtId="0" fontId="13" fillId="7" borderId="5" xfId="3" applyFont="1" applyFill="1" applyBorder="1" applyAlignment="1">
      <alignment horizontal="left" vertical="center" wrapText="1"/>
    </xf>
    <xf numFmtId="0" fontId="13" fillId="7" borderId="6" xfId="3" applyFont="1" applyFill="1" applyBorder="1" applyAlignment="1">
      <alignment horizontal="left" vertical="center" wrapText="1"/>
    </xf>
    <xf numFmtId="0" fontId="14" fillId="6" borderId="5" xfId="3" applyFont="1" applyFill="1" applyBorder="1" applyAlignment="1">
      <alignment horizontal="left" vertical="center" wrapText="1"/>
    </xf>
    <xf numFmtId="0" fontId="14" fillId="6" borderId="6" xfId="3" applyFont="1" applyFill="1" applyBorder="1" applyAlignment="1">
      <alignment horizontal="left" vertical="center" wrapText="1"/>
    </xf>
    <xf numFmtId="0" fontId="14" fillId="6" borderId="4" xfId="3" applyFont="1" applyFill="1" applyBorder="1" applyAlignment="1">
      <alignment horizontal="left" vertical="center" wrapText="1"/>
    </xf>
    <xf numFmtId="0" fontId="14" fillId="6" borderId="4" xfId="3" applyFont="1" applyFill="1" applyBorder="1" applyAlignment="1">
      <alignment horizontal="right" vertical="center" wrapText="1"/>
    </xf>
    <xf numFmtId="0" fontId="14" fillId="6" borderId="5" xfId="3" applyFont="1" applyFill="1" applyBorder="1" applyAlignment="1">
      <alignment horizontal="right" vertical="center" wrapText="1"/>
    </xf>
    <xf numFmtId="0" fontId="14" fillId="6" borderId="6" xfId="3" applyFont="1" applyFill="1" applyBorder="1" applyAlignment="1">
      <alignment horizontal="right" vertical="center" wrapText="1"/>
    </xf>
    <xf numFmtId="0" fontId="130" fillId="7" borderId="4" xfId="2" applyFont="1" applyFill="1" applyBorder="1" applyAlignment="1">
      <alignment horizontal="left" vertical="center" wrapText="1"/>
    </xf>
    <xf numFmtId="0" fontId="130" fillId="7" borderId="5" xfId="2" applyFont="1" applyFill="1" applyBorder="1" applyAlignment="1">
      <alignment horizontal="left" vertical="center" wrapText="1"/>
    </xf>
    <xf numFmtId="0" fontId="130" fillId="7" borderId="6" xfId="2" applyFont="1" applyFill="1" applyBorder="1" applyAlignment="1">
      <alignment horizontal="left" vertical="center" wrapText="1"/>
    </xf>
    <xf numFmtId="0" fontId="3" fillId="5" borderId="4" xfId="2" applyFont="1" applyFill="1" applyBorder="1" applyAlignment="1">
      <alignment horizontal="left" vertical="top" wrapText="1"/>
    </xf>
    <xf numFmtId="0" fontId="3" fillId="5" borderId="5" xfId="2" applyFont="1" applyFill="1" applyBorder="1" applyAlignment="1">
      <alignment horizontal="left" vertical="top" wrapText="1"/>
    </xf>
    <xf numFmtId="0" fontId="3" fillId="5" borderId="6" xfId="2" applyFont="1" applyFill="1" applyBorder="1" applyAlignment="1">
      <alignment horizontal="left" vertical="top" wrapText="1"/>
    </xf>
    <xf numFmtId="0" fontId="4" fillId="4" borderId="5" xfId="3" applyFont="1" applyFill="1" applyBorder="1" applyAlignment="1">
      <alignment horizontal="left" vertical="center"/>
    </xf>
    <xf numFmtId="0" fontId="4" fillId="4" borderId="6" xfId="3" applyFont="1" applyFill="1" applyBorder="1" applyAlignment="1">
      <alignment horizontal="left" vertical="center"/>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0" fontId="12" fillId="0" borderId="15" xfId="2" applyFont="1" applyBorder="1" applyAlignment="1">
      <alignment horizontal="center" vertical="center" wrapText="1"/>
    </xf>
    <xf numFmtId="0" fontId="12" fillId="0" borderId="12" xfId="2" applyFont="1" applyBorder="1" applyAlignment="1">
      <alignment horizontal="center" vertical="center" wrapText="1"/>
    </xf>
    <xf numFmtId="0" fontId="12" fillId="0" borderId="15" xfId="2" applyFont="1" applyBorder="1" applyAlignment="1">
      <alignment horizontal="center" vertical="top" wrapText="1"/>
    </xf>
    <xf numFmtId="0" fontId="12" fillId="0" borderId="12" xfId="2" applyFont="1" applyBorder="1" applyAlignment="1">
      <alignment horizontal="center" vertical="top" wrapText="1"/>
    </xf>
    <xf numFmtId="49" fontId="4" fillId="0" borderId="13" xfId="2" applyNumberFormat="1" applyFont="1" applyBorder="1" applyAlignment="1">
      <alignment horizontal="center" vertical="center" wrapText="1"/>
    </xf>
    <xf numFmtId="0" fontId="3" fillId="5" borderId="13" xfId="2" applyFont="1" applyFill="1" applyBorder="1" applyAlignment="1">
      <alignment horizontal="left" vertical="top" wrapText="1"/>
    </xf>
    <xf numFmtId="0" fontId="12" fillId="0" borderId="13" xfId="2" applyFont="1" applyBorder="1" applyAlignment="1">
      <alignment horizontal="center" vertical="center" wrapText="1"/>
    </xf>
    <xf numFmtId="49" fontId="4" fillId="0" borderId="12" xfId="2" applyNumberFormat="1" applyFont="1" applyBorder="1" applyAlignment="1">
      <alignment horizontal="center" vertical="center" wrapText="1"/>
    </xf>
    <xf numFmtId="49" fontId="12" fillId="0" borderId="15" xfId="2" applyNumberFormat="1" applyFont="1" applyBorder="1" applyAlignment="1">
      <alignment horizontal="center" vertical="top" wrapText="1"/>
    </xf>
    <xf numFmtId="49" fontId="12" fillId="0" borderId="16" xfId="2" applyNumberFormat="1" applyFont="1" applyBorder="1" applyAlignment="1">
      <alignment horizontal="center" vertical="top" wrapText="1"/>
    </xf>
    <xf numFmtId="49" fontId="12" fillId="0" borderId="12" xfId="2" applyNumberFormat="1" applyFont="1" applyBorder="1" applyAlignment="1">
      <alignment horizontal="center" vertical="top" wrapText="1"/>
    </xf>
    <xf numFmtId="0" fontId="12" fillId="0" borderId="16" xfId="2" applyFont="1" applyBorder="1" applyAlignment="1">
      <alignment horizontal="center" vertical="center" wrapText="1"/>
    </xf>
    <xf numFmtId="0" fontId="12" fillId="0" borderId="16" xfId="2" applyFont="1" applyBorder="1" applyAlignment="1">
      <alignment horizontal="center" vertical="top" wrapText="1"/>
    </xf>
    <xf numFmtId="0" fontId="3" fillId="0" borderId="16" xfId="3" applyBorder="1" applyAlignment="1">
      <alignment horizontal="center" vertical="top" wrapText="1"/>
    </xf>
    <xf numFmtId="0" fontId="3" fillId="0" borderId="12" xfId="3" applyBorder="1" applyAlignment="1">
      <alignment horizontal="center" vertical="top" wrapText="1"/>
    </xf>
    <xf numFmtId="0" fontId="12" fillId="0" borderId="14" xfId="2" applyFont="1" applyBorder="1"/>
    <xf numFmtId="49" fontId="3" fillId="0" borderId="15" xfId="6" applyNumberFormat="1" applyFont="1" applyFill="1" applyBorder="1" applyAlignment="1">
      <alignment horizontal="center" vertical="center"/>
    </xf>
    <xf numFmtId="49" fontId="3" fillId="0" borderId="16" xfId="6" applyNumberFormat="1" applyFont="1" applyFill="1" applyBorder="1" applyAlignment="1">
      <alignment horizontal="center" vertical="center"/>
    </xf>
    <xf numFmtId="49" fontId="3" fillId="0" borderId="12" xfId="6" applyNumberFormat="1" applyFont="1" applyFill="1" applyBorder="1" applyAlignment="1">
      <alignment horizontal="center" vertical="center"/>
    </xf>
    <xf numFmtId="0" fontId="3" fillId="29" borderId="4" xfId="6" applyFont="1" applyFill="1" applyBorder="1" applyAlignment="1">
      <alignment horizontal="left" vertical="top" wrapText="1"/>
    </xf>
    <xf numFmtId="0" fontId="16" fillId="29" borderId="5" xfId="6" applyFill="1" applyBorder="1" applyAlignment="1">
      <alignment horizontal="left" vertical="top" wrapText="1"/>
    </xf>
    <xf numFmtId="0" fontId="3" fillId="30" borderId="4" xfId="45" applyFill="1" applyBorder="1" applyAlignment="1">
      <alignment horizontal="left" vertical="top" wrapText="1"/>
    </xf>
    <xf numFmtId="0" fontId="3" fillId="30" borderId="5" xfId="45" applyFill="1" applyBorder="1" applyAlignment="1">
      <alignment horizontal="left" vertical="top" wrapText="1"/>
    </xf>
    <xf numFmtId="0" fontId="3" fillId="30" borderId="6" xfId="45" applyFill="1" applyBorder="1" applyAlignment="1">
      <alignment horizontal="left" vertical="top" wrapText="1"/>
    </xf>
    <xf numFmtId="174" fontId="4" fillId="5" borderId="13" xfId="6" applyNumberFormat="1" applyFont="1" applyFill="1" applyBorder="1" applyAlignment="1">
      <alignment horizontal="right" vertical="top"/>
    </xf>
    <xf numFmtId="49" fontId="4" fillId="28" borderId="0" xfId="6" applyNumberFormat="1" applyFont="1" applyFill="1" applyAlignment="1">
      <alignment horizontal="left" vertical="top" wrapText="1"/>
    </xf>
    <xf numFmtId="49" fontId="4" fillId="28" borderId="0" xfId="6" applyNumberFormat="1" applyFont="1" applyFill="1" applyAlignment="1">
      <alignment horizontal="left" vertical="top"/>
    </xf>
    <xf numFmtId="0" fontId="5" fillId="0" borderId="3" xfId="6" applyFont="1" applyBorder="1" applyAlignment="1">
      <alignment horizontal="center" vertical="top"/>
    </xf>
    <xf numFmtId="49" fontId="91" fillId="0" borderId="15" xfId="2" applyNumberFormat="1" applyFont="1" applyBorder="1" applyAlignment="1">
      <alignment horizontal="center" vertical="top" wrapText="1"/>
    </xf>
    <xf numFmtId="49" fontId="91" fillId="0" borderId="12" xfId="2" applyNumberFormat="1" applyFont="1" applyBorder="1" applyAlignment="1">
      <alignment horizontal="center" vertical="top" wrapText="1"/>
    </xf>
    <xf numFmtId="0" fontId="12" fillId="5" borderId="4" xfId="2" applyFont="1" applyFill="1" applyBorder="1" applyAlignment="1">
      <alignment horizontal="left" vertical="top" wrapText="1"/>
    </xf>
    <xf numFmtId="0" fontId="12" fillId="5" borderId="5" xfId="2" applyFont="1" applyFill="1" applyBorder="1" applyAlignment="1">
      <alignment horizontal="left" vertical="top" wrapText="1"/>
    </xf>
    <xf numFmtId="0" fontId="12" fillId="5" borderId="6" xfId="2" applyFont="1" applyFill="1" applyBorder="1" applyAlignment="1">
      <alignment horizontal="left" vertical="top" wrapText="1"/>
    </xf>
    <xf numFmtId="0" fontId="7" fillId="19" borderId="4" xfId="17" applyFont="1" applyFill="1" applyBorder="1" applyAlignment="1">
      <alignment horizontal="left" vertical="top" wrapText="1"/>
    </xf>
    <xf numFmtId="0" fontId="7" fillId="19" borderId="5" xfId="17" applyFont="1" applyFill="1" applyBorder="1" applyAlignment="1">
      <alignment horizontal="left" vertical="top" wrapText="1"/>
    </xf>
    <xf numFmtId="0" fontId="7" fillId="19" borderId="6" xfId="17" applyFont="1" applyFill="1" applyBorder="1" applyAlignment="1">
      <alignment horizontal="left" vertical="top" wrapText="1"/>
    </xf>
    <xf numFmtId="0" fontId="7" fillId="19" borderId="23" xfId="17" applyFont="1" applyFill="1" applyBorder="1" applyAlignment="1">
      <alignment horizontal="left" vertical="top" wrapText="1"/>
    </xf>
    <xf numFmtId="0" fontId="7" fillId="19" borderId="24" xfId="17" applyFont="1" applyFill="1" applyBorder="1" applyAlignment="1">
      <alignment horizontal="left" vertical="top" wrapText="1"/>
    </xf>
    <xf numFmtId="0" fontId="7" fillId="19" borderId="25" xfId="17" applyFont="1" applyFill="1" applyBorder="1" applyAlignment="1">
      <alignment horizontal="left" vertical="top" wrapText="1"/>
    </xf>
    <xf numFmtId="0" fontId="14" fillId="13" borderId="5" xfId="6" applyFont="1" applyFill="1" applyBorder="1" applyAlignment="1">
      <alignment horizontal="center" vertical="center"/>
    </xf>
    <xf numFmtId="0" fontId="16" fillId="0" borderId="5" xfId="6" applyBorder="1" applyAlignment="1">
      <alignment vertical="center"/>
    </xf>
    <xf numFmtId="0" fontId="3" fillId="14" borderId="4" xfId="12" applyFill="1" applyBorder="1" applyAlignment="1">
      <alignment horizontal="left" vertical="top" wrapText="1"/>
    </xf>
    <xf numFmtId="0" fontId="3" fillId="14" borderId="5" xfId="12" applyFill="1" applyBorder="1" applyAlignment="1">
      <alignment horizontal="left" vertical="top" wrapText="1"/>
    </xf>
    <xf numFmtId="0" fontId="3" fillId="14" borderId="6" xfId="12" applyFill="1" applyBorder="1" applyAlignment="1">
      <alignment horizontal="left" vertical="top" wrapText="1"/>
    </xf>
    <xf numFmtId="0" fontId="41" fillId="19" borderId="4" xfId="16" applyFont="1" applyFill="1" applyBorder="1" applyAlignment="1">
      <alignment horizontal="center" vertical="center" wrapText="1"/>
    </xf>
    <xf numFmtId="0" fontId="41" fillId="19" borderId="5" xfId="16" applyFont="1" applyFill="1" applyBorder="1" applyAlignment="1">
      <alignment horizontal="center" vertical="center" wrapText="1"/>
    </xf>
    <xf numFmtId="0" fontId="41" fillId="19" borderId="6" xfId="16" applyFont="1" applyFill="1" applyBorder="1" applyAlignment="1">
      <alignment horizontal="center" vertical="center" wrapText="1"/>
    </xf>
    <xf numFmtId="0" fontId="7" fillId="0" borderId="17" xfId="17" applyFont="1" applyBorder="1" applyAlignment="1">
      <alignment horizontal="left" vertical="top" wrapText="1"/>
    </xf>
    <xf numFmtId="0" fontId="7" fillId="0" borderId="18" xfId="17" applyFont="1" applyBorder="1" applyAlignment="1">
      <alignment horizontal="left" vertical="top" wrapText="1"/>
    </xf>
    <xf numFmtId="0" fontId="7" fillId="0" borderId="19" xfId="17" applyFont="1" applyBorder="1" applyAlignment="1">
      <alignment horizontal="left" vertical="top" wrapText="1"/>
    </xf>
    <xf numFmtId="0" fontId="7" fillId="19" borderId="20" xfId="17" applyFont="1" applyFill="1" applyBorder="1" applyAlignment="1">
      <alignment horizontal="left" vertical="top" wrapText="1"/>
    </xf>
    <xf numFmtId="0" fontId="7" fillId="19" borderId="21" xfId="17" applyFont="1" applyFill="1" applyBorder="1" applyAlignment="1">
      <alignment horizontal="left" vertical="top" wrapText="1"/>
    </xf>
    <xf numFmtId="0" fontId="7" fillId="19" borderId="22" xfId="17" applyFont="1" applyFill="1" applyBorder="1" applyAlignment="1">
      <alignment horizontal="left" vertical="top" wrapText="1"/>
    </xf>
    <xf numFmtId="0" fontId="48" fillId="0" borderId="8" xfId="20" applyFont="1" applyBorder="1" applyAlignment="1">
      <alignment horizontal="center" vertical="center" wrapText="1" readingOrder="1"/>
    </xf>
    <xf numFmtId="0" fontId="48" fillId="0" borderId="0" xfId="20" applyFont="1" applyAlignment="1">
      <alignment horizontal="center" vertical="center" wrapText="1" readingOrder="1"/>
    </xf>
    <xf numFmtId="0" fontId="6" fillId="11" borderId="13" xfId="6" applyFont="1" applyFill="1" applyBorder="1" applyAlignment="1">
      <alignment horizontal="left" vertical="center" shrinkToFit="1"/>
    </xf>
    <xf numFmtId="0" fontId="19" fillId="20" borderId="13" xfId="19" applyNumberFormat="1" applyFont="1" applyFill="1" applyBorder="1" applyAlignment="1" applyProtection="1">
      <alignment horizontal="left" vertical="center" wrapText="1" shrinkToFit="1" readingOrder="1"/>
      <protection locked="0"/>
    </xf>
    <xf numFmtId="0" fontId="6" fillId="11" borderId="4" xfId="6" applyFont="1" applyFill="1" applyBorder="1" applyAlignment="1">
      <alignment horizontal="left" vertical="center" shrinkToFit="1"/>
    </xf>
    <xf numFmtId="0" fontId="6" fillId="11" borderId="5" xfId="6" applyFont="1" applyFill="1" applyBorder="1" applyAlignment="1">
      <alignment horizontal="left" vertical="center" shrinkToFit="1"/>
    </xf>
    <xf numFmtId="0" fontId="6" fillId="11" borderId="6" xfId="6" applyFont="1" applyFill="1" applyBorder="1" applyAlignment="1">
      <alignment horizontal="left" vertical="center" shrinkToFit="1"/>
    </xf>
    <xf numFmtId="0" fontId="6" fillId="11" borderId="13" xfId="3" applyFont="1" applyFill="1" applyBorder="1" applyAlignment="1">
      <alignment horizontal="left"/>
    </xf>
    <xf numFmtId="0" fontId="14" fillId="13" borderId="5" xfId="6" applyFont="1" applyFill="1" applyBorder="1" applyAlignment="1">
      <alignment horizontal="left" vertical="center"/>
    </xf>
    <xf numFmtId="0" fontId="16" fillId="0" borderId="5" xfId="6" applyBorder="1" applyAlignment="1">
      <alignment horizontal="left" vertical="center"/>
    </xf>
    <xf numFmtId="49" fontId="4" fillId="0" borderId="15" xfId="12" applyNumberFormat="1" applyFont="1" applyBorder="1" applyAlignment="1">
      <alignment horizontal="center" vertical="center" wrapText="1"/>
    </xf>
    <xf numFmtId="49" fontId="4" fillId="0" borderId="16" xfId="12" applyNumberFormat="1" applyFont="1" applyBorder="1" applyAlignment="1">
      <alignment horizontal="center" vertical="center" wrapText="1"/>
    </xf>
    <xf numFmtId="49" fontId="4" fillId="0" borderId="12" xfId="12" applyNumberFormat="1" applyFont="1" applyBorder="1" applyAlignment="1">
      <alignment horizontal="center" vertical="center" wrapText="1"/>
    </xf>
    <xf numFmtId="0" fontId="12" fillId="0" borderId="15" xfId="12" applyFont="1" applyBorder="1" applyAlignment="1">
      <alignment horizontal="center" vertical="center" wrapText="1"/>
    </xf>
    <xf numFmtId="0" fontId="12" fillId="0" borderId="16" xfId="12" applyFont="1" applyBorder="1" applyAlignment="1">
      <alignment horizontal="center" vertical="center" wrapText="1"/>
    </xf>
    <xf numFmtId="0" fontId="12" fillId="0" borderId="12" xfId="12" applyFont="1" applyBorder="1" applyAlignment="1">
      <alignment horizontal="center" vertical="center" wrapText="1"/>
    </xf>
    <xf numFmtId="0" fontId="130" fillId="7" borderId="4" xfId="2" applyFont="1" applyFill="1" applyBorder="1" applyAlignment="1">
      <alignment horizontal="left" vertical="center"/>
    </xf>
    <xf numFmtId="0" fontId="130" fillId="7" borderId="5" xfId="2" applyFont="1" applyFill="1" applyBorder="1" applyAlignment="1">
      <alignment horizontal="left" vertical="center"/>
    </xf>
    <xf numFmtId="0" fontId="130" fillId="7" borderId="6" xfId="2" applyFont="1" applyFill="1" applyBorder="1" applyAlignment="1">
      <alignment horizontal="left" vertical="center"/>
    </xf>
    <xf numFmtId="0" fontId="3" fillId="10" borderId="4" xfId="12" applyFill="1" applyBorder="1" applyAlignment="1">
      <alignment horizontal="left" vertical="top" wrapText="1"/>
    </xf>
    <xf numFmtId="0" fontId="3" fillId="10" borderId="5" xfId="12" applyFill="1" applyBorder="1" applyAlignment="1">
      <alignment horizontal="left" vertical="top" wrapText="1"/>
    </xf>
    <xf numFmtId="0" fontId="3" fillId="10" borderId="6" xfId="12" applyFill="1" applyBorder="1" applyAlignment="1">
      <alignment horizontal="left" vertical="top" wrapText="1"/>
    </xf>
    <xf numFmtId="0" fontId="14" fillId="6" borderId="5" xfId="6" applyFont="1" applyFill="1" applyBorder="1" applyAlignment="1">
      <alignment horizontal="left" vertical="center" wrapText="1"/>
    </xf>
    <xf numFmtId="0" fontId="14" fillId="6" borderId="6" xfId="6" applyFont="1" applyFill="1" applyBorder="1" applyAlignment="1">
      <alignment horizontal="left" vertical="center" wrapText="1"/>
    </xf>
    <xf numFmtId="0" fontId="13" fillId="7" borderId="4" xfId="6" applyFont="1" applyFill="1" applyBorder="1" applyAlignment="1">
      <alignment horizontal="left" vertical="center" wrapText="1"/>
    </xf>
    <xf numFmtId="0" fontId="13" fillId="7" borderId="5" xfId="6" applyFont="1" applyFill="1" applyBorder="1" applyAlignment="1">
      <alignment horizontal="left" vertical="center" wrapText="1"/>
    </xf>
    <xf numFmtId="0" fontId="13" fillId="7" borderId="6" xfId="6" applyFont="1" applyFill="1" applyBorder="1" applyAlignment="1">
      <alignment horizontal="left" vertical="center" wrapText="1"/>
    </xf>
    <xf numFmtId="0" fontId="14" fillId="6" borderId="4" xfId="6" applyFont="1" applyFill="1" applyBorder="1" applyAlignment="1">
      <alignment horizontal="right" vertical="center" wrapText="1"/>
    </xf>
    <xf numFmtId="0" fontId="14" fillId="6" borderId="5" xfId="6" applyFont="1" applyFill="1" applyBorder="1" applyAlignment="1">
      <alignment horizontal="right" vertical="center" wrapText="1"/>
    </xf>
    <xf numFmtId="0" fontId="14" fillId="6" borderId="6" xfId="6" applyFont="1" applyFill="1" applyBorder="1" applyAlignment="1">
      <alignment horizontal="right" vertical="center" wrapText="1"/>
    </xf>
    <xf numFmtId="0" fontId="2" fillId="9" borderId="7" xfId="2" applyFont="1" applyFill="1" applyBorder="1" applyAlignment="1">
      <alignment horizontal="left" vertical="top" wrapText="1"/>
    </xf>
    <xf numFmtId="0" fontId="2" fillId="9" borderId="8" xfId="6" applyFont="1" applyFill="1" applyBorder="1" applyAlignment="1">
      <alignment horizontal="left" vertical="top" wrapText="1"/>
    </xf>
    <xf numFmtId="0" fontId="2" fillId="9" borderId="9" xfId="6" applyFont="1" applyFill="1" applyBorder="1" applyAlignment="1">
      <alignment horizontal="left" vertical="top" wrapText="1"/>
    </xf>
    <xf numFmtId="0" fontId="2" fillId="9" borderId="29" xfId="2" applyFont="1" applyFill="1" applyBorder="1" applyAlignment="1">
      <alignment horizontal="left" vertical="top" wrapText="1"/>
    </xf>
    <xf numFmtId="0" fontId="2" fillId="9" borderId="0" xfId="6" applyFont="1" applyFill="1" applyAlignment="1">
      <alignment horizontal="left" vertical="top" wrapText="1"/>
    </xf>
    <xf numFmtId="0" fontId="2" fillId="9" borderId="14" xfId="6" applyFont="1" applyFill="1" applyBorder="1" applyAlignment="1">
      <alignment horizontal="left" vertical="top" wrapText="1"/>
    </xf>
    <xf numFmtId="0" fontId="2" fillId="9" borderId="0" xfId="6" applyFont="1" applyFill="1" applyAlignment="1">
      <alignment wrapText="1"/>
    </xf>
    <xf numFmtId="0" fontId="2" fillId="9" borderId="14" xfId="6" applyFont="1" applyFill="1" applyBorder="1" applyAlignment="1">
      <alignment wrapText="1"/>
    </xf>
    <xf numFmtId="0" fontId="2" fillId="9" borderId="0" xfId="6" applyFont="1" applyFill="1" applyAlignment="1">
      <alignment vertical="top" wrapText="1"/>
    </xf>
    <xf numFmtId="0" fontId="2" fillId="9" borderId="14" xfId="6" applyFont="1" applyFill="1" applyBorder="1" applyAlignment="1">
      <alignment vertical="top" wrapText="1"/>
    </xf>
    <xf numFmtId="0" fontId="82" fillId="10" borderId="4" xfId="6" applyFont="1" applyFill="1" applyBorder="1" applyAlignment="1">
      <alignment horizontal="right" vertical="top"/>
    </xf>
    <xf numFmtId="0" fontId="82" fillId="10" borderId="5" xfId="6" applyFont="1" applyFill="1" applyBorder="1" applyAlignment="1">
      <alignment horizontal="right" vertical="top"/>
    </xf>
    <xf numFmtId="0" fontId="82" fillId="10" borderId="4" xfId="6" applyFont="1" applyFill="1" applyBorder="1" applyAlignment="1">
      <alignment vertical="top"/>
    </xf>
    <xf numFmtId="0" fontId="16" fillId="0" borderId="5" xfId="6" applyBorder="1"/>
    <xf numFmtId="0" fontId="16" fillId="0" borderId="6" xfId="6" applyBorder="1"/>
    <xf numFmtId="0" fontId="87" fillId="7" borderId="7" xfId="2" applyFont="1" applyFill="1" applyBorder="1" applyAlignment="1">
      <alignment horizontal="left" vertical="top" wrapText="1"/>
    </xf>
    <xf numFmtId="0" fontId="87" fillId="7" borderId="8" xfId="6" applyFont="1" applyFill="1" applyBorder="1" applyAlignment="1">
      <alignment horizontal="left" vertical="top" wrapText="1"/>
    </xf>
    <xf numFmtId="0" fontId="87" fillId="7" borderId="9" xfId="6" applyFont="1" applyFill="1" applyBorder="1" applyAlignment="1">
      <alignment horizontal="left" vertical="top" wrapText="1"/>
    </xf>
    <xf numFmtId="0" fontId="87" fillId="7" borderId="29" xfId="2" applyFont="1" applyFill="1" applyBorder="1" applyAlignment="1">
      <alignment horizontal="left" vertical="top" wrapText="1"/>
    </xf>
    <xf numFmtId="0" fontId="87" fillId="7" borderId="0" xfId="6" applyFont="1" applyFill="1" applyAlignment="1">
      <alignment wrapText="1"/>
    </xf>
    <xf numFmtId="0" fontId="87" fillId="7" borderId="14" xfId="6" applyFont="1" applyFill="1" applyBorder="1" applyAlignment="1">
      <alignment wrapText="1"/>
    </xf>
    <xf numFmtId="0" fontId="87" fillId="7" borderId="0" xfId="6" applyFont="1" applyFill="1" applyAlignment="1">
      <alignment horizontal="left" vertical="top" wrapText="1"/>
    </xf>
    <xf numFmtId="0" fontId="87" fillId="7" borderId="14" xfId="6" applyFont="1" applyFill="1" applyBorder="1" applyAlignment="1">
      <alignment horizontal="left" vertical="top" wrapText="1"/>
    </xf>
    <xf numFmtId="0" fontId="2" fillId="7" borderId="0" xfId="6" applyFont="1" applyFill="1" applyAlignment="1">
      <alignment horizontal="left" vertical="top" wrapText="1"/>
    </xf>
    <xf numFmtId="0" fontId="2" fillId="7" borderId="14" xfId="6" applyFont="1" applyFill="1" applyBorder="1" applyAlignment="1">
      <alignment horizontal="left" vertical="top" wrapText="1"/>
    </xf>
    <xf numFmtId="0" fontId="2" fillId="9" borderId="10" xfId="2" applyFont="1" applyFill="1" applyBorder="1" applyAlignment="1">
      <alignment horizontal="left" vertical="top" wrapText="1"/>
    </xf>
    <xf numFmtId="0" fontId="2" fillId="9" borderId="3" xfId="6" applyFont="1" applyFill="1" applyBorder="1" applyAlignment="1">
      <alignment wrapText="1"/>
    </xf>
    <xf numFmtId="0" fontId="2" fillId="9" borderId="11" xfId="6" applyFont="1" applyFill="1" applyBorder="1" applyAlignment="1">
      <alignment wrapText="1"/>
    </xf>
    <xf numFmtId="0" fontId="81" fillId="7" borderId="4" xfId="6" applyFont="1" applyFill="1" applyBorder="1" applyAlignment="1">
      <alignment horizontal="center" vertical="top"/>
    </xf>
    <xf numFmtId="0" fontId="16" fillId="7" borderId="5" xfId="6" applyFill="1" applyBorder="1" applyAlignment="1">
      <alignment vertical="top"/>
    </xf>
    <xf numFmtId="0" fontId="16" fillId="7" borderId="6" xfId="6" applyFill="1" applyBorder="1" applyAlignment="1">
      <alignment vertical="top"/>
    </xf>
    <xf numFmtId="0" fontId="78" fillId="0" borderId="15" xfId="6" applyFont="1" applyBorder="1" applyAlignment="1">
      <alignment horizontal="left" vertical="top"/>
    </xf>
    <xf numFmtId="0" fontId="13" fillId="0" borderId="12" xfId="6" applyFont="1" applyBorder="1" applyAlignment="1">
      <alignment horizontal="left" vertical="top"/>
    </xf>
    <xf numFmtId="0" fontId="91" fillId="10" borderId="4" xfId="6" applyFont="1" applyFill="1" applyBorder="1" applyAlignment="1">
      <alignment horizontal="center"/>
    </xf>
    <xf numFmtId="0" fontId="12" fillId="0" borderId="5" xfId="6" applyFont="1" applyBorder="1"/>
    <xf numFmtId="0" fontId="12" fillId="0" borderId="6" xfId="6" applyFont="1" applyBorder="1"/>
    <xf numFmtId="0" fontId="93" fillId="7" borderId="7" xfId="6" applyFont="1" applyFill="1" applyBorder="1" applyAlignment="1">
      <alignment horizontal="justify" vertical="top" wrapText="1"/>
    </xf>
    <xf numFmtId="0" fontId="94" fillId="7" borderId="8" xfId="6" applyFont="1" applyFill="1" applyBorder="1"/>
    <xf numFmtId="0" fontId="94" fillId="7" borderId="9" xfId="6" applyFont="1" applyFill="1" applyBorder="1"/>
    <xf numFmtId="0" fontId="94" fillId="7" borderId="29" xfId="6" applyFont="1" applyFill="1" applyBorder="1" applyAlignment="1">
      <alignment horizontal="justify" vertical="top" wrapText="1"/>
    </xf>
    <xf numFmtId="0" fontId="94" fillId="7" borderId="0" xfId="6" applyFont="1" applyFill="1"/>
    <xf numFmtId="0" fontId="94" fillId="7" borderId="14" xfId="6" applyFont="1" applyFill="1" applyBorder="1"/>
    <xf numFmtId="0" fontId="2" fillId="7" borderId="0" xfId="6" applyFont="1" applyFill="1" applyAlignment="1">
      <alignment wrapText="1"/>
    </xf>
    <xf numFmtId="0" fontId="2" fillId="7" borderId="14" xfId="6" applyFont="1" applyFill="1" applyBorder="1" applyAlignment="1">
      <alignment wrapText="1"/>
    </xf>
    <xf numFmtId="0" fontId="87" fillId="7" borderId="10" xfId="2" applyFont="1" applyFill="1" applyBorder="1" applyAlignment="1">
      <alignment horizontal="left" vertical="top" wrapText="1"/>
    </xf>
    <xf numFmtId="0" fontId="2" fillId="7" borderId="3" xfId="6" applyFont="1" applyFill="1" applyBorder="1" applyAlignment="1">
      <alignment wrapText="1"/>
    </xf>
    <xf numFmtId="0" fontId="2" fillId="7" borderId="11" xfId="6" applyFont="1" applyFill="1" applyBorder="1" applyAlignment="1">
      <alignment wrapText="1"/>
    </xf>
    <xf numFmtId="4" fontId="94" fillId="7" borderId="29" xfId="10" applyNumberFormat="1" applyFont="1" applyFill="1" applyBorder="1" applyAlignment="1">
      <alignment horizontal="justify" vertical="top" wrapText="1"/>
    </xf>
    <xf numFmtId="0" fontId="94" fillId="7" borderId="0" xfId="10" applyFont="1" applyFill="1" applyAlignment="1">
      <alignment horizontal="justify"/>
    </xf>
    <xf numFmtId="0" fontId="94" fillId="7" borderId="14" xfId="10" applyFont="1" applyFill="1" applyBorder="1" applyAlignment="1">
      <alignment horizontal="justify"/>
    </xf>
    <xf numFmtId="0" fontId="94" fillId="7" borderId="29" xfId="10" applyFont="1" applyFill="1" applyBorder="1" applyAlignment="1">
      <alignment horizontal="justify" vertical="top" wrapText="1"/>
    </xf>
    <xf numFmtId="0" fontId="94" fillId="7" borderId="10" xfId="6" applyFont="1" applyFill="1" applyBorder="1" applyAlignment="1">
      <alignment horizontal="justify" vertical="top" wrapText="1"/>
    </xf>
    <xf numFmtId="0" fontId="94" fillId="7" borderId="3" xfId="6" applyFont="1" applyFill="1" applyBorder="1"/>
    <xf numFmtId="0" fontId="94" fillId="7" borderId="11" xfId="6" applyFont="1" applyFill="1" applyBorder="1"/>
    <xf numFmtId="0" fontId="78" fillId="10" borderId="4" xfId="6" applyFont="1" applyFill="1" applyBorder="1" applyAlignment="1">
      <alignment horizontal="center"/>
    </xf>
    <xf numFmtId="0" fontId="13" fillId="0" borderId="5" xfId="6" applyFont="1" applyBorder="1"/>
    <xf numFmtId="0" fontId="13" fillId="0" borderId="6" xfId="6" applyFont="1" applyBorder="1"/>
    <xf numFmtId="0" fontId="93" fillId="7" borderId="7" xfId="10" applyFont="1" applyFill="1" applyBorder="1" applyAlignment="1">
      <alignment horizontal="justify" vertical="top" wrapText="1"/>
    </xf>
    <xf numFmtId="0" fontId="94" fillId="7" borderId="8" xfId="10" applyFont="1" applyFill="1" applyBorder="1" applyAlignment="1">
      <alignment horizontal="justify" wrapText="1"/>
    </xf>
    <xf numFmtId="0" fontId="94" fillId="7" borderId="9" xfId="10" applyFont="1" applyFill="1" applyBorder="1" applyAlignment="1">
      <alignment horizontal="justify" wrapText="1"/>
    </xf>
    <xf numFmtId="0" fontId="97" fillId="7" borderId="29" xfId="10" applyFont="1" applyFill="1" applyBorder="1" applyAlignment="1">
      <alignment horizontal="justify" vertical="top" wrapText="1"/>
    </xf>
    <xf numFmtId="0" fontId="97" fillId="7" borderId="0" xfId="10" applyFont="1" applyFill="1" applyAlignment="1">
      <alignment horizontal="justify" vertical="top" wrapText="1"/>
    </xf>
    <xf numFmtId="0" fontId="97" fillId="7" borderId="14" xfId="10" applyFont="1" applyFill="1" applyBorder="1" applyAlignment="1">
      <alignment horizontal="justify" vertical="top" wrapText="1"/>
    </xf>
    <xf numFmtId="3" fontId="97" fillId="7" borderId="29" xfId="10" applyNumberFormat="1" applyFont="1" applyFill="1" applyBorder="1" applyAlignment="1">
      <alignment horizontal="left" vertical="top" wrapText="1"/>
    </xf>
    <xf numFmtId="3" fontId="97" fillId="7" borderId="0" xfId="10" applyNumberFormat="1" applyFont="1" applyFill="1" applyAlignment="1">
      <alignment horizontal="left" vertical="top" wrapText="1"/>
    </xf>
    <xf numFmtId="3" fontId="97" fillId="7" borderId="14" xfId="10" applyNumberFormat="1" applyFont="1" applyFill="1" applyBorder="1" applyAlignment="1">
      <alignment horizontal="left" vertical="top" wrapText="1"/>
    </xf>
    <xf numFmtId="3" fontId="97" fillId="7" borderId="29" xfId="10" applyNumberFormat="1" applyFont="1" applyFill="1" applyBorder="1" applyAlignment="1">
      <alignment horizontal="justify" vertical="top" wrapText="1"/>
    </xf>
    <xf numFmtId="3" fontId="97" fillId="7" borderId="0" xfId="10" applyNumberFormat="1" applyFont="1" applyFill="1" applyAlignment="1">
      <alignment horizontal="justify" vertical="top" wrapText="1"/>
    </xf>
    <xf numFmtId="3" fontId="97" fillId="7" borderId="14" xfId="10" applyNumberFormat="1" applyFont="1" applyFill="1" applyBorder="1" applyAlignment="1">
      <alignment horizontal="justify" vertical="top" wrapText="1"/>
    </xf>
    <xf numFmtId="4" fontId="94" fillId="7" borderId="10" xfId="10" applyNumberFormat="1" applyFont="1" applyFill="1" applyBorder="1" applyAlignment="1">
      <alignment horizontal="justify" vertical="top" wrapText="1"/>
    </xf>
    <xf numFmtId="0" fontId="94" fillId="7" borderId="3" xfId="10" applyFont="1" applyFill="1" applyBorder="1" applyAlignment="1">
      <alignment horizontal="justify"/>
    </xf>
    <xf numFmtId="0" fontId="94" fillId="7" borderId="11" xfId="10" applyFont="1" applyFill="1" applyBorder="1" applyAlignment="1">
      <alignment horizontal="justify"/>
    </xf>
    <xf numFmtId="0" fontId="81" fillId="10" borderId="4" xfId="10" applyFont="1" applyFill="1" applyBorder="1" applyAlignment="1">
      <alignment horizontal="center"/>
    </xf>
    <xf numFmtId="0" fontId="96" fillId="7" borderId="7" xfId="10" applyFont="1" applyFill="1" applyBorder="1" applyAlignment="1">
      <alignment horizontal="justify" vertical="top" wrapText="1"/>
    </xf>
    <xf numFmtId="0" fontId="96" fillId="7" borderId="8" xfId="10" applyFont="1" applyFill="1" applyBorder="1" applyAlignment="1">
      <alignment horizontal="justify" vertical="top" wrapText="1"/>
    </xf>
    <xf numFmtId="0" fontId="96" fillId="7" borderId="9" xfId="10" applyFont="1" applyFill="1" applyBorder="1" applyAlignment="1">
      <alignment horizontal="justify" vertical="top" wrapText="1"/>
    </xf>
    <xf numFmtId="0" fontId="81" fillId="24" borderId="4" xfId="10" applyFont="1" applyFill="1" applyBorder="1" applyAlignment="1">
      <alignment horizontal="center" vertical="top"/>
    </xf>
    <xf numFmtId="0" fontId="16" fillId="24" borderId="5" xfId="6" applyFill="1" applyBorder="1" applyAlignment="1">
      <alignment vertical="top"/>
    </xf>
    <xf numFmtId="0" fontId="16" fillId="24" borderId="6" xfId="6" applyFill="1" applyBorder="1" applyAlignment="1">
      <alignment vertical="top"/>
    </xf>
    <xf numFmtId="0" fontId="97" fillId="7" borderId="7" xfId="10" applyFont="1" applyFill="1" applyBorder="1" applyAlignment="1">
      <alignment horizontal="justify" vertical="top" wrapText="1"/>
    </xf>
    <xf numFmtId="0" fontId="97" fillId="7" borderId="8" xfId="10" applyFont="1" applyFill="1" applyBorder="1" applyAlignment="1">
      <alignment horizontal="justify" wrapText="1"/>
    </xf>
    <xf numFmtId="0" fontId="97" fillId="7" borderId="9" xfId="10" applyFont="1" applyFill="1" applyBorder="1" applyAlignment="1">
      <alignment horizontal="justify" wrapText="1"/>
    </xf>
    <xf numFmtId="0" fontId="99" fillId="7" borderId="29" xfId="10" applyFont="1" applyFill="1" applyBorder="1" applyAlignment="1">
      <alignment horizontal="justify" vertical="top" wrapText="1"/>
    </xf>
    <xf numFmtId="0" fontId="97" fillId="7" borderId="0" xfId="10" applyFont="1" applyFill="1" applyAlignment="1">
      <alignment wrapText="1"/>
    </xf>
    <xf numFmtId="0" fontId="97" fillId="7" borderId="14" xfId="10" applyFont="1" applyFill="1" applyBorder="1" applyAlignment="1">
      <alignment wrapText="1"/>
    </xf>
    <xf numFmtId="0" fontId="97" fillId="7" borderId="0" xfId="10" applyFont="1" applyFill="1" applyAlignment="1">
      <alignment horizontal="justify" vertical="top"/>
    </xf>
    <xf numFmtId="0" fontId="97" fillId="7" borderId="14" xfId="10" applyFont="1" applyFill="1" applyBorder="1" applyAlignment="1">
      <alignment horizontal="justify" vertical="top"/>
    </xf>
    <xf numFmtId="0" fontId="97" fillId="7" borderId="10" xfId="10" applyFont="1" applyFill="1" applyBorder="1" applyAlignment="1">
      <alignment horizontal="justify" vertical="top" wrapText="1"/>
    </xf>
    <xf numFmtId="0" fontId="97" fillId="7" borderId="3" xfId="10" applyFont="1" applyFill="1" applyBorder="1" applyAlignment="1">
      <alignment horizontal="justify" vertical="top"/>
    </xf>
    <xf numFmtId="0" fontId="97" fillId="7" borderId="11" xfId="10" applyFont="1" applyFill="1" applyBorder="1" applyAlignment="1">
      <alignment horizontal="justify" vertical="top"/>
    </xf>
    <xf numFmtId="0" fontId="97" fillId="7" borderId="8" xfId="10" applyFont="1" applyFill="1" applyBorder="1" applyAlignment="1">
      <alignment horizontal="justify" vertical="top" wrapText="1"/>
    </xf>
    <xf numFmtId="0" fontId="97" fillId="7" borderId="9" xfId="10" applyFont="1" applyFill="1" applyBorder="1" applyAlignment="1">
      <alignment horizontal="justify" vertical="top" wrapText="1"/>
    </xf>
    <xf numFmtId="0" fontId="4" fillId="24" borderId="4" xfId="10" applyFont="1" applyFill="1" applyBorder="1" applyAlignment="1">
      <alignment horizontal="right" vertical="center"/>
    </xf>
    <xf numFmtId="0" fontId="16" fillId="0" borderId="6" xfId="6" applyBorder="1" applyAlignment="1">
      <alignment horizontal="right"/>
    </xf>
    <xf numFmtId="4" fontId="81" fillId="24" borderId="4" xfId="10" applyNumberFormat="1" applyFont="1" applyFill="1" applyBorder="1" applyAlignment="1">
      <alignment horizontal="center"/>
    </xf>
    <xf numFmtId="0" fontId="16" fillId="24" borderId="6" xfId="6" applyFill="1" applyBorder="1"/>
    <xf numFmtId="0" fontId="81" fillId="24" borderId="4" xfId="10" applyFont="1" applyFill="1" applyBorder="1" applyAlignment="1">
      <alignment horizontal="center"/>
    </xf>
    <xf numFmtId="0" fontId="87" fillId="7" borderId="29" xfId="10" applyFont="1" applyFill="1" applyBorder="1" applyAlignment="1">
      <alignment horizontal="justify" vertical="top" wrapText="1"/>
    </xf>
    <xf numFmtId="0" fontId="87" fillId="7" borderId="0" xfId="10" applyFont="1" applyFill="1" applyAlignment="1">
      <alignment horizontal="justify" vertical="top" wrapText="1"/>
    </xf>
    <xf numFmtId="0" fontId="87" fillId="7" borderId="14" xfId="10" applyFont="1" applyFill="1" applyBorder="1" applyAlignment="1">
      <alignment horizontal="justify" vertical="top" wrapText="1"/>
    </xf>
    <xf numFmtId="0" fontId="87" fillId="7" borderId="0" xfId="10" applyFont="1" applyFill="1" applyAlignment="1">
      <alignment horizontal="justify" vertical="top"/>
    </xf>
    <xf numFmtId="0" fontId="87" fillId="7" borderId="14" xfId="10" applyFont="1" applyFill="1" applyBorder="1" applyAlignment="1">
      <alignment horizontal="justify" vertical="top"/>
    </xf>
    <xf numFmtId="0" fontId="103" fillId="7" borderId="10" xfId="10" applyFont="1" applyFill="1" applyBorder="1" applyAlignment="1">
      <alignment horizontal="left" vertical="top" wrapText="1"/>
    </xf>
    <xf numFmtId="0" fontId="16" fillId="24" borderId="5" xfId="6" applyFill="1" applyBorder="1"/>
    <xf numFmtId="0" fontId="16" fillId="24" borderId="5" xfId="6" applyFill="1" applyBorder="1" applyAlignment="1">
      <alignment horizontal="center" vertical="top"/>
    </xf>
    <xf numFmtId="0" fontId="16" fillId="24" borderId="6" xfId="6" applyFill="1" applyBorder="1" applyAlignment="1">
      <alignment horizontal="center" vertical="top"/>
    </xf>
    <xf numFmtId="0" fontId="102" fillId="7" borderId="7" xfId="10" applyFont="1" applyFill="1" applyBorder="1" applyAlignment="1">
      <alignment horizontal="justify" vertical="top" wrapText="1"/>
    </xf>
    <xf numFmtId="0" fontId="102" fillId="7" borderId="8" xfId="10" applyFont="1" applyFill="1" applyBorder="1" applyAlignment="1">
      <alignment horizontal="justify" vertical="top" wrapText="1"/>
    </xf>
    <xf numFmtId="0" fontId="102" fillId="7" borderId="9" xfId="10" applyFont="1" applyFill="1" applyBorder="1" applyAlignment="1">
      <alignment horizontal="justify" vertical="top" wrapText="1"/>
    </xf>
    <xf numFmtId="0" fontId="106" fillId="7" borderId="4" xfId="10" applyFont="1" applyFill="1" applyBorder="1" applyAlignment="1">
      <alignment horizontal="left" vertical="top" wrapText="1"/>
    </xf>
    <xf numFmtId="0" fontId="106" fillId="7" borderId="5" xfId="10" applyFont="1" applyFill="1" applyBorder="1" applyAlignment="1">
      <alignment horizontal="left" vertical="top" wrapText="1"/>
    </xf>
    <xf numFmtId="0" fontId="106" fillId="7" borderId="6" xfId="10" applyFont="1" applyFill="1" applyBorder="1" applyAlignment="1">
      <alignment horizontal="left" vertical="top" wrapText="1"/>
    </xf>
    <xf numFmtId="0" fontId="3" fillId="10" borderId="4" xfId="2" applyFont="1" applyFill="1" applyBorder="1" applyAlignment="1">
      <alignment horizontal="left" vertical="top" wrapText="1"/>
    </xf>
    <xf numFmtId="0" fontId="3" fillId="10" borderId="5" xfId="2" applyFont="1" applyFill="1" applyBorder="1" applyAlignment="1">
      <alignment horizontal="left" vertical="top" wrapText="1"/>
    </xf>
    <xf numFmtId="0" fontId="3" fillId="10" borderId="6" xfId="2" applyFont="1" applyFill="1" applyBorder="1" applyAlignment="1">
      <alignment horizontal="left" vertical="top" wrapText="1"/>
    </xf>
    <xf numFmtId="0" fontId="4" fillId="5" borderId="4" xfId="2" applyFont="1" applyFill="1" applyBorder="1" applyAlignment="1">
      <alignment horizontal="left" vertical="top" wrapText="1"/>
    </xf>
    <xf numFmtId="0" fontId="4" fillId="0" borderId="5" xfId="6" applyFont="1" applyBorder="1" applyAlignment="1">
      <alignment horizontal="left" vertical="top" wrapText="1"/>
    </xf>
    <xf numFmtId="0" fontId="4" fillId="0" borderId="6" xfId="6" applyFont="1" applyBorder="1" applyAlignment="1">
      <alignment horizontal="left" vertical="top" wrapText="1"/>
    </xf>
    <xf numFmtId="0" fontId="16" fillId="0" borderId="16" xfId="6" applyBorder="1" applyAlignment="1">
      <alignment horizontal="center" vertical="top" wrapText="1"/>
    </xf>
    <xf numFmtId="0" fontId="16" fillId="0" borderId="12" xfId="6" applyBorder="1" applyAlignment="1">
      <alignment horizontal="center" vertical="top" wrapText="1"/>
    </xf>
  </cellXfs>
  <cellStyles count="50">
    <cellStyle name="Comma 2" xfId="5" xr:uid="{44BC648E-912C-4487-9F8B-CF839092C365}"/>
    <cellStyle name="Comma 3" xfId="13" xr:uid="{E9388F30-02D7-473A-BB99-3A9591C7ED3B}"/>
    <cellStyle name="Comma 3 2" xfId="18" xr:uid="{0540B996-E30F-4612-8051-302C8BEBE8A2}"/>
    <cellStyle name="Currency 2" xfId="41" xr:uid="{03D42FDA-590E-4AC0-AD4E-F0F25765DD6F}"/>
    <cellStyle name="Dobro" xfId="26" xr:uid="{5E32B1D9-D8E3-4B5E-B4E3-B9B5CF0626E6}"/>
    <cellStyle name="Navadno" xfId="0" builtinId="0"/>
    <cellStyle name="Navadno 10 2" xfId="30" xr:uid="{03CFB80A-B330-4F27-A2C7-AD55A76295E9}"/>
    <cellStyle name="Navadno 10 2 2" xfId="44" xr:uid="{DA39AAD5-B061-4FAE-B3DA-7593427D8ABE}"/>
    <cellStyle name="Navadno 12" xfId="39" xr:uid="{B8FFDF6C-5E0C-4C20-9A58-56058785F298}"/>
    <cellStyle name="Navadno 17" xfId="21" xr:uid="{70F8B1DC-7753-43EC-9E7C-36932F8FC6F5}"/>
    <cellStyle name="Navadno 2" xfId="10" xr:uid="{66C62679-2D44-4CEC-A77D-1F492210CD7E}"/>
    <cellStyle name="Navadno 2 2" xfId="3" xr:uid="{F17EDBD3-05A5-451C-B212-08A4C36D02A1}"/>
    <cellStyle name="Navadno 2 4" xfId="23" xr:uid="{90EC7746-CA0A-42D4-A530-8A1AAF763CC1}"/>
    <cellStyle name="Navadno 2_Popis Mačkovci 2013" xfId="43" xr:uid="{F09E6B8C-6D2F-429C-A533-18640DCBFBA8}"/>
    <cellStyle name="Navadno 3" xfId="2" xr:uid="{A8A0AA3C-A429-4A46-8CE2-E10FAF23FCAF}"/>
    <cellStyle name="Navadno 3 2" xfId="12" xr:uid="{7D8F93B4-BE7E-4C4E-BE6F-82DA6AF27BDC}"/>
    <cellStyle name="Navadno 3 3" xfId="45" xr:uid="{FBC42115-09C8-47F1-AEC1-3A107F6439A7}"/>
    <cellStyle name="Navadno 4" xfId="1" xr:uid="{D063C354-FC34-4A85-821C-72F438BFF083}"/>
    <cellStyle name="Navadno 6" xfId="11" xr:uid="{9F45CE68-73B3-4654-9C03-6663FC5095AA}"/>
    <cellStyle name="Navadno 7" xfId="38" xr:uid="{D19C7159-2FD0-4572-BB02-08A30C33A630}"/>
    <cellStyle name="Navadno 8" xfId="36" xr:uid="{9079E660-6FE1-4391-9149-216EFC1FB193}"/>
    <cellStyle name="Navadno 80" xfId="28" xr:uid="{F0B9D16A-F0C5-43CB-824F-80EC858B19C7}"/>
    <cellStyle name="Navadno_cesta Rogašovci_PO_RECENZIJI" xfId="32" xr:uid="{594D4DB6-4D17-4461-956C-F3E8623CBD6A}"/>
    <cellStyle name="Navadno_Jerancic_POPIS_KANALIZACIJA" xfId="27" xr:uid="{F408C660-70F6-4441-90D6-34BA576A6158}"/>
    <cellStyle name="Navadno_List1 2" xfId="8" xr:uid="{8424E2E7-AE8E-4521-A887-017E17EE9299}"/>
    <cellStyle name="Navadno_popis_VH Filovci elektroI" xfId="17" xr:uid="{EA0EC84D-5F1E-4832-9935-A0D43BCF4B47}"/>
    <cellStyle name="Navadno_strelovod" xfId="24" xr:uid="{C7513468-E5ED-416F-B320-7276AA85BD6F}"/>
    <cellStyle name="Navadno_VODOVOD ZA NASELJE GORNJI ČRNCI" xfId="9" xr:uid="{BA3D7FC9-F480-4DE1-AA15-C277E9255681}"/>
    <cellStyle name="Navadno_VODOVOD ZA NASELJE KOROVCI" xfId="7" xr:uid="{E43B5E93-B456-4116-BA09-584BB9183A0C}"/>
    <cellStyle name="Nivo_1_GlNaslov" xfId="20" xr:uid="{4418E0C2-C5B8-48A0-A935-53285E5EBF1F}"/>
    <cellStyle name="Nivo_2_Podnaslov" xfId="42" xr:uid="{378BDA11-3175-4B94-9B6A-87DD9BBBD261}"/>
    <cellStyle name="Normal 2" xfId="6" xr:uid="{6FCCEA15-05A1-4AC3-B5C4-813E70C0DB89}"/>
    <cellStyle name="Normal 2 2" xfId="16" xr:uid="{5FFE22B0-37ED-48FA-832E-9ED23E792B85}"/>
    <cellStyle name="Normal 3" xfId="48" xr:uid="{516A3AB5-8A57-463A-8D53-E433A050FF1D}"/>
    <cellStyle name="Normal 5" xfId="49" xr:uid="{89A52E26-54FA-4599-BBE3-48E4F5D623EA}"/>
    <cellStyle name="Normal_pr bet 7,9 koslj 10.12.98" xfId="33" xr:uid="{F5B14FBB-D29F-40F7-8FFC-34720D62689E}"/>
    <cellStyle name="Normal_pr zid 7,9 koslj 10.12.98 (2) 2" xfId="35" xr:uid="{2D69FD2A-AF6B-43CF-8964-1085BA54E05A}"/>
    <cellStyle name="Normal_pr zid 7,9 koslj 10.12.98 (4)" xfId="34" xr:uid="{12533661-92C3-433C-8340-C941A232F4CC}"/>
    <cellStyle name="Normal_Sheet1_Sheet2" xfId="46" xr:uid="{B4D2D3C0-D06B-4924-A559-C9193C5B6357}"/>
    <cellStyle name="Percent 2" xfId="29" xr:uid="{1EE06168-3B2F-4EA3-B67D-909B66F78B19}"/>
    <cellStyle name="Vejica 10" xfId="14" xr:uid="{82D7DAD1-E8A5-4175-B977-91682E75F8E6}"/>
    <cellStyle name="Vejica 10 2" xfId="15" xr:uid="{3F034F37-7AB2-4EF6-BC1A-0DBB8440A7D4}"/>
    <cellStyle name="Vejica 2" xfId="31" xr:uid="{3C2F0E55-42D1-4A90-A0B9-2CAF0183B765}"/>
    <cellStyle name="Vejica 2 3" xfId="37" xr:uid="{A4781FC6-18A6-406E-9299-1E1DD96B6CEF}"/>
    <cellStyle name="Vejica 3" xfId="4" xr:uid="{B335A3B9-84D2-4953-9EB6-3CB8EB2D2131}"/>
    <cellStyle name="Vejica 4" xfId="22" xr:uid="{45A5FF71-55F6-46B7-B2CE-0E1E22E6932D}"/>
    <cellStyle name="Vejica 4 2 2" xfId="47" xr:uid="{2C050045-094F-4284-9657-602B004F689D}"/>
    <cellStyle name="Vejica_Popis Mačkovci 2013" xfId="40" xr:uid="{64AF26E6-0F30-4592-8EC0-A24F3A5D6D2D}"/>
    <cellStyle name="Vnos" xfId="25" xr:uid="{CAA6864F-4763-43C0-A6EE-ABBCDE55E7E9}"/>
    <cellStyle name="Vsota" xfId="19" xr:uid="{F0DBB4B4-C6D1-4382-8AEB-73DAA262845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51957</xdr:colOff>
      <xdr:row>161</xdr:row>
      <xdr:rowOff>43296</xdr:rowOff>
    </xdr:from>
    <xdr:to>
      <xdr:col>6</xdr:col>
      <xdr:colOff>201086</xdr:colOff>
      <xdr:row>161</xdr:row>
      <xdr:rowOff>4892387</xdr:rowOff>
    </xdr:to>
    <xdr:pic>
      <xdr:nvPicPr>
        <xdr:cNvPr id="2" name="Slika 1">
          <a:extLst>
            <a:ext uri="{FF2B5EF4-FFF2-40B4-BE49-F238E27FC236}">
              <a16:creationId xmlns:a16="http://schemas.microsoft.com/office/drawing/2014/main" id="{6678C835-68F5-4EA6-A132-C67CBFC7D95C}"/>
            </a:ext>
          </a:extLst>
        </xdr:cNvPr>
        <xdr:cNvPicPr>
          <a:picLocks noChangeAspect="1"/>
        </xdr:cNvPicPr>
      </xdr:nvPicPr>
      <xdr:blipFill>
        <a:blip xmlns:r="http://schemas.openxmlformats.org/officeDocument/2006/relationships" r:embed="rId1"/>
        <a:stretch>
          <a:fillRect/>
        </a:stretch>
      </xdr:blipFill>
      <xdr:spPr>
        <a:xfrm>
          <a:off x="346366" y="61609432"/>
          <a:ext cx="5630334" cy="48490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17319</xdr:colOff>
      <xdr:row>53</xdr:row>
      <xdr:rowOff>43295</xdr:rowOff>
    </xdr:from>
    <xdr:to>
      <xdr:col>5</xdr:col>
      <xdr:colOff>762002</xdr:colOff>
      <xdr:row>53</xdr:row>
      <xdr:rowOff>4875814</xdr:rowOff>
    </xdr:to>
    <xdr:pic>
      <xdr:nvPicPr>
        <xdr:cNvPr id="3" name="Slika 2">
          <a:extLst>
            <a:ext uri="{FF2B5EF4-FFF2-40B4-BE49-F238E27FC236}">
              <a16:creationId xmlns:a16="http://schemas.microsoft.com/office/drawing/2014/main" id="{B9298DF3-6472-460A-ADC3-4BB5FF466AD0}"/>
            </a:ext>
          </a:extLst>
        </xdr:cNvPr>
        <xdr:cNvPicPr>
          <a:picLocks noChangeAspect="1"/>
        </xdr:cNvPicPr>
      </xdr:nvPicPr>
      <xdr:blipFill>
        <a:blip xmlns:r="http://schemas.openxmlformats.org/officeDocument/2006/relationships" r:embed="rId1"/>
        <a:stretch>
          <a:fillRect/>
        </a:stretch>
      </xdr:blipFill>
      <xdr:spPr>
        <a:xfrm>
          <a:off x="805296" y="23630659"/>
          <a:ext cx="5611092" cy="48325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34637</xdr:colOff>
      <xdr:row>53</xdr:row>
      <xdr:rowOff>34636</xdr:rowOff>
    </xdr:from>
    <xdr:to>
      <xdr:col>5</xdr:col>
      <xdr:colOff>796637</xdr:colOff>
      <xdr:row>53</xdr:row>
      <xdr:rowOff>4882069</xdr:rowOff>
    </xdr:to>
    <xdr:pic>
      <xdr:nvPicPr>
        <xdr:cNvPr id="3" name="Slika 2">
          <a:extLst>
            <a:ext uri="{FF2B5EF4-FFF2-40B4-BE49-F238E27FC236}">
              <a16:creationId xmlns:a16="http://schemas.microsoft.com/office/drawing/2014/main" id="{2FC2340A-145D-4120-A459-B42FCF4D1369}"/>
            </a:ext>
          </a:extLst>
        </xdr:cNvPr>
        <xdr:cNvPicPr>
          <a:picLocks noChangeAspect="1"/>
        </xdr:cNvPicPr>
      </xdr:nvPicPr>
      <xdr:blipFill>
        <a:blip xmlns:r="http://schemas.openxmlformats.org/officeDocument/2006/relationships" r:embed="rId1"/>
        <a:stretch>
          <a:fillRect/>
        </a:stretch>
      </xdr:blipFill>
      <xdr:spPr>
        <a:xfrm>
          <a:off x="822614" y="23622000"/>
          <a:ext cx="5628409" cy="48474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25978</xdr:colOff>
      <xdr:row>51</xdr:row>
      <xdr:rowOff>43295</xdr:rowOff>
    </xdr:from>
    <xdr:to>
      <xdr:col>5</xdr:col>
      <xdr:colOff>762001</xdr:colOff>
      <xdr:row>51</xdr:row>
      <xdr:rowOff>4868356</xdr:rowOff>
    </xdr:to>
    <xdr:pic>
      <xdr:nvPicPr>
        <xdr:cNvPr id="3" name="Slika 2">
          <a:extLst>
            <a:ext uri="{FF2B5EF4-FFF2-40B4-BE49-F238E27FC236}">
              <a16:creationId xmlns:a16="http://schemas.microsoft.com/office/drawing/2014/main" id="{F7759781-E3D0-400F-819E-FB5048CB40A0}"/>
            </a:ext>
          </a:extLst>
        </xdr:cNvPr>
        <xdr:cNvPicPr>
          <a:picLocks noChangeAspect="1"/>
        </xdr:cNvPicPr>
      </xdr:nvPicPr>
      <xdr:blipFill>
        <a:blip xmlns:r="http://schemas.openxmlformats.org/officeDocument/2006/relationships" r:embed="rId1"/>
        <a:stretch>
          <a:fillRect/>
        </a:stretch>
      </xdr:blipFill>
      <xdr:spPr>
        <a:xfrm>
          <a:off x="813955" y="21950795"/>
          <a:ext cx="5602432" cy="48250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370</xdr:row>
      <xdr:rowOff>38100</xdr:rowOff>
    </xdr:from>
    <xdr:to>
      <xdr:col>5</xdr:col>
      <xdr:colOff>485774</xdr:colOff>
      <xdr:row>376</xdr:row>
      <xdr:rowOff>757194</xdr:rowOff>
    </xdr:to>
    <xdr:pic>
      <xdr:nvPicPr>
        <xdr:cNvPr id="3" name="Slika 2">
          <a:extLst>
            <a:ext uri="{FF2B5EF4-FFF2-40B4-BE49-F238E27FC236}">
              <a16:creationId xmlns:a16="http://schemas.microsoft.com/office/drawing/2014/main" id="{57591661-3850-4836-A517-EC3C77F0B11B}"/>
            </a:ext>
          </a:extLst>
        </xdr:cNvPr>
        <xdr:cNvPicPr>
          <a:picLocks noChangeAspect="1"/>
        </xdr:cNvPicPr>
      </xdr:nvPicPr>
      <xdr:blipFill>
        <a:blip xmlns:r="http://schemas.openxmlformats.org/officeDocument/2006/relationships" r:embed="rId1"/>
        <a:stretch>
          <a:fillRect/>
        </a:stretch>
      </xdr:blipFill>
      <xdr:spPr>
        <a:xfrm>
          <a:off x="333375" y="132321300"/>
          <a:ext cx="5829299" cy="8034294"/>
        </a:xfrm>
        <a:prstGeom prst="rect">
          <a:avLst/>
        </a:prstGeom>
      </xdr:spPr>
    </xdr:pic>
    <xdr:clientData/>
  </xdr:twoCellAnchor>
  <xdr:twoCellAnchor editAs="oneCell">
    <xdr:from>
      <xdr:col>2</xdr:col>
      <xdr:colOff>9526</xdr:colOff>
      <xdr:row>480</xdr:row>
      <xdr:rowOff>76200</xdr:rowOff>
    </xdr:from>
    <xdr:to>
      <xdr:col>5</xdr:col>
      <xdr:colOff>806928</xdr:colOff>
      <xdr:row>480</xdr:row>
      <xdr:rowOff>4848225</xdr:rowOff>
    </xdr:to>
    <xdr:pic>
      <xdr:nvPicPr>
        <xdr:cNvPr id="5" name="Slika 4">
          <a:extLst>
            <a:ext uri="{FF2B5EF4-FFF2-40B4-BE49-F238E27FC236}">
              <a16:creationId xmlns:a16="http://schemas.microsoft.com/office/drawing/2014/main" id="{97BFF0DF-365A-43C4-A6C0-3F3A2037FFD0}"/>
            </a:ext>
          </a:extLst>
        </xdr:cNvPr>
        <xdr:cNvPicPr>
          <a:picLocks noChangeAspect="1"/>
        </xdr:cNvPicPr>
      </xdr:nvPicPr>
      <xdr:blipFill>
        <a:blip xmlns:r="http://schemas.openxmlformats.org/officeDocument/2006/relationships" r:embed="rId2"/>
        <a:stretch>
          <a:fillRect/>
        </a:stretch>
      </xdr:blipFill>
      <xdr:spPr>
        <a:xfrm>
          <a:off x="942976" y="180432075"/>
          <a:ext cx="5540852" cy="4772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17318</xdr:colOff>
      <xdr:row>133</xdr:row>
      <xdr:rowOff>25977</xdr:rowOff>
    </xdr:from>
    <xdr:to>
      <xdr:col>6</xdr:col>
      <xdr:colOff>206664</xdr:colOff>
      <xdr:row>133</xdr:row>
      <xdr:rowOff>4909705</xdr:rowOff>
    </xdr:to>
    <xdr:pic>
      <xdr:nvPicPr>
        <xdr:cNvPr id="3" name="Slika 2">
          <a:extLst>
            <a:ext uri="{FF2B5EF4-FFF2-40B4-BE49-F238E27FC236}">
              <a16:creationId xmlns:a16="http://schemas.microsoft.com/office/drawing/2014/main" id="{C3022919-B9AF-47B8-976E-E0CEAD9E5606}"/>
            </a:ext>
          </a:extLst>
        </xdr:cNvPr>
        <xdr:cNvPicPr>
          <a:picLocks noChangeAspect="1"/>
        </xdr:cNvPicPr>
      </xdr:nvPicPr>
      <xdr:blipFill>
        <a:blip xmlns:r="http://schemas.openxmlformats.org/officeDocument/2006/relationships" r:embed="rId1"/>
        <a:stretch>
          <a:fillRect/>
        </a:stretch>
      </xdr:blipFill>
      <xdr:spPr>
        <a:xfrm>
          <a:off x="311727" y="54612886"/>
          <a:ext cx="5670551" cy="48837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484910</xdr:colOff>
      <xdr:row>76</xdr:row>
      <xdr:rowOff>43295</xdr:rowOff>
    </xdr:from>
    <xdr:to>
      <xdr:col>6</xdr:col>
      <xdr:colOff>19989</xdr:colOff>
      <xdr:row>76</xdr:row>
      <xdr:rowOff>4363539</xdr:rowOff>
    </xdr:to>
    <xdr:pic>
      <xdr:nvPicPr>
        <xdr:cNvPr id="2" name="Slika 1">
          <a:extLst>
            <a:ext uri="{FF2B5EF4-FFF2-40B4-BE49-F238E27FC236}">
              <a16:creationId xmlns:a16="http://schemas.microsoft.com/office/drawing/2014/main" id="{007BEA4C-8290-4B15-AB29-7C17FA729185}"/>
            </a:ext>
          </a:extLst>
        </xdr:cNvPr>
        <xdr:cNvPicPr>
          <a:picLocks noChangeAspect="1"/>
        </xdr:cNvPicPr>
      </xdr:nvPicPr>
      <xdr:blipFill>
        <a:blip xmlns:r="http://schemas.openxmlformats.org/officeDocument/2006/relationships" r:embed="rId1"/>
        <a:stretch>
          <a:fillRect/>
        </a:stretch>
      </xdr:blipFill>
      <xdr:spPr>
        <a:xfrm>
          <a:off x="779319" y="52629954"/>
          <a:ext cx="5016284" cy="43202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95240</xdr:colOff>
      <xdr:row>134</xdr:row>
      <xdr:rowOff>25977</xdr:rowOff>
    </xdr:from>
    <xdr:to>
      <xdr:col>5</xdr:col>
      <xdr:colOff>782916</xdr:colOff>
      <xdr:row>140</xdr:row>
      <xdr:rowOff>536863</xdr:rowOff>
    </xdr:to>
    <xdr:pic>
      <xdr:nvPicPr>
        <xdr:cNvPr id="2" name="Slika 1">
          <a:extLst>
            <a:ext uri="{FF2B5EF4-FFF2-40B4-BE49-F238E27FC236}">
              <a16:creationId xmlns:a16="http://schemas.microsoft.com/office/drawing/2014/main" id="{2D06715D-3606-4A1B-8B6F-D4F793E79164}"/>
            </a:ext>
          </a:extLst>
        </xdr:cNvPr>
        <xdr:cNvPicPr>
          <a:picLocks noChangeAspect="1"/>
        </xdr:cNvPicPr>
      </xdr:nvPicPr>
      <xdr:blipFill>
        <a:blip xmlns:r="http://schemas.openxmlformats.org/officeDocument/2006/relationships" r:embed="rId1"/>
        <a:stretch>
          <a:fillRect/>
        </a:stretch>
      </xdr:blipFill>
      <xdr:spPr>
        <a:xfrm>
          <a:off x="389649" y="57522341"/>
          <a:ext cx="5354926" cy="7836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484908</xdr:colOff>
      <xdr:row>51</xdr:row>
      <xdr:rowOff>70289</xdr:rowOff>
    </xdr:from>
    <xdr:to>
      <xdr:col>5</xdr:col>
      <xdr:colOff>813954</xdr:colOff>
      <xdr:row>51</xdr:row>
      <xdr:rowOff>4969925</xdr:rowOff>
    </xdr:to>
    <xdr:pic>
      <xdr:nvPicPr>
        <xdr:cNvPr id="2" name="Slika 1">
          <a:extLst>
            <a:ext uri="{FF2B5EF4-FFF2-40B4-BE49-F238E27FC236}">
              <a16:creationId xmlns:a16="http://schemas.microsoft.com/office/drawing/2014/main" id="{18CD74AF-D700-4B3F-99A2-2F2EE89F5AED}"/>
            </a:ext>
          </a:extLst>
        </xdr:cNvPr>
        <xdr:cNvPicPr>
          <a:picLocks noChangeAspect="1"/>
        </xdr:cNvPicPr>
      </xdr:nvPicPr>
      <xdr:blipFill>
        <a:blip xmlns:r="http://schemas.openxmlformats.org/officeDocument/2006/relationships" r:embed="rId1"/>
        <a:stretch>
          <a:fillRect/>
        </a:stretch>
      </xdr:blipFill>
      <xdr:spPr>
        <a:xfrm>
          <a:off x="779317" y="21977789"/>
          <a:ext cx="5689023" cy="48996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43296</xdr:colOff>
      <xdr:row>51</xdr:row>
      <xdr:rowOff>39505</xdr:rowOff>
    </xdr:from>
    <xdr:to>
      <xdr:col>5</xdr:col>
      <xdr:colOff>770660</xdr:colOff>
      <xdr:row>51</xdr:row>
      <xdr:rowOff>4857108</xdr:rowOff>
    </xdr:to>
    <xdr:pic>
      <xdr:nvPicPr>
        <xdr:cNvPr id="3" name="Slika 2">
          <a:extLst>
            <a:ext uri="{FF2B5EF4-FFF2-40B4-BE49-F238E27FC236}">
              <a16:creationId xmlns:a16="http://schemas.microsoft.com/office/drawing/2014/main" id="{B65DE140-12FC-48A8-8B5E-6A2479EA03E0}"/>
            </a:ext>
          </a:extLst>
        </xdr:cNvPr>
        <xdr:cNvPicPr>
          <a:picLocks noChangeAspect="1"/>
        </xdr:cNvPicPr>
      </xdr:nvPicPr>
      <xdr:blipFill>
        <a:blip xmlns:r="http://schemas.openxmlformats.org/officeDocument/2006/relationships" r:embed="rId1"/>
        <a:stretch>
          <a:fillRect/>
        </a:stretch>
      </xdr:blipFill>
      <xdr:spPr>
        <a:xfrm>
          <a:off x="831273" y="21947005"/>
          <a:ext cx="5593773" cy="4817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43296</xdr:colOff>
      <xdr:row>51</xdr:row>
      <xdr:rowOff>25978</xdr:rowOff>
    </xdr:from>
    <xdr:to>
      <xdr:col>5</xdr:col>
      <xdr:colOff>787978</xdr:colOff>
      <xdr:row>51</xdr:row>
      <xdr:rowOff>4858496</xdr:rowOff>
    </xdr:to>
    <xdr:pic>
      <xdr:nvPicPr>
        <xdr:cNvPr id="3" name="Slika 2">
          <a:extLst>
            <a:ext uri="{FF2B5EF4-FFF2-40B4-BE49-F238E27FC236}">
              <a16:creationId xmlns:a16="http://schemas.microsoft.com/office/drawing/2014/main" id="{ADB7C7E8-0533-413D-81AE-EEA8948AB263}"/>
            </a:ext>
          </a:extLst>
        </xdr:cNvPr>
        <xdr:cNvPicPr>
          <a:picLocks noChangeAspect="1"/>
        </xdr:cNvPicPr>
      </xdr:nvPicPr>
      <xdr:blipFill>
        <a:blip xmlns:r="http://schemas.openxmlformats.org/officeDocument/2006/relationships" r:embed="rId1"/>
        <a:stretch>
          <a:fillRect/>
        </a:stretch>
      </xdr:blipFill>
      <xdr:spPr>
        <a:xfrm>
          <a:off x="831273" y="21933478"/>
          <a:ext cx="5611091" cy="48325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43297</xdr:colOff>
      <xdr:row>51</xdr:row>
      <xdr:rowOff>77932</xdr:rowOff>
    </xdr:from>
    <xdr:to>
      <xdr:col>5</xdr:col>
      <xdr:colOff>776312</xdr:colOff>
      <xdr:row>51</xdr:row>
      <xdr:rowOff>4900402</xdr:rowOff>
    </xdr:to>
    <xdr:pic>
      <xdr:nvPicPr>
        <xdr:cNvPr id="3" name="Slika 2">
          <a:extLst>
            <a:ext uri="{FF2B5EF4-FFF2-40B4-BE49-F238E27FC236}">
              <a16:creationId xmlns:a16="http://schemas.microsoft.com/office/drawing/2014/main" id="{FB6B7EEA-4549-4DAC-BA4A-54F6852D58FB}"/>
            </a:ext>
          </a:extLst>
        </xdr:cNvPr>
        <xdr:cNvPicPr>
          <a:picLocks noChangeAspect="1"/>
        </xdr:cNvPicPr>
      </xdr:nvPicPr>
      <xdr:blipFill>
        <a:blip xmlns:r="http://schemas.openxmlformats.org/officeDocument/2006/relationships" r:embed="rId1"/>
        <a:stretch>
          <a:fillRect/>
        </a:stretch>
      </xdr:blipFill>
      <xdr:spPr>
        <a:xfrm>
          <a:off x="831274" y="21985432"/>
          <a:ext cx="5599424" cy="48224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34637</xdr:colOff>
      <xdr:row>51</xdr:row>
      <xdr:rowOff>43296</xdr:rowOff>
    </xdr:from>
    <xdr:to>
      <xdr:col>5</xdr:col>
      <xdr:colOff>796638</xdr:colOff>
      <xdr:row>51</xdr:row>
      <xdr:rowOff>4890730</xdr:rowOff>
    </xdr:to>
    <xdr:pic>
      <xdr:nvPicPr>
        <xdr:cNvPr id="3" name="Slika 2">
          <a:extLst>
            <a:ext uri="{FF2B5EF4-FFF2-40B4-BE49-F238E27FC236}">
              <a16:creationId xmlns:a16="http://schemas.microsoft.com/office/drawing/2014/main" id="{8866EEA7-B03B-4097-8242-D9D967F1968E}"/>
            </a:ext>
          </a:extLst>
        </xdr:cNvPr>
        <xdr:cNvPicPr>
          <a:picLocks noChangeAspect="1"/>
        </xdr:cNvPicPr>
      </xdr:nvPicPr>
      <xdr:blipFill>
        <a:blip xmlns:r="http://schemas.openxmlformats.org/officeDocument/2006/relationships" r:embed="rId1"/>
        <a:stretch>
          <a:fillRect/>
        </a:stretch>
      </xdr:blipFill>
      <xdr:spPr>
        <a:xfrm>
          <a:off x="822614" y="21950796"/>
          <a:ext cx="5628410" cy="4847434"/>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63BF-525D-4735-93A7-26D9DBE58DD1}">
  <sheetPr>
    <tabColor rgb="FFFF0000"/>
    <pageSetUpPr fitToPage="1"/>
  </sheetPr>
  <dimension ref="A2:I54"/>
  <sheetViews>
    <sheetView showZeros="0" tabSelected="1" topLeftCell="A27" workbookViewId="0">
      <selection activeCell="H37" sqref="H37"/>
    </sheetView>
  </sheetViews>
  <sheetFormatPr defaultColWidth="10.42578125" defaultRowHeight="12.75"/>
  <cols>
    <col min="1" max="1" width="4.42578125" style="1" customWidth="1"/>
    <col min="2" max="2" width="9.28515625" style="67" customWidth="1"/>
    <col min="3" max="3" width="42.85546875" style="68" customWidth="1"/>
    <col min="4" max="4" width="2.7109375" style="69" customWidth="1"/>
    <col min="5" max="5" width="9.28515625" style="70" hidden="1" customWidth="1"/>
    <col min="6" max="6" width="8.7109375" style="71" customWidth="1"/>
    <col min="7" max="7" width="17.7109375" style="66" customWidth="1"/>
    <col min="8" max="8" width="15.5703125" style="1" bestFit="1"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c r="B2" s="2"/>
      <c r="C2" s="3" t="s">
        <v>2009</v>
      </c>
      <c r="D2" s="4"/>
      <c r="E2" s="5"/>
      <c r="F2" s="6"/>
      <c r="G2" s="7"/>
    </row>
    <row r="4" spans="1:9" s="14" customFormat="1" ht="18" customHeight="1">
      <c r="A4" s="9"/>
      <c r="B4" s="10" t="s">
        <v>2</v>
      </c>
      <c r="C4" s="11"/>
      <c r="D4" s="12"/>
      <c r="E4" s="12"/>
      <c r="F4" s="12"/>
      <c r="G4" s="13"/>
    </row>
    <row r="5" spans="1:9" s="14" customFormat="1" ht="18" customHeight="1">
      <c r="A5" s="15"/>
      <c r="B5" s="16" t="s">
        <v>3</v>
      </c>
      <c r="C5" s="17"/>
      <c r="D5" s="18"/>
      <c r="E5" s="19"/>
      <c r="F5" s="19"/>
      <c r="G5" s="18"/>
    </row>
    <row r="6" spans="1:9" s="14" customFormat="1" ht="18" customHeight="1">
      <c r="A6" s="9"/>
      <c r="B6" s="10" t="s">
        <v>4</v>
      </c>
      <c r="C6" s="11"/>
      <c r="D6" s="12"/>
      <c r="E6" s="12"/>
      <c r="F6" s="12"/>
      <c r="G6" s="13"/>
    </row>
    <row r="7" spans="1:9" s="14" customFormat="1" ht="18" customHeight="1">
      <c r="A7" s="15"/>
      <c r="B7" s="16" t="s">
        <v>5</v>
      </c>
      <c r="C7" s="17"/>
      <c r="D7" s="19"/>
      <c r="E7" s="19"/>
      <c r="F7" s="19"/>
      <c r="G7" s="18"/>
    </row>
    <row r="8" spans="1:9" s="20" customFormat="1" ht="14.25">
      <c r="B8" s="21"/>
      <c r="C8" s="22"/>
      <c r="D8" s="23"/>
      <c r="E8" s="24"/>
      <c r="F8" s="25"/>
      <c r="G8" s="26"/>
      <c r="H8" s="28"/>
      <c r="I8" s="28"/>
    </row>
    <row r="9" spans="1:9" s="20" customFormat="1" ht="27" customHeight="1">
      <c r="B9" s="2287"/>
      <c r="C9" s="2288" t="s">
        <v>2028</v>
      </c>
      <c r="D9" s="47"/>
      <c r="E9" s="48"/>
      <c r="F9" s="49"/>
      <c r="G9" s="2289" t="s">
        <v>10</v>
      </c>
      <c r="H9" s="28"/>
      <c r="I9" s="28"/>
    </row>
    <row r="10" spans="1:9" s="14" customFormat="1" ht="27" customHeight="1">
      <c r="B10" s="34" t="s">
        <v>7</v>
      </c>
      <c r="C10" s="35" t="s">
        <v>8</v>
      </c>
      <c r="D10" s="2390"/>
      <c r="E10" s="2390"/>
      <c r="F10" s="2391"/>
      <c r="G10" s="36" t="s">
        <v>2268</v>
      </c>
    </row>
    <row r="11" spans="1:9" s="14" customFormat="1" ht="27" customHeight="1">
      <c r="B11" s="51" t="s">
        <v>11</v>
      </c>
      <c r="C11" s="52" t="s">
        <v>1814</v>
      </c>
      <c r="D11" s="1543"/>
      <c r="E11" s="1544"/>
      <c r="F11" s="42"/>
      <c r="G11" s="43"/>
    </row>
    <row r="12" spans="1:9" s="14" customFormat="1" ht="27" customHeight="1">
      <c r="B12" s="38" t="s">
        <v>43</v>
      </c>
      <c r="C12" s="39" t="s">
        <v>2025</v>
      </c>
      <c r="D12" s="40"/>
      <c r="E12" s="41"/>
      <c r="F12" s="42"/>
      <c r="G12" s="1542">
        <f>+'REKAPITULACIJA BELTINCI'!G13</f>
        <v>0</v>
      </c>
    </row>
    <row r="13" spans="1:9" s="14" customFormat="1" ht="27" customHeight="1">
      <c r="B13" s="38" t="s">
        <v>45</v>
      </c>
      <c r="C13" s="2387" t="s">
        <v>2029</v>
      </c>
      <c r="D13" s="2388"/>
      <c r="E13" s="2388"/>
      <c r="F13" s="2389"/>
      <c r="G13" s="1542">
        <f>+'REKAPITULACIJA BELTINCI'!G23</f>
        <v>0</v>
      </c>
    </row>
    <row r="14" spans="1:9" s="14" customFormat="1" ht="27" customHeight="1">
      <c r="B14" s="1550"/>
      <c r="C14" s="2392" t="s">
        <v>2032</v>
      </c>
      <c r="D14" s="2390"/>
      <c r="E14" s="2390"/>
      <c r="F14" s="2391"/>
      <c r="G14" s="1557">
        <f>+G13+G12</f>
        <v>0</v>
      </c>
    </row>
    <row r="15" spans="1:9" s="14" customFormat="1" ht="27" customHeight="1">
      <c r="B15" s="51" t="s">
        <v>13</v>
      </c>
      <c r="C15" s="52" t="s">
        <v>1812</v>
      </c>
      <c r="D15" s="1543"/>
      <c r="E15" s="1544"/>
      <c r="F15" s="42"/>
      <c r="G15" s="43"/>
    </row>
    <row r="16" spans="1:9" s="14" customFormat="1" ht="27" customHeight="1">
      <c r="B16" s="38" t="s">
        <v>47</v>
      </c>
      <c r="C16" s="39" t="s">
        <v>2025</v>
      </c>
      <c r="D16" s="40"/>
      <c r="E16" s="41"/>
      <c r="F16" s="42"/>
      <c r="G16" s="1542">
        <f>+'REKAPITULACIJA M.SOBOTA'!G18</f>
        <v>0</v>
      </c>
    </row>
    <row r="17" spans="2:8" s="14" customFormat="1" ht="27" customHeight="1">
      <c r="B17" s="38" t="s">
        <v>914</v>
      </c>
      <c r="C17" s="2387" t="s">
        <v>2029</v>
      </c>
      <c r="D17" s="2388"/>
      <c r="E17" s="2388"/>
      <c r="F17" s="2389"/>
      <c r="G17" s="1542">
        <f>+'REKAPITULACIJA M.SOBOTA'!G22</f>
        <v>0</v>
      </c>
    </row>
    <row r="18" spans="2:8" s="14" customFormat="1" ht="27" customHeight="1">
      <c r="B18" s="1550"/>
      <c r="C18" s="2392" t="s">
        <v>2030</v>
      </c>
      <c r="D18" s="2390"/>
      <c r="E18" s="2390"/>
      <c r="F18" s="2391"/>
      <c r="G18" s="1557">
        <f>+G17+G16</f>
        <v>0</v>
      </c>
    </row>
    <row r="19" spans="2:8" s="14" customFormat="1" ht="27" customHeight="1">
      <c r="B19" s="51" t="s">
        <v>15</v>
      </c>
      <c r="C19" s="52" t="s">
        <v>377</v>
      </c>
      <c r="D19" s="1543"/>
      <c r="E19" s="1544"/>
      <c r="F19" s="42"/>
      <c r="G19" s="43"/>
    </row>
    <row r="20" spans="2:8" s="14" customFormat="1" ht="27" customHeight="1">
      <c r="B20" s="38" t="s">
        <v>915</v>
      </c>
      <c r="C20" s="39" t="s">
        <v>2025</v>
      </c>
      <c r="D20" s="40"/>
      <c r="E20" s="41"/>
      <c r="F20" s="42"/>
      <c r="G20" s="1542">
        <f>+'REKAPITULACIJA PUCONCI'!F18</f>
        <v>0</v>
      </c>
    </row>
    <row r="21" spans="2:8" s="14" customFormat="1" ht="27" customHeight="1">
      <c r="B21" s="38" t="s">
        <v>1776</v>
      </c>
      <c r="C21" s="2387" t="s">
        <v>2029</v>
      </c>
      <c r="D21" s="2388"/>
      <c r="E21" s="2388"/>
      <c r="F21" s="2389"/>
      <c r="G21" s="1542">
        <f>+'REKAPITULACIJA PUCONCI'!F29+'REKAPITULACIJA PUCONCI'!F32</f>
        <v>0</v>
      </c>
    </row>
    <row r="22" spans="2:8" s="14" customFormat="1" ht="27" customHeight="1">
      <c r="B22" s="1550"/>
      <c r="C22" s="2392" t="s">
        <v>2031</v>
      </c>
      <c r="D22" s="2390"/>
      <c r="E22" s="2390"/>
      <c r="F22" s="2391"/>
      <c r="G22" s="1557">
        <f>+G21+G20</f>
        <v>0</v>
      </c>
    </row>
    <row r="23" spans="2:8" ht="27" customHeight="1">
      <c r="B23" s="51" t="s">
        <v>17</v>
      </c>
      <c r="C23" s="52" t="s">
        <v>1813</v>
      </c>
      <c r="D23" s="40"/>
      <c r="E23" s="41"/>
      <c r="F23" s="42"/>
      <c r="G23" s="43"/>
    </row>
    <row r="24" spans="2:8" ht="27" customHeight="1">
      <c r="B24" s="38" t="s">
        <v>2036</v>
      </c>
      <c r="C24" s="39" t="s">
        <v>2025</v>
      </c>
      <c r="D24" s="40"/>
      <c r="E24" s="41"/>
      <c r="F24" s="42"/>
      <c r="G24" s="1542">
        <f>+'REKAPITULACIJA TI'!G14</f>
        <v>0</v>
      </c>
    </row>
    <row r="25" spans="2:8" ht="27" customHeight="1">
      <c r="B25" s="38" t="s">
        <v>2038</v>
      </c>
      <c r="C25" s="2387" t="s">
        <v>2029</v>
      </c>
      <c r="D25" s="2388"/>
      <c r="E25" s="2388"/>
      <c r="F25" s="2389"/>
      <c r="G25" s="1542">
        <f>+'REKAPITULACIJA TI'!G25</f>
        <v>0</v>
      </c>
    </row>
    <row r="26" spans="2:8" ht="27" customHeight="1">
      <c r="B26" s="1550"/>
      <c r="C26" s="2392" t="s">
        <v>2033</v>
      </c>
      <c r="D26" s="2390"/>
      <c r="E26" s="2390"/>
      <c r="F26" s="2391"/>
      <c r="G26" s="1551">
        <f>G24+G25</f>
        <v>0</v>
      </c>
    </row>
    <row r="27" spans="2:8" ht="27" customHeight="1">
      <c r="B27" s="1545"/>
      <c r="C27" s="1546"/>
      <c r="D27" s="1546"/>
      <c r="E27" s="1547"/>
      <c r="F27" s="1548"/>
      <c r="G27" s="1186"/>
    </row>
    <row r="28" spans="2:8" ht="27" customHeight="1">
      <c r="B28" s="29"/>
      <c r="C28" s="35" t="s">
        <v>2035</v>
      </c>
      <c r="D28" s="30"/>
      <c r="E28" s="31"/>
      <c r="F28" s="32"/>
      <c r="G28" s="33"/>
    </row>
    <row r="29" spans="2:8" ht="27" customHeight="1">
      <c r="B29" s="38"/>
      <c r="C29" s="2387" t="s">
        <v>2039</v>
      </c>
      <c r="D29" s="2388"/>
      <c r="E29" s="2388"/>
      <c r="F29" s="2389"/>
      <c r="G29" s="1542">
        <f>+G12+G16+G20+G24</f>
        <v>0</v>
      </c>
      <c r="H29" s="1549"/>
    </row>
    <row r="30" spans="2:8" ht="27" customHeight="1">
      <c r="B30" s="38"/>
      <c r="C30" s="2387" t="s">
        <v>2040</v>
      </c>
      <c r="D30" s="2388"/>
      <c r="E30" s="2388"/>
      <c r="F30" s="2389"/>
      <c r="G30" s="1542">
        <f>+G13+G17+G21+G25</f>
        <v>0</v>
      </c>
    </row>
    <row r="31" spans="2:8" ht="27" customHeight="1">
      <c r="B31" s="1"/>
      <c r="C31" s="1"/>
      <c r="D31" s="1"/>
      <c r="E31" s="1"/>
      <c r="F31" s="1"/>
      <c r="G31" s="1"/>
    </row>
    <row r="32" spans="2:8" ht="27" customHeight="1">
      <c r="B32" s="45"/>
      <c r="C32" s="46" t="s">
        <v>2034</v>
      </c>
      <c r="D32" s="47"/>
      <c r="E32" s="48"/>
      <c r="F32" s="49"/>
      <c r="G32" s="50">
        <f>+G26+G22+G18+G14</f>
        <v>0</v>
      </c>
    </row>
    <row r="33" spans="2:7" ht="27" customHeight="1">
      <c r="B33" s="51" t="s">
        <v>28</v>
      </c>
      <c r="C33" s="52" t="s">
        <v>29</v>
      </c>
      <c r="D33" s="40"/>
      <c r="E33" s="53"/>
      <c r="F33" s="54"/>
      <c r="G33" s="43">
        <v>612478.65751955833</v>
      </c>
    </row>
    <row r="34" spans="2:7" ht="27" customHeight="1">
      <c r="B34" s="51" t="s">
        <v>30</v>
      </c>
      <c r="C34" s="55" t="s">
        <v>2286</v>
      </c>
      <c r="D34" s="56"/>
      <c r="E34" s="57"/>
      <c r="F34" s="58"/>
      <c r="G34" s="43"/>
    </row>
    <row r="35" spans="2:7" ht="27" customHeight="1">
      <c r="B35" s="51" t="s">
        <v>2289</v>
      </c>
      <c r="C35" s="55" t="s">
        <v>31</v>
      </c>
      <c r="D35" s="56"/>
      <c r="E35" s="57"/>
      <c r="F35" s="58"/>
      <c r="G35" s="43">
        <v>30623.932875977916</v>
      </c>
    </row>
    <row r="36" spans="2:7" ht="43.5" customHeight="1">
      <c r="B36" s="51" t="s">
        <v>2290</v>
      </c>
      <c r="C36" s="55" t="s">
        <v>2297</v>
      </c>
      <c r="D36" s="56"/>
      <c r="E36" s="57"/>
      <c r="F36" s="58"/>
      <c r="G36" s="43">
        <v>43290</v>
      </c>
    </row>
    <row r="37" spans="2:7" ht="27.75" customHeight="1">
      <c r="B37" s="51" t="s">
        <v>2291</v>
      </c>
      <c r="C37" s="2384" t="s">
        <v>2287</v>
      </c>
      <c r="D37" s="2385"/>
      <c r="E37" s="2385"/>
      <c r="F37" s="2386"/>
      <c r="G37" s="43">
        <v>172086.9</v>
      </c>
    </row>
    <row r="38" spans="2:7" ht="30.75" customHeight="1">
      <c r="B38" s="51" t="s">
        <v>2296</v>
      </c>
      <c r="C38" s="55" t="s">
        <v>2288</v>
      </c>
      <c r="D38" s="56"/>
      <c r="E38" s="57"/>
      <c r="F38" s="58"/>
      <c r="G38" s="43">
        <v>36471.1</v>
      </c>
    </row>
    <row r="39" spans="2:7" ht="27" customHeight="1">
      <c r="B39" s="45"/>
      <c r="C39" s="46" t="s">
        <v>32</v>
      </c>
      <c r="D39" s="47"/>
      <c r="E39" s="48"/>
      <c r="F39" s="49"/>
      <c r="G39" s="50">
        <f>SUM(G32:G38)</f>
        <v>894950.59039553627</v>
      </c>
    </row>
    <row r="40" spans="2:7" ht="27" customHeight="1">
      <c r="B40" s="51"/>
      <c r="C40" s="52" t="s">
        <v>33</v>
      </c>
      <c r="D40" s="40"/>
      <c r="E40" s="41"/>
      <c r="F40" s="42"/>
      <c r="G40" s="43">
        <f>G39*0.22</f>
        <v>196889.12988701797</v>
      </c>
    </row>
    <row r="41" spans="2:7" ht="27" customHeight="1">
      <c r="B41" s="59"/>
      <c r="C41" s="46" t="s">
        <v>34</v>
      </c>
      <c r="D41" s="47"/>
      <c r="E41" s="48"/>
      <c r="F41" s="49"/>
      <c r="G41" s="60">
        <f>G39+G40</f>
        <v>1091839.7202825542</v>
      </c>
    </row>
    <row r="42" spans="2:7" ht="21" customHeight="1">
      <c r="B42" s="1"/>
      <c r="C42" s="1"/>
      <c r="D42" s="1"/>
      <c r="E42" s="1"/>
      <c r="F42" s="1"/>
      <c r="G42" s="1"/>
    </row>
    <row r="43" spans="2:7" ht="21" customHeight="1">
      <c r="B43" s="14" t="s">
        <v>1811</v>
      </c>
      <c r="C43" s="1"/>
      <c r="D43" s="1"/>
      <c r="E43" s="1"/>
      <c r="F43" s="1"/>
      <c r="G43" s="1"/>
    </row>
    <row r="44" spans="2:7" ht="21" customHeight="1">
      <c r="B44" s="61"/>
      <c r="C44" s="62"/>
      <c r="D44" s="63"/>
      <c r="E44" s="64"/>
      <c r="F44" s="65"/>
    </row>
    <row r="45" spans="2:7" ht="21" customHeight="1">
      <c r="B45" s="1"/>
      <c r="C45" s="14"/>
      <c r="D45" s="14"/>
      <c r="E45" s="73"/>
      <c r="F45" s="73"/>
      <c r="G45" s="73"/>
    </row>
    <row r="46" spans="2:7" ht="21" customHeight="1"/>
    <row r="47" spans="2:7" ht="21" customHeight="1"/>
    <row r="48" spans="2:7" ht="21" customHeight="1"/>
    <row r="49" ht="21" customHeight="1"/>
    <row r="50" ht="21" customHeight="1"/>
    <row r="51" ht="21" customHeight="1"/>
    <row r="52" ht="21" customHeight="1"/>
    <row r="53" ht="21" customHeight="1"/>
    <row r="54" ht="21" customHeight="1"/>
  </sheetData>
  <mergeCells count="12">
    <mergeCell ref="C37:F37"/>
    <mergeCell ref="C25:F25"/>
    <mergeCell ref="C30:F30"/>
    <mergeCell ref="C29:F29"/>
    <mergeCell ref="D10:F10"/>
    <mergeCell ref="C13:F13"/>
    <mergeCell ref="C17:F17"/>
    <mergeCell ref="C21:F21"/>
    <mergeCell ref="C26:F26"/>
    <mergeCell ref="C22:F22"/>
    <mergeCell ref="C18:F18"/>
    <mergeCell ref="C14:F14"/>
  </mergeCells>
  <pageMargins left="0.25" right="0.25" top="0.75" bottom="0.75" header="0.3" footer="0.3"/>
  <pageSetup paperSize="9" fitToWidth="0" orientation="portrait" r:id="rId1"/>
  <headerFooter alignWithMargins="0">
    <oddFooter>&amp;C&amp;8&amp;P/&amp;N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226E-D883-4BEB-89B6-16C680EFB7AA}">
  <sheetPr>
    <tabColor rgb="FFFFC000"/>
  </sheetPr>
  <dimension ref="A1:AC158"/>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7109375" style="66" customWidth="1"/>
    <col min="8" max="8" width="16" style="8" customWidth="1"/>
    <col min="9" max="9" width="17"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24</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G157</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508</v>
      </c>
      <c r="F23" s="141">
        <v>0</v>
      </c>
      <c r="G23" s="142">
        <f t="shared" ref="G23" si="0">E23*F23</f>
        <v>0</v>
      </c>
    </row>
    <row r="24" spans="2:29">
      <c r="B24" s="125">
        <v>2</v>
      </c>
      <c r="C24" s="139" t="s">
        <v>58</v>
      </c>
      <c r="D24" s="140" t="s">
        <v>57</v>
      </c>
      <c r="E24" s="128">
        <v>508</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508</v>
      </c>
      <c r="F28" s="141">
        <v>0</v>
      </c>
      <c r="G28" s="142">
        <f t="shared" si="1"/>
        <v>0</v>
      </c>
    </row>
    <row r="29" spans="2:29" ht="52.5" customHeight="1">
      <c r="B29" s="125">
        <v>7</v>
      </c>
      <c r="C29" s="147" t="s">
        <v>64</v>
      </c>
      <c r="D29" s="146" t="s">
        <v>60</v>
      </c>
      <c r="E29" s="128">
        <v>1</v>
      </c>
      <c r="F29" s="141">
        <v>0</v>
      </c>
      <c r="G29" s="142">
        <f t="shared" si="1"/>
        <v>0</v>
      </c>
    </row>
    <row r="30" spans="2:29" ht="53.25" customHeight="1">
      <c r="B30" s="125">
        <v>8</v>
      </c>
      <c r="C30" s="1080" t="s">
        <v>2292</v>
      </c>
      <c r="D30" s="146" t="s">
        <v>66</v>
      </c>
      <c r="E30" s="128">
        <v>48</v>
      </c>
      <c r="F30" s="141">
        <v>0</v>
      </c>
      <c r="G30" s="142">
        <f t="shared" si="1"/>
        <v>0</v>
      </c>
    </row>
    <row r="31" spans="2:29" ht="38.25" customHeight="1">
      <c r="B31" s="125">
        <v>9</v>
      </c>
      <c r="C31" s="1080" t="s">
        <v>2294</v>
      </c>
      <c r="D31" s="146" t="s">
        <v>57</v>
      </c>
      <c r="E31" s="128">
        <v>734</v>
      </c>
      <c r="F31" s="141">
        <v>0</v>
      </c>
      <c r="G31" s="142">
        <f t="shared" si="1"/>
        <v>0</v>
      </c>
      <c r="H31" s="143"/>
    </row>
    <row r="32" spans="2:29" ht="27.75" customHeight="1">
      <c r="B32" s="125">
        <v>10</v>
      </c>
      <c r="C32" s="1080" t="s">
        <v>2293</v>
      </c>
      <c r="D32" s="146" t="s">
        <v>57</v>
      </c>
      <c r="E32" s="128">
        <v>734</v>
      </c>
      <c r="F32" s="141">
        <v>0</v>
      </c>
      <c r="G32" s="142">
        <f t="shared" si="1"/>
        <v>0</v>
      </c>
    </row>
    <row r="33" spans="2:25" ht="14.25" customHeight="1">
      <c r="B33" s="125">
        <v>11</v>
      </c>
      <c r="C33" s="147" t="s">
        <v>67</v>
      </c>
      <c r="D33" s="146" t="s">
        <v>60</v>
      </c>
      <c r="E33" s="128">
        <v>1</v>
      </c>
      <c r="F33" s="141">
        <v>0</v>
      </c>
      <c r="G33" s="142">
        <f t="shared" si="1"/>
        <v>0</v>
      </c>
    </row>
    <row r="34" spans="2:25"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row>
    <row r="35" spans="2:25" ht="38.25" customHeight="1">
      <c r="B35" s="125">
        <v>13</v>
      </c>
      <c r="C35" s="150" t="s">
        <v>69</v>
      </c>
      <c r="D35" s="146" t="s">
        <v>60</v>
      </c>
      <c r="E35" s="149">
        <v>12</v>
      </c>
      <c r="F35" s="141">
        <v>0</v>
      </c>
      <c r="G35" s="142">
        <f t="shared" si="1"/>
        <v>0</v>
      </c>
      <c r="I35" s="8"/>
      <c r="J35" s="8"/>
      <c r="K35" s="8"/>
      <c r="L35" s="8"/>
      <c r="M35" s="8"/>
      <c r="N35" s="8"/>
      <c r="O35" s="8"/>
      <c r="P35" s="8"/>
      <c r="Q35" s="8"/>
      <c r="R35" s="8"/>
      <c r="S35" s="8"/>
      <c r="T35" s="8"/>
      <c r="U35" s="8"/>
      <c r="V35" s="8"/>
      <c r="W35" s="8"/>
      <c r="X35" s="8"/>
      <c r="Y35" s="8"/>
    </row>
    <row r="36" spans="2:25">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row>
    <row r="37" spans="2:25">
      <c r="B37" s="125"/>
      <c r="C37" s="126"/>
      <c r="D37" s="127"/>
      <c r="E37" s="128"/>
      <c r="F37" s="129"/>
      <c r="G37" s="130"/>
      <c r="I37" s="8"/>
      <c r="J37" s="8"/>
      <c r="K37" s="8"/>
      <c r="L37" s="8"/>
      <c r="M37" s="8"/>
      <c r="N37" s="8"/>
      <c r="O37" s="8"/>
      <c r="P37" s="8"/>
      <c r="Q37" s="8"/>
      <c r="R37" s="8"/>
      <c r="S37" s="8"/>
      <c r="T37" s="8"/>
      <c r="U37" s="8"/>
      <c r="V37" s="8"/>
      <c r="W37" s="8"/>
      <c r="X37" s="8"/>
      <c r="Y37" s="8"/>
    </row>
    <row r="38" spans="2:25"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row>
    <row r="39" spans="2:25">
      <c r="B39" s="125"/>
      <c r="C39" s="163"/>
      <c r="D39" s="140"/>
      <c r="E39" s="128"/>
      <c r="F39" s="129"/>
      <c r="G39" s="130"/>
      <c r="I39" s="8"/>
      <c r="J39" s="8"/>
      <c r="K39" s="8"/>
      <c r="L39" s="8"/>
      <c r="M39" s="8"/>
      <c r="N39" s="8"/>
      <c r="O39" s="8"/>
      <c r="P39" s="8"/>
      <c r="Q39" s="8"/>
      <c r="R39" s="8"/>
      <c r="S39" s="8"/>
      <c r="T39" s="8"/>
      <c r="U39" s="8"/>
      <c r="V39" s="8"/>
      <c r="W39" s="8"/>
      <c r="X39" s="8"/>
      <c r="Y39" s="8"/>
    </row>
    <row r="40" spans="2:25"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row>
    <row r="41" spans="2:25" s="166" customFormat="1" ht="71.25" customHeight="1">
      <c r="B41" s="2399" t="s">
        <v>72</v>
      </c>
      <c r="C41" s="2400"/>
      <c r="D41" s="2400"/>
      <c r="E41" s="2400"/>
      <c r="F41" s="2400"/>
      <c r="G41" s="2401"/>
      <c r="H41" s="8"/>
      <c r="I41" s="8"/>
      <c r="J41" s="8"/>
      <c r="K41" s="8"/>
      <c r="L41" s="8"/>
      <c r="M41" s="8"/>
      <c r="N41" s="8"/>
      <c r="O41" s="8"/>
      <c r="P41" s="8"/>
      <c r="Q41" s="8"/>
      <c r="R41" s="8"/>
      <c r="S41" s="8"/>
      <c r="T41" s="8"/>
      <c r="U41" s="8"/>
      <c r="V41" s="8"/>
      <c r="W41" s="8"/>
      <c r="X41" s="8"/>
      <c r="Y41" s="8"/>
    </row>
    <row r="42" spans="2:25" ht="24">
      <c r="B42" s="167">
        <v>1</v>
      </c>
      <c r="C42" s="139" t="s">
        <v>73</v>
      </c>
      <c r="D42" s="140" t="s">
        <v>74</v>
      </c>
      <c r="E42" s="128">
        <v>26</v>
      </c>
      <c r="F42" s="141">
        <v>0</v>
      </c>
      <c r="G42" s="142">
        <f t="shared" ref="G42:G67" si="2">E42*F42</f>
        <v>0</v>
      </c>
      <c r="I42" s="8"/>
      <c r="J42" s="8"/>
      <c r="K42" s="8"/>
      <c r="L42" s="8"/>
      <c r="M42" s="8"/>
      <c r="N42" s="8"/>
      <c r="O42" s="8"/>
      <c r="P42" s="8"/>
      <c r="Q42" s="8"/>
      <c r="R42" s="8"/>
      <c r="S42" s="8"/>
      <c r="T42" s="8"/>
      <c r="U42" s="8"/>
      <c r="V42" s="8"/>
      <c r="W42" s="8"/>
      <c r="X42" s="8"/>
      <c r="Y42" s="8"/>
    </row>
    <row r="43" spans="2:25" ht="36">
      <c r="B43" s="167">
        <v>2</v>
      </c>
      <c r="C43" s="139" t="s">
        <v>75</v>
      </c>
      <c r="D43" s="145" t="s">
        <v>74</v>
      </c>
      <c r="E43" s="128">
        <v>18</v>
      </c>
      <c r="F43" s="141">
        <v>0</v>
      </c>
      <c r="G43" s="142">
        <f t="shared" si="2"/>
        <v>0</v>
      </c>
      <c r="I43" s="8"/>
      <c r="J43" s="8"/>
      <c r="K43" s="8"/>
      <c r="L43" s="8"/>
      <c r="M43" s="8"/>
      <c r="N43" s="8"/>
      <c r="O43" s="8"/>
      <c r="P43" s="8"/>
      <c r="Q43" s="8"/>
      <c r="R43" s="8"/>
      <c r="S43" s="8"/>
      <c r="T43" s="8"/>
      <c r="U43" s="8"/>
      <c r="V43" s="8"/>
      <c r="W43" s="8"/>
      <c r="X43" s="8"/>
      <c r="Y43" s="8"/>
    </row>
    <row r="44" spans="2:25" ht="39.75" customHeight="1">
      <c r="B44" s="167">
        <v>3</v>
      </c>
      <c r="C44" s="139" t="s">
        <v>76</v>
      </c>
      <c r="D44" s="145" t="s">
        <v>74</v>
      </c>
      <c r="E44" s="128">
        <v>893</v>
      </c>
      <c r="F44" s="141">
        <v>0</v>
      </c>
      <c r="G44" s="142">
        <f t="shared" si="2"/>
        <v>0</v>
      </c>
      <c r="I44" s="8"/>
      <c r="J44" s="8"/>
      <c r="K44" s="8"/>
      <c r="L44" s="8"/>
      <c r="M44" s="8"/>
      <c r="N44" s="8"/>
      <c r="O44" s="8"/>
      <c r="P44" s="8"/>
      <c r="Q44" s="8"/>
      <c r="R44" s="8"/>
      <c r="S44" s="8"/>
      <c r="T44" s="8"/>
      <c r="U44" s="8"/>
      <c r="V44" s="8"/>
      <c r="W44" s="8"/>
      <c r="X44" s="8"/>
      <c r="Y44" s="8"/>
    </row>
    <row r="45" spans="2:25" ht="24">
      <c r="B45" s="167">
        <v>4</v>
      </c>
      <c r="C45" s="168" t="s">
        <v>77</v>
      </c>
      <c r="D45" s="169" t="s">
        <v>78</v>
      </c>
      <c r="E45" s="170">
        <v>2075</v>
      </c>
      <c r="F45" s="141">
        <v>0</v>
      </c>
      <c r="G45" s="142">
        <f t="shared" si="2"/>
        <v>0</v>
      </c>
      <c r="I45" s="8"/>
      <c r="J45" s="8"/>
      <c r="K45" s="8"/>
      <c r="L45" s="8"/>
      <c r="M45" s="8"/>
      <c r="N45" s="8"/>
      <c r="O45" s="8"/>
      <c r="P45" s="8"/>
      <c r="Q45" s="8"/>
      <c r="R45" s="8"/>
      <c r="S45" s="8"/>
      <c r="T45" s="8"/>
      <c r="U45" s="8"/>
      <c r="V45" s="8"/>
      <c r="W45" s="8"/>
      <c r="X45" s="8"/>
      <c r="Y45" s="8"/>
    </row>
    <row r="46" spans="2:25" ht="29.25" customHeight="1">
      <c r="B46" s="167">
        <v>5</v>
      </c>
      <c r="C46" s="139" t="s">
        <v>79</v>
      </c>
      <c r="D46" s="145" t="s">
        <v>78</v>
      </c>
      <c r="E46" s="128">
        <v>620</v>
      </c>
      <c r="F46" s="141">
        <v>0</v>
      </c>
      <c r="G46" s="142">
        <f t="shared" si="2"/>
        <v>0</v>
      </c>
      <c r="I46" s="8"/>
      <c r="J46" s="8"/>
      <c r="K46" s="8"/>
      <c r="L46" s="8"/>
      <c r="M46" s="8"/>
      <c r="N46" s="8"/>
      <c r="O46" s="8"/>
      <c r="P46" s="8"/>
      <c r="Q46" s="8"/>
      <c r="R46" s="8"/>
      <c r="S46" s="8"/>
      <c r="T46" s="8"/>
      <c r="U46" s="8"/>
      <c r="V46" s="8"/>
      <c r="W46" s="8"/>
      <c r="X46" s="8"/>
      <c r="Y46" s="8"/>
    </row>
    <row r="47" spans="2:25" ht="27" customHeight="1">
      <c r="B47" s="167">
        <v>6</v>
      </c>
      <c r="C47" s="139" t="s">
        <v>80</v>
      </c>
      <c r="D47" s="145" t="s">
        <v>74</v>
      </c>
      <c r="E47" s="128">
        <v>186</v>
      </c>
      <c r="F47" s="141">
        <v>0</v>
      </c>
      <c r="G47" s="142">
        <f t="shared" si="2"/>
        <v>0</v>
      </c>
      <c r="I47" s="8"/>
      <c r="J47" s="8"/>
      <c r="K47" s="8"/>
      <c r="L47" s="8"/>
      <c r="M47" s="8"/>
      <c r="N47" s="8"/>
      <c r="O47" s="8"/>
      <c r="P47" s="8"/>
      <c r="Q47" s="8"/>
      <c r="R47" s="8"/>
      <c r="S47" s="8"/>
      <c r="T47" s="8"/>
      <c r="U47" s="8"/>
      <c r="V47" s="8"/>
      <c r="W47" s="8"/>
      <c r="X47" s="8"/>
      <c r="Y47" s="8"/>
    </row>
    <row r="48" spans="2:25" s="176" customFormat="1" ht="36">
      <c r="B48" s="167">
        <v>7</v>
      </c>
      <c r="C48" s="171" t="s">
        <v>81</v>
      </c>
      <c r="D48" s="172" t="s">
        <v>74</v>
      </c>
      <c r="E48" s="173">
        <v>441</v>
      </c>
      <c r="F48" s="141">
        <v>0</v>
      </c>
      <c r="G48" s="175">
        <f t="shared" si="2"/>
        <v>0</v>
      </c>
      <c r="H48" s="8"/>
      <c r="I48" s="8"/>
      <c r="J48" s="8"/>
      <c r="K48" s="8"/>
      <c r="L48" s="8"/>
      <c r="M48" s="8"/>
      <c r="N48" s="8"/>
      <c r="O48" s="8"/>
      <c r="P48" s="8"/>
      <c r="Q48" s="8"/>
      <c r="R48" s="8"/>
      <c r="S48" s="8"/>
      <c r="T48" s="8"/>
      <c r="U48" s="8"/>
      <c r="V48" s="8"/>
      <c r="W48" s="8"/>
      <c r="X48" s="8"/>
      <c r="Y48" s="8"/>
    </row>
    <row r="49" spans="2:25" s="166" customFormat="1" ht="36">
      <c r="B49" s="167">
        <v>8</v>
      </c>
      <c r="C49" s="274" t="s">
        <v>82</v>
      </c>
      <c r="D49" s="275" t="s">
        <v>74</v>
      </c>
      <c r="E49" s="173">
        <v>310</v>
      </c>
      <c r="F49" s="141">
        <v>0</v>
      </c>
      <c r="G49" s="175">
        <f t="shared" si="2"/>
        <v>0</v>
      </c>
      <c r="H49" s="8"/>
      <c r="I49" s="8"/>
      <c r="J49" s="8"/>
      <c r="K49" s="8"/>
      <c r="L49" s="8"/>
      <c r="M49" s="8"/>
      <c r="N49" s="8"/>
      <c r="O49" s="8"/>
      <c r="P49" s="8"/>
      <c r="Q49" s="8"/>
      <c r="R49" s="8"/>
      <c r="S49" s="8"/>
      <c r="T49" s="8"/>
      <c r="U49" s="8"/>
      <c r="V49" s="8"/>
      <c r="W49" s="8"/>
      <c r="X49" s="8"/>
      <c r="Y49" s="8"/>
    </row>
    <row r="50" spans="2:25" s="179" customFormat="1" ht="51" customHeight="1">
      <c r="B50" s="2406">
        <v>9</v>
      </c>
      <c r="C50" s="276" t="s">
        <v>83</v>
      </c>
      <c r="D50" s="277"/>
      <c r="E50" s="173"/>
      <c r="F50" s="174"/>
      <c r="G50" s="175"/>
      <c r="H50" s="8"/>
      <c r="I50" s="8"/>
      <c r="J50" s="8"/>
      <c r="K50" s="8"/>
      <c r="L50" s="8"/>
      <c r="M50" s="8"/>
      <c r="N50" s="8"/>
      <c r="O50" s="8"/>
      <c r="P50" s="8"/>
      <c r="Q50" s="8"/>
      <c r="R50" s="8"/>
      <c r="S50" s="8"/>
      <c r="T50" s="8"/>
      <c r="U50" s="8"/>
      <c r="V50" s="8"/>
      <c r="W50" s="8"/>
      <c r="X50" s="8"/>
      <c r="Y50" s="8"/>
    </row>
    <row r="51" spans="2:25" s="179" customFormat="1" ht="15" customHeight="1">
      <c r="B51" s="2407"/>
      <c r="C51" s="276" t="s">
        <v>84</v>
      </c>
      <c r="D51" s="277" t="s">
        <v>57</v>
      </c>
      <c r="E51" s="173">
        <v>5</v>
      </c>
      <c r="F51" s="174">
        <v>0</v>
      </c>
      <c r="G51" s="175">
        <f t="shared" ref="G51" si="3">E51*F51</f>
        <v>0</v>
      </c>
      <c r="H51" s="8"/>
      <c r="I51" s="8"/>
      <c r="J51" s="8"/>
      <c r="K51" s="8"/>
      <c r="L51" s="8"/>
      <c r="M51" s="8"/>
      <c r="N51" s="8"/>
      <c r="O51" s="8"/>
      <c r="P51" s="8"/>
      <c r="Q51" s="8"/>
      <c r="R51" s="8"/>
      <c r="S51" s="8"/>
      <c r="T51" s="8"/>
      <c r="U51" s="8"/>
      <c r="V51" s="8"/>
      <c r="W51" s="8"/>
      <c r="X51" s="8"/>
      <c r="Y51" s="8"/>
    </row>
    <row r="52" spans="2:25" ht="25.5" customHeight="1">
      <c r="B52" s="167">
        <v>10</v>
      </c>
      <c r="C52" s="171" t="s">
        <v>85</v>
      </c>
      <c r="D52" s="172" t="s">
        <v>57</v>
      </c>
      <c r="E52" s="173">
        <v>1009</v>
      </c>
      <c r="F52" s="174">
        <v>0</v>
      </c>
      <c r="G52" s="175">
        <f t="shared" si="2"/>
        <v>0</v>
      </c>
      <c r="I52" s="8"/>
      <c r="J52" s="8"/>
      <c r="K52" s="8"/>
      <c r="L52" s="8"/>
      <c r="M52" s="8"/>
      <c r="N52" s="8"/>
      <c r="O52" s="8"/>
      <c r="P52" s="8"/>
      <c r="Q52" s="8"/>
      <c r="R52" s="8"/>
      <c r="S52" s="8"/>
      <c r="T52" s="8"/>
      <c r="U52" s="8"/>
      <c r="V52" s="8"/>
      <c r="W52" s="8"/>
      <c r="X52" s="8"/>
      <c r="Y52" s="8"/>
    </row>
    <row r="53" spans="2:25" ht="24">
      <c r="B53" s="167">
        <v>11</v>
      </c>
      <c r="C53" s="171" t="s">
        <v>86</v>
      </c>
      <c r="D53" s="277" t="s">
        <v>78</v>
      </c>
      <c r="E53" s="173">
        <v>874</v>
      </c>
      <c r="F53" s="174">
        <v>0</v>
      </c>
      <c r="G53" s="175">
        <f t="shared" si="2"/>
        <v>0</v>
      </c>
      <c r="I53" s="8"/>
      <c r="J53" s="8"/>
      <c r="K53" s="8"/>
      <c r="L53" s="8"/>
      <c r="M53" s="8"/>
      <c r="N53" s="8"/>
      <c r="O53" s="8"/>
      <c r="P53" s="8"/>
      <c r="Q53" s="8"/>
      <c r="R53" s="8"/>
      <c r="S53" s="8"/>
      <c r="T53" s="8"/>
      <c r="U53" s="8"/>
      <c r="V53" s="8"/>
      <c r="W53" s="8"/>
      <c r="X53" s="8"/>
      <c r="Y53" s="8"/>
    </row>
    <row r="54" spans="2:25" ht="49.5" customHeight="1">
      <c r="B54" s="167">
        <v>12</v>
      </c>
      <c r="C54" s="278" t="s">
        <v>87</v>
      </c>
      <c r="D54" s="277" t="s">
        <v>78</v>
      </c>
      <c r="E54" s="173">
        <v>874</v>
      </c>
      <c r="F54" s="174">
        <v>0</v>
      </c>
      <c r="G54" s="175">
        <f t="shared" si="2"/>
        <v>0</v>
      </c>
      <c r="I54" s="8"/>
      <c r="J54" s="8"/>
      <c r="K54" s="8"/>
      <c r="L54" s="8"/>
      <c r="M54" s="8"/>
      <c r="N54" s="8"/>
      <c r="O54" s="8"/>
      <c r="P54" s="8"/>
      <c r="Q54" s="8"/>
      <c r="R54" s="8"/>
      <c r="S54" s="8"/>
      <c r="T54" s="8"/>
      <c r="U54" s="8"/>
      <c r="V54" s="8"/>
      <c r="W54" s="8"/>
      <c r="X54" s="8"/>
      <c r="Y54" s="8"/>
    </row>
    <row r="55" spans="2:25" ht="48">
      <c r="B55" s="167">
        <v>13</v>
      </c>
      <c r="C55" s="171" t="s">
        <v>88</v>
      </c>
      <c r="D55" s="172" t="s">
        <v>78</v>
      </c>
      <c r="E55" s="173">
        <v>874</v>
      </c>
      <c r="F55" s="174">
        <v>0</v>
      </c>
      <c r="G55" s="175">
        <f t="shared" si="2"/>
        <v>0</v>
      </c>
      <c r="I55" s="8"/>
      <c r="J55" s="8"/>
      <c r="K55" s="8"/>
      <c r="L55" s="8"/>
      <c r="M55" s="8"/>
      <c r="N55" s="8"/>
      <c r="O55" s="8"/>
      <c r="P55" s="8"/>
      <c r="Q55" s="8"/>
      <c r="R55" s="8"/>
      <c r="S55" s="8"/>
      <c r="T55" s="8"/>
      <c r="U55" s="8"/>
      <c r="V55" s="8"/>
      <c r="W55" s="8"/>
      <c r="X55" s="8"/>
      <c r="Y55" s="8"/>
    </row>
    <row r="56" spans="2:25" ht="60">
      <c r="B56" s="167">
        <v>14</v>
      </c>
      <c r="C56" s="171" t="s">
        <v>89</v>
      </c>
      <c r="D56" s="172" t="s">
        <v>78</v>
      </c>
      <c r="E56" s="173">
        <v>1224</v>
      </c>
      <c r="F56" s="174">
        <v>0</v>
      </c>
      <c r="G56" s="175">
        <f>E56*F56</f>
        <v>0</v>
      </c>
      <c r="I56" s="8"/>
      <c r="J56" s="8"/>
      <c r="K56" s="8"/>
      <c r="L56" s="8"/>
      <c r="M56" s="8"/>
      <c r="N56" s="8"/>
      <c r="O56" s="8"/>
      <c r="P56" s="8"/>
      <c r="Q56" s="8"/>
      <c r="R56" s="8"/>
      <c r="S56" s="8"/>
      <c r="T56" s="8"/>
      <c r="U56" s="8"/>
      <c r="V56" s="8"/>
      <c r="W56" s="8"/>
      <c r="X56" s="8"/>
      <c r="Y56" s="8"/>
    </row>
    <row r="57" spans="2:25" ht="38.25" customHeight="1">
      <c r="B57" s="167">
        <v>15</v>
      </c>
      <c r="C57" s="171" t="s">
        <v>90</v>
      </c>
      <c r="D57" s="277" t="s">
        <v>78</v>
      </c>
      <c r="E57" s="173">
        <v>350</v>
      </c>
      <c r="F57" s="174">
        <v>0</v>
      </c>
      <c r="G57" s="175">
        <f t="shared" si="2"/>
        <v>0</v>
      </c>
      <c r="I57" s="8"/>
      <c r="J57" s="8"/>
      <c r="K57" s="8"/>
      <c r="L57" s="8"/>
      <c r="M57" s="8"/>
      <c r="N57" s="8"/>
      <c r="O57" s="8"/>
      <c r="P57" s="8"/>
      <c r="Q57" s="8"/>
      <c r="R57" s="8"/>
      <c r="S57" s="8"/>
      <c r="T57" s="8"/>
      <c r="U57" s="8"/>
      <c r="V57" s="8"/>
      <c r="W57" s="8"/>
      <c r="X57" s="8"/>
      <c r="Y57" s="8"/>
    </row>
    <row r="58" spans="2:25" ht="24">
      <c r="B58" s="167">
        <v>16</v>
      </c>
      <c r="C58" s="171" t="s">
        <v>91</v>
      </c>
      <c r="D58" s="172" t="s">
        <v>74</v>
      </c>
      <c r="E58" s="173">
        <v>26</v>
      </c>
      <c r="F58" s="174">
        <v>0</v>
      </c>
      <c r="G58" s="175">
        <f t="shared" si="2"/>
        <v>0</v>
      </c>
      <c r="I58" s="8"/>
      <c r="J58" s="8"/>
      <c r="K58" s="8"/>
      <c r="L58" s="8"/>
      <c r="M58" s="8"/>
      <c r="N58" s="8"/>
      <c r="O58" s="8"/>
      <c r="P58" s="8"/>
      <c r="Q58" s="8"/>
      <c r="R58" s="8"/>
      <c r="S58" s="8"/>
      <c r="T58" s="8"/>
      <c r="U58" s="8"/>
      <c r="V58" s="8"/>
      <c r="W58" s="8"/>
      <c r="X58" s="8"/>
      <c r="Y58" s="8"/>
    </row>
    <row r="59" spans="2:25" s="176" customFormat="1" ht="24">
      <c r="B59" s="167">
        <v>17</v>
      </c>
      <c r="C59" s="171" t="s">
        <v>92</v>
      </c>
      <c r="D59" s="172" t="s">
        <v>74</v>
      </c>
      <c r="E59" s="173">
        <v>911</v>
      </c>
      <c r="F59" s="174">
        <v>0</v>
      </c>
      <c r="G59" s="175">
        <f t="shared" si="2"/>
        <v>0</v>
      </c>
      <c r="H59" s="8"/>
      <c r="I59" s="8"/>
      <c r="J59" s="8"/>
      <c r="K59" s="8"/>
      <c r="L59" s="8"/>
      <c r="M59" s="8"/>
      <c r="N59" s="8"/>
      <c r="O59" s="8"/>
      <c r="P59" s="8"/>
      <c r="Q59" s="8"/>
      <c r="R59" s="8"/>
      <c r="S59" s="8"/>
      <c r="T59" s="8"/>
      <c r="U59" s="8"/>
      <c r="V59" s="8"/>
      <c r="W59" s="8"/>
      <c r="X59" s="8"/>
      <c r="Y59" s="8"/>
    </row>
    <row r="60" spans="2:25" s="176" customFormat="1">
      <c r="B60" s="167">
        <v>18</v>
      </c>
      <c r="C60" s="171" t="s">
        <v>93</v>
      </c>
      <c r="D60" s="172" t="s">
        <v>74</v>
      </c>
      <c r="E60" s="173">
        <v>911</v>
      </c>
      <c r="F60" s="174">
        <v>0</v>
      </c>
      <c r="G60" s="175">
        <f t="shared" si="2"/>
        <v>0</v>
      </c>
      <c r="H60" s="8"/>
      <c r="I60" s="8"/>
      <c r="J60" s="8"/>
      <c r="K60" s="8"/>
      <c r="L60" s="8"/>
      <c r="M60" s="8"/>
      <c r="N60" s="8"/>
      <c r="O60" s="8"/>
      <c r="P60" s="8"/>
      <c r="Q60" s="8"/>
      <c r="R60" s="8"/>
      <c r="S60" s="8"/>
      <c r="T60" s="8"/>
      <c r="U60" s="8"/>
      <c r="V60" s="8"/>
      <c r="W60" s="8"/>
      <c r="X60" s="8"/>
      <c r="Y60" s="8"/>
    </row>
    <row r="61" spans="2:25" ht="24">
      <c r="B61" s="167">
        <v>19</v>
      </c>
      <c r="C61" s="139" t="s">
        <v>94</v>
      </c>
      <c r="D61" s="145" t="s">
        <v>78</v>
      </c>
      <c r="E61" s="128">
        <v>874</v>
      </c>
      <c r="F61" s="174">
        <v>0</v>
      </c>
      <c r="G61" s="142">
        <f t="shared" si="2"/>
        <v>0</v>
      </c>
      <c r="I61" s="8"/>
      <c r="J61" s="8"/>
      <c r="K61" s="8"/>
      <c r="L61" s="8"/>
      <c r="M61" s="8"/>
      <c r="N61" s="8"/>
      <c r="O61" s="8"/>
      <c r="P61" s="8"/>
      <c r="Q61" s="8"/>
      <c r="R61" s="8"/>
      <c r="S61" s="8"/>
      <c r="T61" s="8"/>
      <c r="U61" s="8"/>
      <c r="V61" s="8"/>
      <c r="W61" s="8"/>
      <c r="X61" s="8"/>
      <c r="Y61" s="8"/>
    </row>
    <row r="62" spans="2:25" ht="27" customHeight="1">
      <c r="B62" s="167">
        <v>20</v>
      </c>
      <c r="C62" s="139" t="s">
        <v>95</v>
      </c>
      <c r="D62" s="140" t="s">
        <v>78</v>
      </c>
      <c r="E62" s="128">
        <v>761</v>
      </c>
      <c r="F62" s="174">
        <v>0</v>
      </c>
      <c r="G62" s="142">
        <f t="shared" si="2"/>
        <v>0</v>
      </c>
      <c r="I62" s="8"/>
      <c r="J62" s="8"/>
      <c r="K62" s="8"/>
      <c r="L62" s="8"/>
      <c r="M62" s="8"/>
      <c r="N62" s="8"/>
      <c r="O62" s="8"/>
      <c r="P62" s="8"/>
      <c r="Q62" s="8"/>
      <c r="R62" s="8"/>
      <c r="S62" s="8"/>
      <c r="T62" s="8"/>
      <c r="U62" s="8"/>
      <c r="V62" s="8"/>
      <c r="W62" s="8"/>
      <c r="X62" s="8"/>
      <c r="Y62" s="8"/>
    </row>
    <row r="63" spans="2:25" ht="25.5" customHeight="1">
      <c r="B63" s="167">
        <v>21</v>
      </c>
      <c r="C63" s="177" t="s">
        <v>96</v>
      </c>
      <c r="D63" s="140" t="s">
        <v>57</v>
      </c>
      <c r="E63" s="128">
        <v>12</v>
      </c>
      <c r="F63" s="174">
        <v>0</v>
      </c>
      <c r="G63" s="142">
        <f t="shared" si="2"/>
        <v>0</v>
      </c>
      <c r="I63" s="8"/>
      <c r="J63" s="8"/>
      <c r="K63" s="8"/>
      <c r="L63" s="8"/>
      <c r="M63" s="8"/>
      <c r="N63" s="8"/>
      <c r="O63" s="8"/>
      <c r="P63" s="8"/>
      <c r="Q63" s="8"/>
      <c r="R63" s="8"/>
      <c r="S63" s="8"/>
      <c r="T63" s="8"/>
      <c r="U63" s="8"/>
      <c r="V63" s="8"/>
      <c r="W63" s="8"/>
      <c r="X63" s="8"/>
      <c r="Y63" s="8"/>
    </row>
    <row r="64" spans="2:25" ht="29.25" customHeight="1">
      <c r="B64" s="167">
        <v>22</v>
      </c>
      <c r="C64" s="181" t="s">
        <v>97</v>
      </c>
      <c r="D64" s="182" t="s">
        <v>74</v>
      </c>
      <c r="E64" s="183">
        <v>4</v>
      </c>
      <c r="F64" s="174">
        <v>0</v>
      </c>
      <c r="G64" s="142">
        <f t="shared" si="2"/>
        <v>0</v>
      </c>
      <c r="I64" s="8"/>
      <c r="J64" s="8"/>
      <c r="K64" s="8"/>
      <c r="L64" s="8"/>
      <c r="M64" s="8"/>
      <c r="N64" s="8"/>
      <c r="O64" s="8"/>
      <c r="P64" s="8"/>
      <c r="Q64" s="8"/>
      <c r="R64" s="8"/>
      <c r="S64" s="8"/>
      <c r="T64" s="8"/>
      <c r="U64" s="8"/>
      <c r="V64" s="8"/>
      <c r="W64" s="8"/>
      <c r="X64" s="8"/>
      <c r="Y64" s="8"/>
    </row>
    <row r="65" spans="1:25" ht="30" customHeight="1">
      <c r="B65" s="167">
        <v>23</v>
      </c>
      <c r="C65" s="184" t="s">
        <v>98</v>
      </c>
      <c r="D65" s="182" t="s">
        <v>66</v>
      </c>
      <c r="E65" s="128">
        <v>38</v>
      </c>
      <c r="F65" s="174">
        <v>0</v>
      </c>
      <c r="G65" s="142">
        <f t="shared" si="2"/>
        <v>0</v>
      </c>
      <c r="I65" s="8"/>
      <c r="J65" s="8"/>
      <c r="K65" s="8"/>
      <c r="L65" s="8"/>
      <c r="M65" s="8"/>
      <c r="N65" s="8"/>
      <c r="O65" s="8"/>
      <c r="P65" s="8"/>
      <c r="Q65" s="8"/>
      <c r="R65" s="8"/>
      <c r="S65" s="8"/>
      <c r="T65" s="8"/>
      <c r="U65" s="8"/>
      <c r="V65" s="8"/>
      <c r="W65" s="8"/>
      <c r="X65" s="8"/>
      <c r="Y65" s="8"/>
    </row>
    <row r="66" spans="1:25" ht="30" customHeight="1">
      <c r="B66" s="167">
        <v>24</v>
      </c>
      <c r="C66" s="184" t="s">
        <v>99</v>
      </c>
      <c r="D66" s="182" t="s">
        <v>74</v>
      </c>
      <c r="E66" s="183">
        <v>3</v>
      </c>
      <c r="F66" s="174">
        <v>0</v>
      </c>
      <c r="G66" s="142">
        <f t="shared" si="2"/>
        <v>0</v>
      </c>
      <c r="I66" s="8"/>
      <c r="J66" s="8"/>
      <c r="K66" s="8"/>
      <c r="L66" s="8"/>
      <c r="M66" s="8"/>
      <c r="N66" s="8"/>
      <c r="O66" s="8"/>
      <c r="P66" s="8"/>
      <c r="Q66" s="8"/>
      <c r="R66" s="8"/>
      <c r="S66" s="8"/>
      <c r="T66" s="8"/>
      <c r="U66" s="8"/>
      <c r="V66" s="8"/>
      <c r="W66" s="8"/>
      <c r="X66" s="8"/>
      <c r="Y66" s="8"/>
    </row>
    <row r="67" spans="1:25" ht="24">
      <c r="B67" s="167">
        <v>25</v>
      </c>
      <c r="C67" s="184" t="s">
        <v>100</v>
      </c>
      <c r="D67" s="182" t="s">
        <v>65</v>
      </c>
      <c r="E67" s="183">
        <v>89</v>
      </c>
      <c r="F67" s="174">
        <v>0</v>
      </c>
      <c r="G67" s="142">
        <f t="shared" si="2"/>
        <v>0</v>
      </c>
      <c r="I67" s="8"/>
      <c r="J67" s="8"/>
      <c r="K67" s="8"/>
      <c r="L67" s="8"/>
      <c r="M67" s="8"/>
      <c r="N67" s="8"/>
      <c r="O67" s="8"/>
      <c r="P67" s="8"/>
      <c r="Q67" s="8"/>
      <c r="R67" s="8"/>
      <c r="S67" s="8"/>
      <c r="T67" s="8"/>
      <c r="U67" s="8"/>
      <c r="V67" s="8"/>
      <c r="W67" s="8"/>
      <c r="X67" s="8"/>
      <c r="Y67" s="8"/>
    </row>
    <row r="68" spans="1:25">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row>
    <row r="69" spans="1:25">
      <c r="B69" s="125"/>
      <c r="C69" s="126"/>
      <c r="D69" s="127"/>
      <c r="E69" s="128"/>
      <c r="F69" s="129"/>
      <c r="G69" s="130"/>
      <c r="I69" s="8"/>
      <c r="J69" s="8"/>
      <c r="K69" s="8"/>
      <c r="L69" s="8"/>
      <c r="M69" s="8"/>
      <c r="N69" s="8"/>
      <c r="O69" s="8"/>
      <c r="P69" s="8"/>
      <c r="Q69" s="8"/>
      <c r="R69" s="8"/>
      <c r="S69" s="8"/>
      <c r="T69" s="8"/>
      <c r="U69" s="8"/>
      <c r="V69" s="8"/>
      <c r="W69" s="8"/>
      <c r="X69" s="8"/>
      <c r="Y69" s="8"/>
    </row>
    <row r="70" spans="1:25"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row>
    <row r="71" spans="1:25">
      <c r="B71" s="125"/>
      <c r="C71" s="126"/>
      <c r="D71" s="140"/>
      <c r="E71" s="128"/>
      <c r="F71" s="129"/>
      <c r="G71" s="130"/>
      <c r="I71" s="8"/>
      <c r="J71" s="8"/>
      <c r="K71" s="8"/>
      <c r="L71" s="8"/>
      <c r="M71" s="8"/>
      <c r="N71" s="8"/>
      <c r="O71" s="8"/>
      <c r="P71" s="8"/>
      <c r="Q71" s="8"/>
      <c r="R71" s="8"/>
      <c r="S71" s="8"/>
      <c r="T71" s="8"/>
      <c r="U71" s="8"/>
      <c r="V71" s="8"/>
      <c r="W71" s="8"/>
      <c r="X71" s="8"/>
      <c r="Y71" s="8"/>
    </row>
    <row r="72" spans="1:25"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row>
    <row r="73" spans="1:25"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row>
    <row r="74" spans="1:25"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row>
    <row r="75" spans="1:25"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row>
    <row r="76" spans="1:25"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row>
    <row r="77" spans="1:25" s="166" customFormat="1" ht="32.25" customHeight="1">
      <c r="B77" s="2399" t="s">
        <v>103</v>
      </c>
      <c r="C77" s="2400"/>
      <c r="D77" s="2400"/>
      <c r="E77" s="2400"/>
      <c r="F77" s="2400"/>
      <c r="G77" s="2401"/>
      <c r="H77" s="8"/>
      <c r="I77" s="8"/>
      <c r="J77" s="8"/>
      <c r="K77" s="8"/>
      <c r="L77" s="8"/>
      <c r="M77" s="8"/>
      <c r="N77" s="8"/>
      <c r="O77" s="8"/>
      <c r="P77" s="8"/>
      <c r="Q77" s="8"/>
      <c r="R77" s="8"/>
      <c r="S77" s="8"/>
      <c r="T77" s="8"/>
      <c r="U77" s="8"/>
      <c r="V77" s="8"/>
      <c r="W77" s="8"/>
      <c r="X77" s="8"/>
      <c r="Y77" s="8"/>
    </row>
    <row r="78" spans="1:25" s="166" customFormat="1" ht="18.75" customHeight="1">
      <c r="B78" s="2399" t="s">
        <v>104</v>
      </c>
      <c r="C78" s="2400"/>
      <c r="D78" s="2400"/>
      <c r="E78" s="2400"/>
      <c r="F78" s="2400"/>
      <c r="G78" s="2401"/>
      <c r="H78" s="8"/>
      <c r="I78" s="8"/>
      <c r="J78" s="8"/>
      <c r="K78" s="8"/>
      <c r="L78" s="8"/>
      <c r="M78" s="8"/>
      <c r="N78" s="8"/>
      <c r="O78" s="8"/>
      <c r="P78" s="8"/>
      <c r="Q78" s="8"/>
      <c r="R78" s="8"/>
      <c r="S78" s="8"/>
      <c r="T78" s="8"/>
      <c r="U78" s="8"/>
      <c r="V78" s="8"/>
      <c r="W78" s="8"/>
      <c r="X78" s="8"/>
      <c r="Y78" s="8"/>
    </row>
    <row r="79" spans="1:25" s="166" customFormat="1" ht="18.75" customHeight="1">
      <c r="B79" s="2399" t="s">
        <v>105</v>
      </c>
      <c r="C79" s="2400"/>
      <c r="D79" s="2400"/>
      <c r="E79" s="2400"/>
      <c r="F79" s="2400"/>
      <c r="G79" s="2401"/>
      <c r="H79" s="8"/>
      <c r="I79" s="8"/>
      <c r="J79" s="8"/>
      <c r="K79" s="8"/>
      <c r="L79" s="8"/>
      <c r="M79" s="8"/>
      <c r="N79" s="8"/>
      <c r="O79" s="8"/>
      <c r="P79" s="8"/>
      <c r="Q79" s="8"/>
      <c r="R79" s="8"/>
      <c r="S79" s="8"/>
      <c r="T79" s="8"/>
      <c r="U79" s="8"/>
      <c r="V79" s="8"/>
      <c r="W79" s="8"/>
      <c r="X79" s="8"/>
      <c r="Y79" s="8"/>
    </row>
    <row r="80" spans="1:25" ht="30" customHeight="1">
      <c r="B80" s="188">
        <v>1</v>
      </c>
      <c r="C80" s="189" t="s">
        <v>106</v>
      </c>
      <c r="D80" s="190"/>
      <c r="E80" s="128"/>
      <c r="F80" s="129"/>
      <c r="G80" s="130"/>
      <c r="I80" s="8"/>
      <c r="J80" s="8"/>
      <c r="K80" s="8"/>
      <c r="L80" s="8"/>
      <c r="M80" s="8"/>
      <c r="N80" s="8"/>
      <c r="O80" s="8"/>
      <c r="P80" s="8"/>
      <c r="Q80" s="8"/>
      <c r="R80" s="8"/>
      <c r="S80" s="8"/>
      <c r="T80" s="8"/>
      <c r="U80" s="8"/>
      <c r="V80" s="8"/>
      <c r="W80" s="8"/>
      <c r="X80" s="8"/>
      <c r="Y80" s="8"/>
    </row>
    <row r="81" spans="2:25" s="179" customFormat="1" ht="18.75" customHeight="1">
      <c r="B81" s="191"/>
      <c r="C81" s="192" t="s">
        <v>107</v>
      </c>
      <c r="D81" s="190" t="s">
        <v>57</v>
      </c>
      <c r="E81" s="128">
        <v>457</v>
      </c>
      <c r="F81" s="141">
        <v>0</v>
      </c>
      <c r="G81" s="142">
        <f t="shared" ref="G81:G84" si="4">E81*F81</f>
        <v>0</v>
      </c>
      <c r="H81" s="8"/>
      <c r="I81" s="8"/>
      <c r="J81" s="8"/>
      <c r="K81" s="8"/>
      <c r="L81" s="8"/>
      <c r="M81" s="8"/>
      <c r="N81" s="8"/>
      <c r="O81" s="8"/>
      <c r="P81" s="8"/>
      <c r="Q81" s="8"/>
      <c r="R81" s="8"/>
      <c r="S81" s="8"/>
      <c r="T81" s="8"/>
      <c r="U81" s="8"/>
      <c r="V81" s="8"/>
      <c r="W81" s="8"/>
      <c r="X81" s="8"/>
      <c r="Y81" s="8"/>
    </row>
    <row r="82" spans="2:25" s="179" customFormat="1" ht="24.75" customHeight="1">
      <c r="B82" s="191"/>
      <c r="C82" s="192" t="s">
        <v>108</v>
      </c>
      <c r="D82" s="190" t="s">
        <v>57</v>
      </c>
      <c r="E82" s="128">
        <v>51</v>
      </c>
      <c r="F82" s="141">
        <v>0</v>
      </c>
      <c r="G82" s="142">
        <f t="shared" si="4"/>
        <v>0</v>
      </c>
      <c r="H82" s="8"/>
      <c r="I82" s="8"/>
      <c r="J82" s="8"/>
      <c r="K82" s="8"/>
      <c r="L82" s="8"/>
      <c r="M82" s="8"/>
      <c r="N82" s="8"/>
      <c r="O82" s="8"/>
      <c r="P82" s="8"/>
      <c r="Q82" s="8"/>
      <c r="R82" s="8"/>
      <c r="S82" s="8"/>
      <c r="T82" s="8"/>
      <c r="U82" s="8"/>
      <c r="V82" s="8"/>
      <c r="W82" s="8"/>
      <c r="X82" s="8"/>
      <c r="Y82" s="8"/>
    </row>
    <row r="83" spans="2:25" s="179" customFormat="1" ht="19.5" customHeight="1">
      <c r="B83" s="191"/>
      <c r="C83" s="192" t="s">
        <v>109</v>
      </c>
      <c r="D83" s="190" t="s">
        <v>57</v>
      </c>
      <c r="E83" s="128">
        <v>203</v>
      </c>
      <c r="F83" s="141">
        <v>0</v>
      </c>
      <c r="G83" s="142">
        <f t="shared" si="4"/>
        <v>0</v>
      </c>
      <c r="H83" s="8"/>
      <c r="I83" s="8"/>
      <c r="J83" s="8"/>
      <c r="K83" s="8"/>
      <c r="L83" s="8"/>
      <c r="M83" s="8"/>
      <c r="N83" s="8"/>
      <c r="O83" s="8"/>
      <c r="P83" s="8"/>
      <c r="Q83" s="8"/>
      <c r="R83" s="8"/>
      <c r="S83" s="8"/>
      <c r="T83" s="8"/>
      <c r="U83" s="8"/>
      <c r="V83" s="8"/>
      <c r="W83" s="8"/>
      <c r="X83" s="8"/>
      <c r="Y83" s="8"/>
    </row>
    <row r="84" spans="2:25" s="179" customFormat="1" ht="27.75" customHeight="1">
      <c r="B84" s="191"/>
      <c r="C84" s="192" t="s">
        <v>110</v>
      </c>
      <c r="D84" s="190" t="s">
        <v>57</v>
      </c>
      <c r="E84" s="128">
        <v>23</v>
      </c>
      <c r="F84" s="141">
        <v>0</v>
      </c>
      <c r="G84" s="142">
        <f t="shared" si="4"/>
        <v>0</v>
      </c>
      <c r="H84" s="8"/>
      <c r="I84" s="8"/>
      <c r="J84" s="8"/>
      <c r="K84" s="8"/>
      <c r="L84" s="8"/>
      <c r="M84" s="8"/>
      <c r="N84" s="8"/>
      <c r="O84" s="8"/>
      <c r="P84" s="8"/>
      <c r="Q84" s="8"/>
      <c r="R84" s="8"/>
      <c r="S84" s="8"/>
      <c r="T84" s="8"/>
      <c r="U84" s="8"/>
      <c r="V84" s="8"/>
      <c r="W84" s="8"/>
      <c r="X84" s="8"/>
      <c r="Y84" s="8"/>
    </row>
    <row r="85" spans="2:25" ht="36">
      <c r="B85" s="2404" t="s">
        <v>111</v>
      </c>
      <c r="C85" s="193" t="s">
        <v>112</v>
      </c>
      <c r="D85" s="194"/>
      <c r="E85" s="128"/>
      <c r="F85" s="141"/>
      <c r="G85" s="142"/>
      <c r="I85" s="8"/>
      <c r="J85" s="8"/>
      <c r="K85" s="8"/>
      <c r="L85" s="8"/>
      <c r="M85" s="8"/>
      <c r="N85" s="8"/>
      <c r="O85" s="8"/>
      <c r="P85" s="8"/>
      <c r="Q85" s="8"/>
      <c r="R85" s="8"/>
      <c r="S85" s="8"/>
      <c r="T85" s="8"/>
      <c r="U85" s="8"/>
      <c r="V85" s="8"/>
      <c r="W85" s="8"/>
      <c r="X85" s="8"/>
      <c r="Y85" s="8"/>
    </row>
    <row r="86" spans="2:25">
      <c r="B86" s="2405"/>
      <c r="C86" s="195" t="s">
        <v>113</v>
      </c>
      <c r="D86" s="194" t="s">
        <v>57</v>
      </c>
      <c r="E86" s="128">
        <v>508</v>
      </c>
      <c r="F86" s="141">
        <v>0</v>
      </c>
      <c r="G86" s="142">
        <f t="shared" ref="G86:G90" si="5">E86*F86</f>
        <v>0</v>
      </c>
      <c r="I86" s="8"/>
      <c r="J86" s="8"/>
      <c r="K86" s="8"/>
      <c r="L86" s="8"/>
      <c r="M86" s="8"/>
      <c r="N86" s="8"/>
      <c r="O86" s="8"/>
      <c r="P86" s="8"/>
      <c r="Q86" s="8"/>
      <c r="R86" s="8"/>
      <c r="S86" s="8"/>
      <c r="T86" s="8"/>
      <c r="U86" s="8"/>
      <c r="V86" s="8"/>
      <c r="W86" s="8"/>
      <c r="X86" s="8"/>
      <c r="Y86" s="8"/>
    </row>
    <row r="87" spans="2:25" ht="36">
      <c r="B87" s="196">
        <v>2</v>
      </c>
      <c r="C87" s="197" t="s">
        <v>114</v>
      </c>
      <c r="D87" s="145" t="s">
        <v>57</v>
      </c>
      <c r="E87" s="128">
        <v>734</v>
      </c>
      <c r="F87" s="141">
        <v>0</v>
      </c>
      <c r="G87" s="142">
        <f t="shared" si="5"/>
        <v>0</v>
      </c>
      <c r="I87" s="8"/>
      <c r="J87" s="8"/>
      <c r="K87" s="8"/>
      <c r="L87" s="8"/>
      <c r="M87" s="8"/>
      <c r="N87" s="8"/>
      <c r="O87" s="8"/>
      <c r="P87" s="8"/>
      <c r="Q87" s="8"/>
      <c r="R87" s="8"/>
      <c r="S87" s="8"/>
      <c r="T87" s="8"/>
      <c r="U87" s="8"/>
      <c r="V87" s="8"/>
      <c r="W87" s="8"/>
      <c r="X87" s="8"/>
      <c r="Y87" s="8"/>
    </row>
    <row r="88" spans="2:25" ht="36">
      <c r="B88" s="199" t="s">
        <v>115</v>
      </c>
      <c r="C88" s="197" t="s">
        <v>116</v>
      </c>
      <c r="D88" s="145" t="s">
        <v>57</v>
      </c>
      <c r="E88" s="128">
        <v>734</v>
      </c>
      <c r="F88" s="141">
        <v>0</v>
      </c>
      <c r="G88" s="142">
        <f t="shared" si="5"/>
        <v>0</v>
      </c>
      <c r="I88" s="8"/>
      <c r="J88" s="8"/>
      <c r="K88" s="8"/>
      <c r="L88" s="8"/>
      <c r="M88" s="8"/>
      <c r="N88" s="8"/>
      <c r="O88" s="8"/>
      <c r="P88" s="8"/>
      <c r="Q88" s="8"/>
      <c r="R88" s="8"/>
      <c r="S88" s="8"/>
      <c r="T88" s="8"/>
      <c r="U88" s="8"/>
      <c r="V88" s="8"/>
      <c r="W88" s="8"/>
      <c r="X88" s="8"/>
      <c r="Y88" s="8"/>
    </row>
    <row r="89" spans="2:25" ht="24">
      <c r="B89" s="199" t="s">
        <v>117</v>
      </c>
      <c r="C89" s="197" t="s">
        <v>118</v>
      </c>
      <c r="D89" s="145" t="s">
        <v>57</v>
      </c>
      <c r="E89" s="128">
        <v>734</v>
      </c>
      <c r="F89" s="141">
        <v>0</v>
      </c>
      <c r="G89" s="142">
        <f t="shared" si="5"/>
        <v>0</v>
      </c>
      <c r="I89" s="8"/>
      <c r="J89" s="8"/>
      <c r="K89" s="8"/>
      <c r="L89" s="8"/>
      <c r="M89" s="8"/>
      <c r="N89" s="8"/>
      <c r="O89" s="8"/>
      <c r="P89" s="8"/>
      <c r="Q89" s="8"/>
      <c r="R89" s="8"/>
      <c r="S89" s="8"/>
      <c r="T89" s="8"/>
      <c r="U89" s="8"/>
      <c r="V89" s="8"/>
      <c r="W89" s="8"/>
      <c r="X89" s="8"/>
      <c r="Y89" s="8"/>
    </row>
    <row r="90" spans="2:25" ht="36">
      <c r="B90" s="199" t="s">
        <v>119</v>
      </c>
      <c r="C90" s="197" t="s">
        <v>120</v>
      </c>
      <c r="D90" s="145" t="s">
        <v>57</v>
      </c>
      <c r="E90" s="198">
        <v>734</v>
      </c>
      <c r="F90" s="141">
        <v>0</v>
      </c>
      <c r="G90" s="142">
        <f t="shared" si="5"/>
        <v>0</v>
      </c>
      <c r="I90" s="8"/>
      <c r="J90" s="8"/>
      <c r="K90" s="8"/>
      <c r="L90" s="8"/>
      <c r="M90" s="8"/>
      <c r="N90" s="8"/>
      <c r="O90" s="8"/>
      <c r="P90" s="8"/>
      <c r="Q90" s="8"/>
      <c r="R90" s="8"/>
      <c r="S90" s="8"/>
      <c r="T90" s="8"/>
      <c r="U90" s="8"/>
      <c r="V90" s="8"/>
      <c r="W90" s="8"/>
      <c r="X90" s="8"/>
      <c r="Y90" s="8"/>
    </row>
    <row r="91" spans="2:25" ht="24">
      <c r="B91" s="188">
        <v>3</v>
      </c>
      <c r="C91" s="200" t="s">
        <v>121</v>
      </c>
      <c r="D91" s="127"/>
      <c r="E91" s="128"/>
      <c r="F91" s="129"/>
      <c r="G91" s="130"/>
      <c r="I91" s="8"/>
      <c r="J91" s="8"/>
      <c r="K91" s="8"/>
      <c r="L91" s="8"/>
      <c r="M91" s="8"/>
      <c r="N91" s="8"/>
      <c r="O91" s="8"/>
      <c r="P91" s="8"/>
      <c r="Q91" s="8"/>
      <c r="R91" s="8"/>
      <c r="S91" s="8"/>
      <c r="T91" s="8"/>
      <c r="U91" s="8"/>
      <c r="V91" s="8"/>
      <c r="W91" s="8"/>
      <c r="X91" s="8"/>
      <c r="Y91" s="8"/>
    </row>
    <row r="92" spans="2:25">
      <c r="B92" s="201" t="s">
        <v>122</v>
      </c>
      <c r="C92" s="202" t="s">
        <v>123</v>
      </c>
      <c r="D92" s="203"/>
      <c r="E92" s="204"/>
      <c r="F92" s="205"/>
      <c r="G92" s="206"/>
      <c r="I92" s="8"/>
      <c r="J92" s="8"/>
      <c r="K92" s="8"/>
      <c r="L92" s="8"/>
      <c r="M92" s="8"/>
      <c r="N92" s="8"/>
      <c r="O92" s="8"/>
      <c r="P92" s="8"/>
      <c r="Q92" s="8"/>
      <c r="R92" s="8"/>
      <c r="S92" s="8"/>
      <c r="T92" s="8"/>
      <c r="U92" s="8"/>
      <c r="V92" s="8"/>
      <c r="W92" s="8"/>
      <c r="X92" s="8"/>
      <c r="Y92" s="8"/>
    </row>
    <row r="93" spans="2:25">
      <c r="B93" s="201"/>
      <c r="C93" s="208" t="s">
        <v>199</v>
      </c>
      <c r="D93" s="209" t="s">
        <v>66</v>
      </c>
      <c r="E93" s="204">
        <v>5</v>
      </c>
      <c r="F93" s="210">
        <v>0</v>
      </c>
      <c r="G93" s="211">
        <f t="shared" ref="G93" si="6">E93*F93</f>
        <v>0</v>
      </c>
      <c r="I93" s="8"/>
      <c r="J93" s="8"/>
      <c r="K93" s="8"/>
      <c r="L93" s="8"/>
      <c r="M93" s="8"/>
      <c r="N93" s="8"/>
      <c r="O93" s="8"/>
      <c r="P93" s="8"/>
      <c r="Q93" s="8"/>
      <c r="R93" s="8"/>
      <c r="S93" s="8"/>
      <c r="T93" s="8"/>
      <c r="U93" s="8"/>
      <c r="V93" s="8"/>
      <c r="W93" s="8"/>
      <c r="X93" s="8"/>
      <c r="Y93" s="8"/>
    </row>
    <row r="94" spans="2:25" s="217" customFormat="1">
      <c r="B94" s="201" t="s">
        <v>126</v>
      </c>
      <c r="C94" s="212" t="s">
        <v>127</v>
      </c>
      <c r="D94" s="213"/>
      <c r="E94" s="214"/>
      <c r="F94" s="215"/>
      <c r="G94" s="216"/>
      <c r="H94" s="8"/>
      <c r="I94" s="8"/>
      <c r="J94" s="8"/>
      <c r="K94" s="8"/>
      <c r="L94" s="8"/>
      <c r="M94" s="8"/>
      <c r="N94" s="8"/>
      <c r="O94" s="8"/>
      <c r="P94" s="8"/>
      <c r="Q94" s="8"/>
      <c r="R94" s="8"/>
      <c r="S94" s="8"/>
      <c r="T94" s="8"/>
      <c r="U94" s="8"/>
      <c r="V94" s="8"/>
      <c r="W94" s="8"/>
      <c r="X94" s="8"/>
      <c r="Y94" s="8"/>
    </row>
    <row r="95" spans="2:25" s="217" customFormat="1">
      <c r="B95" s="218"/>
      <c r="C95" s="212" t="s">
        <v>128</v>
      </c>
      <c r="D95" s="213"/>
      <c r="E95" s="214"/>
      <c r="F95" s="215"/>
      <c r="G95" s="216"/>
      <c r="H95" s="8"/>
      <c r="I95" s="8"/>
      <c r="J95" s="8"/>
      <c r="K95" s="8"/>
      <c r="L95" s="8"/>
      <c r="M95" s="8"/>
      <c r="N95" s="8"/>
      <c r="O95" s="8"/>
      <c r="P95" s="8"/>
      <c r="Q95" s="8"/>
      <c r="R95" s="8"/>
      <c r="S95" s="8"/>
      <c r="T95" s="8"/>
      <c r="U95" s="8"/>
      <c r="V95" s="8"/>
      <c r="W95" s="8"/>
      <c r="X95" s="8"/>
      <c r="Y95" s="8"/>
    </row>
    <row r="96" spans="2:25" s="217" customFormat="1">
      <c r="B96" s="218"/>
      <c r="C96" s="219" t="s">
        <v>129</v>
      </c>
      <c r="D96" s="213" t="s">
        <v>66</v>
      </c>
      <c r="E96" s="214">
        <v>1</v>
      </c>
      <c r="F96" s="220">
        <v>0</v>
      </c>
      <c r="G96" s="221">
        <f t="shared" ref="G96:G103" si="7">E96*F96</f>
        <v>0</v>
      </c>
      <c r="H96" s="8"/>
      <c r="I96" s="8"/>
      <c r="J96" s="8"/>
      <c r="K96" s="8"/>
      <c r="L96" s="8"/>
      <c r="M96" s="8"/>
      <c r="N96" s="8"/>
      <c r="O96" s="8"/>
      <c r="P96" s="8"/>
      <c r="Q96" s="8"/>
      <c r="R96" s="8"/>
      <c r="S96" s="8"/>
      <c r="T96" s="8"/>
      <c r="U96" s="8"/>
      <c r="V96" s="8"/>
      <c r="W96" s="8"/>
      <c r="X96" s="8"/>
      <c r="Y96" s="8"/>
    </row>
    <row r="97" spans="2:25" s="217" customFormat="1" ht="38.25" customHeight="1">
      <c r="B97" s="218"/>
      <c r="C97" s="222" t="s">
        <v>130</v>
      </c>
      <c r="D97" s="213" t="s">
        <v>66</v>
      </c>
      <c r="E97" s="214">
        <v>1</v>
      </c>
      <c r="F97" s="220">
        <v>0</v>
      </c>
      <c r="G97" s="221">
        <f t="shared" si="7"/>
        <v>0</v>
      </c>
      <c r="H97" s="8"/>
      <c r="I97" s="8"/>
      <c r="J97" s="8"/>
      <c r="K97" s="8"/>
      <c r="L97" s="8"/>
      <c r="M97" s="8"/>
      <c r="N97" s="8"/>
      <c r="O97" s="8"/>
      <c r="P97" s="8"/>
      <c r="Q97" s="8"/>
      <c r="R97" s="8"/>
      <c r="S97" s="8"/>
      <c r="T97" s="8"/>
      <c r="U97" s="8"/>
      <c r="V97" s="8"/>
      <c r="W97" s="8"/>
      <c r="X97" s="8"/>
      <c r="Y97" s="8"/>
    </row>
    <row r="98" spans="2:25" s="217" customFormat="1">
      <c r="B98" s="218"/>
      <c r="C98" s="222" t="s">
        <v>131</v>
      </c>
      <c r="D98" s="213" t="s">
        <v>66</v>
      </c>
      <c r="E98" s="214">
        <v>1</v>
      </c>
      <c r="F98" s="220">
        <v>0</v>
      </c>
      <c r="G98" s="221">
        <f t="shared" si="7"/>
        <v>0</v>
      </c>
      <c r="H98" s="8"/>
      <c r="I98" s="8"/>
      <c r="J98" s="8"/>
      <c r="K98" s="8"/>
      <c r="L98" s="8"/>
      <c r="M98" s="8"/>
      <c r="N98" s="8"/>
      <c r="O98" s="8"/>
      <c r="P98" s="8"/>
      <c r="Q98" s="8"/>
      <c r="R98" s="8"/>
      <c r="S98" s="8"/>
      <c r="T98" s="8"/>
      <c r="U98" s="8"/>
      <c r="V98" s="8"/>
      <c r="W98" s="8"/>
      <c r="X98" s="8"/>
      <c r="Y98" s="8"/>
    </row>
    <row r="99" spans="2:25" s="217" customFormat="1">
      <c r="B99" s="218"/>
      <c r="C99" s="222" t="s">
        <v>132</v>
      </c>
      <c r="D99" s="213" t="s">
        <v>66</v>
      </c>
      <c r="E99" s="214">
        <v>1</v>
      </c>
      <c r="F99" s="220">
        <v>0</v>
      </c>
      <c r="G99" s="221">
        <f t="shared" si="7"/>
        <v>0</v>
      </c>
      <c r="H99" s="8"/>
      <c r="I99" s="8"/>
      <c r="J99" s="8"/>
      <c r="K99" s="8"/>
      <c r="L99" s="8"/>
      <c r="M99" s="8"/>
      <c r="N99" s="8"/>
      <c r="O99" s="8"/>
      <c r="P99" s="8"/>
      <c r="Q99" s="8"/>
      <c r="R99" s="8"/>
      <c r="S99" s="8"/>
      <c r="T99" s="8"/>
      <c r="U99" s="8"/>
      <c r="V99" s="8"/>
      <c r="W99" s="8"/>
      <c r="X99" s="8"/>
      <c r="Y99" s="8"/>
    </row>
    <row r="100" spans="2:25" s="217" customFormat="1">
      <c r="B100" s="218"/>
      <c r="C100" s="222" t="s">
        <v>133</v>
      </c>
      <c r="D100" s="213" t="s">
        <v>66</v>
      </c>
      <c r="E100" s="214">
        <v>1</v>
      </c>
      <c r="F100" s="220">
        <v>0</v>
      </c>
      <c r="G100" s="221">
        <f t="shared" si="7"/>
        <v>0</v>
      </c>
      <c r="H100" s="8"/>
      <c r="I100" s="8"/>
      <c r="J100" s="8"/>
      <c r="K100" s="8"/>
      <c r="L100" s="8"/>
      <c r="M100" s="8"/>
      <c r="N100" s="8"/>
      <c r="O100" s="8"/>
      <c r="P100" s="8"/>
      <c r="Q100" s="8"/>
      <c r="R100" s="8"/>
      <c r="S100" s="8"/>
      <c r="T100" s="8"/>
      <c r="U100" s="8"/>
      <c r="V100" s="8"/>
      <c r="W100" s="8"/>
      <c r="X100" s="8"/>
      <c r="Y100" s="8"/>
    </row>
    <row r="101" spans="2:25" s="217" customFormat="1">
      <c r="B101" s="218"/>
      <c r="C101" s="222" t="s">
        <v>223</v>
      </c>
      <c r="D101" s="213" t="s">
        <v>66</v>
      </c>
      <c r="E101" s="214">
        <v>1</v>
      </c>
      <c r="F101" s="220">
        <v>0</v>
      </c>
      <c r="G101" s="221">
        <f t="shared" si="7"/>
        <v>0</v>
      </c>
      <c r="H101" s="8"/>
      <c r="I101" s="8"/>
      <c r="J101" s="8"/>
      <c r="K101" s="8"/>
      <c r="L101" s="8"/>
      <c r="M101" s="8"/>
      <c r="N101" s="8"/>
      <c r="O101" s="8"/>
      <c r="P101" s="8"/>
      <c r="Q101" s="8"/>
      <c r="R101" s="8"/>
      <c r="S101" s="8"/>
      <c r="T101" s="8"/>
      <c r="U101" s="8"/>
      <c r="V101" s="8"/>
      <c r="W101" s="8"/>
      <c r="X101" s="8"/>
      <c r="Y101" s="8"/>
    </row>
    <row r="102" spans="2:25" s="217" customFormat="1">
      <c r="B102" s="218"/>
      <c r="C102" s="222" t="s">
        <v>134</v>
      </c>
      <c r="D102" s="213" t="s">
        <v>66</v>
      </c>
      <c r="E102" s="214">
        <v>1</v>
      </c>
      <c r="F102" s="220">
        <v>0</v>
      </c>
      <c r="G102" s="221">
        <f t="shared" si="7"/>
        <v>0</v>
      </c>
      <c r="H102" s="8"/>
      <c r="I102" s="8"/>
      <c r="J102" s="8"/>
      <c r="K102" s="8"/>
      <c r="L102" s="8"/>
      <c r="M102" s="8"/>
      <c r="N102" s="8"/>
      <c r="O102" s="8"/>
      <c r="P102" s="8"/>
      <c r="Q102" s="8"/>
      <c r="R102" s="8"/>
      <c r="S102" s="8"/>
      <c r="T102" s="8"/>
      <c r="U102" s="8"/>
      <c r="V102" s="8"/>
      <c r="W102" s="8"/>
      <c r="X102" s="8"/>
      <c r="Y102" s="8"/>
    </row>
    <row r="103" spans="2:25" s="217" customFormat="1">
      <c r="B103" s="218"/>
      <c r="C103" s="222" t="s">
        <v>135</v>
      </c>
      <c r="D103" s="213" t="s">
        <v>66</v>
      </c>
      <c r="E103" s="214">
        <v>1</v>
      </c>
      <c r="F103" s="220">
        <v>0</v>
      </c>
      <c r="G103" s="221">
        <f t="shared" si="7"/>
        <v>0</v>
      </c>
      <c r="H103" s="8"/>
      <c r="I103" s="8"/>
      <c r="J103" s="8"/>
      <c r="K103" s="8"/>
      <c r="L103" s="8"/>
      <c r="M103" s="8"/>
      <c r="N103" s="8"/>
      <c r="O103" s="8"/>
      <c r="P103" s="8"/>
      <c r="Q103" s="8"/>
      <c r="R103" s="8"/>
      <c r="S103" s="8"/>
      <c r="T103" s="8"/>
      <c r="U103" s="8"/>
      <c r="V103" s="8"/>
      <c r="W103" s="8"/>
      <c r="X103" s="8"/>
      <c r="Y103" s="8"/>
    </row>
    <row r="104" spans="2:25"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c r="W104" s="8"/>
      <c r="X104" s="8"/>
      <c r="Y104" s="8"/>
    </row>
    <row r="105" spans="2:25" s="217" customFormat="1">
      <c r="B105" s="218"/>
      <c r="C105" s="223" t="s">
        <v>138</v>
      </c>
      <c r="D105" s="224"/>
      <c r="E105" s="225"/>
      <c r="F105" s="226"/>
      <c r="G105" s="227"/>
      <c r="H105" s="8"/>
      <c r="I105" s="8"/>
      <c r="J105" s="8"/>
      <c r="K105" s="8"/>
      <c r="L105" s="8"/>
      <c r="M105" s="8"/>
      <c r="N105" s="8"/>
      <c r="O105" s="8"/>
      <c r="P105" s="8"/>
      <c r="Q105" s="8"/>
      <c r="R105" s="8"/>
      <c r="S105" s="8"/>
      <c r="T105" s="8"/>
      <c r="U105" s="8"/>
      <c r="V105" s="8"/>
      <c r="W105" s="8"/>
      <c r="X105" s="8"/>
      <c r="Y105" s="8"/>
    </row>
    <row r="106" spans="2:25" s="217" customFormat="1">
      <c r="B106" s="218"/>
      <c r="C106" s="228" t="s">
        <v>129</v>
      </c>
      <c r="D106" s="224" t="s">
        <v>66</v>
      </c>
      <c r="E106" s="225">
        <v>1</v>
      </c>
      <c r="F106" s="229">
        <v>0</v>
      </c>
      <c r="G106" s="230">
        <f t="shared" ref="G106:G120" si="8">E106*F106</f>
        <v>0</v>
      </c>
      <c r="H106" s="8"/>
      <c r="I106" s="8"/>
      <c r="J106" s="8"/>
      <c r="K106" s="8"/>
      <c r="L106" s="8"/>
      <c r="M106" s="8"/>
      <c r="N106" s="8"/>
      <c r="O106" s="8"/>
      <c r="P106" s="8"/>
      <c r="Q106" s="8"/>
      <c r="R106" s="8"/>
      <c r="S106" s="8"/>
      <c r="T106" s="8"/>
      <c r="U106" s="8"/>
      <c r="V106" s="8"/>
      <c r="W106" s="8"/>
      <c r="X106" s="8"/>
      <c r="Y106" s="8"/>
    </row>
    <row r="107" spans="2:25" s="217" customFormat="1">
      <c r="B107" s="218"/>
      <c r="C107" s="228" t="s">
        <v>139</v>
      </c>
      <c r="D107" s="224" t="s">
        <v>66</v>
      </c>
      <c r="E107" s="225">
        <v>2</v>
      </c>
      <c r="F107" s="229">
        <v>0</v>
      </c>
      <c r="G107" s="230">
        <f t="shared" si="8"/>
        <v>0</v>
      </c>
      <c r="H107" s="8"/>
      <c r="I107" s="8"/>
      <c r="J107" s="8"/>
      <c r="K107" s="8"/>
      <c r="L107" s="8"/>
      <c r="M107" s="8"/>
      <c r="N107" s="8"/>
      <c r="O107" s="8"/>
      <c r="P107" s="8"/>
      <c r="Q107" s="8"/>
      <c r="R107" s="8"/>
      <c r="S107" s="8"/>
      <c r="T107" s="8"/>
      <c r="U107" s="8"/>
      <c r="V107" s="8"/>
      <c r="W107" s="8"/>
      <c r="X107" s="8"/>
      <c r="Y107" s="8"/>
    </row>
    <row r="108" spans="2:25" s="217" customFormat="1" ht="12.75" customHeight="1">
      <c r="B108" s="218"/>
      <c r="C108" s="231" t="s">
        <v>140</v>
      </c>
      <c r="D108" s="224" t="s">
        <v>66</v>
      </c>
      <c r="E108" s="225">
        <v>1</v>
      </c>
      <c r="F108" s="229">
        <v>0</v>
      </c>
      <c r="G108" s="230">
        <f t="shared" si="8"/>
        <v>0</v>
      </c>
      <c r="H108" s="8"/>
      <c r="I108" s="8"/>
      <c r="J108" s="8"/>
      <c r="K108" s="8"/>
      <c r="L108" s="8"/>
      <c r="M108" s="8"/>
      <c r="N108" s="8"/>
      <c r="O108" s="8"/>
      <c r="P108" s="8"/>
      <c r="Q108" s="8"/>
      <c r="R108" s="8"/>
      <c r="S108" s="8"/>
      <c r="T108" s="8"/>
      <c r="U108" s="8"/>
      <c r="V108" s="8"/>
      <c r="W108" s="8"/>
      <c r="X108" s="8"/>
      <c r="Y108" s="8"/>
    </row>
    <row r="109" spans="2:25" s="217" customFormat="1">
      <c r="B109" s="218"/>
      <c r="C109" s="231" t="s">
        <v>141</v>
      </c>
      <c r="D109" s="224" t="s">
        <v>66</v>
      </c>
      <c r="E109" s="225">
        <v>1</v>
      </c>
      <c r="F109" s="229">
        <v>0</v>
      </c>
      <c r="G109" s="230">
        <f t="shared" si="8"/>
        <v>0</v>
      </c>
      <c r="H109" s="8"/>
      <c r="I109" s="8"/>
      <c r="J109" s="8"/>
      <c r="K109" s="8"/>
      <c r="L109" s="8"/>
      <c r="M109" s="8"/>
      <c r="N109" s="8"/>
      <c r="O109" s="8"/>
      <c r="P109" s="8"/>
      <c r="Q109" s="8"/>
      <c r="R109" s="8"/>
      <c r="S109" s="8"/>
      <c r="T109" s="8"/>
      <c r="U109" s="8"/>
      <c r="V109" s="8"/>
      <c r="W109" s="8"/>
      <c r="X109" s="8"/>
      <c r="Y109" s="8"/>
    </row>
    <row r="110" spans="2:25" s="217" customFormat="1">
      <c r="B110" s="218"/>
      <c r="C110" s="231" t="s">
        <v>142</v>
      </c>
      <c r="D110" s="224" t="s">
        <v>66</v>
      </c>
      <c r="E110" s="225">
        <v>1</v>
      </c>
      <c r="F110" s="229">
        <v>0</v>
      </c>
      <c r="G110" s="230">
        <f t="shared" si="8"/>
        <v>0</v>
      </c>
      <c r="H110" s="8"/>
      <c r="I110" s="8"/>
      <c r="J110" s="8"/>
      <c r="K110" s="8"/>
      <c r="L110" s="8"/>
      <c r="M110" s="8"/>
      <c r="N110" s="8"/>
      <c r="O110" s="8"/>
      <c r="P110" s="8"/>
      <c r="Q110" s="8"/>
      <c r="R110" s="8"/>
      <c r="S110" s="8"/>
      <c r="T110" s="8"/>
      <c r="U110" s="8"/>
      <c r="V110" s="8"/>
      <c r="W110" s="8"/>
      <c r="X110" s="8"/>
      <c r="Y110" s="8"/>
    </row>
    <row r="111" spans="2:25" s="217" customFormat="1">
      <c r="B111" s="218"/>
      <c r="C111" s="231" t="s">
        <v>143</v>
      </c>
      <c r="D111" s="224" t="s">
        <v>66</v>
      </c>
      <c r="E111" s="225">
        <v>1</v>
      </c>
      <c r="F111" s="229">
        <v>0</v>
      </c>
      <c r="G111" s="230">
        <f t="shared" si="8"/>
        <v>0</v>
      </c>
      <c r="H111" s="8"/>
      <c r="I111" s="8"/>
      <c r="J111" s="8"/>
      <c r="K111" s="8"/>
      <c r="L111" s="8"/>
      <c r="M111" s="8"/>
      <c r="N111" s="8"/>
      <c r="O111" s="8"/>
      <c r="P111" s="8"/>
      <c r="Q111" s="8"/>
      <c r="R111" s="8"/>
      <c r="S111" s="8"/>
      <c r="T111" s="8"/>
      <c r="U111" s="8"/>
      <c r="V111" s="8"/>
      <c r="W111" s="8"/>
      <c r="X111" s="8"/>
      <c r="Y111" s="8"/>
    </row>
    <row r="112" spans="2:25" s="217" customFormat="1">
      <c r="B112" s="218"/>
      <c r="C112" s="231" t="s">
        <v>155</v>
      </c>
      <c r="D112" s="224" t="s">
        <v>66</v>
      </c>
      <c r="E112" s="225">
        <v>1</v>
      </c>
      <c r="F112" s="229">
        <v>0</v>
      </c>
      <c r="G112" s="230">
        <f t="shared" si="8"/>
        <v>0</v>
      </c>
      <c r="H112" s="8"/>
      <c r="I112" s="8"/>
      <c r="J112" s="8"/>
      <c r="K112" s="8"/>
      <c r="L112" s="8"/>
      <c r="M112" s="8"/>
      <c r="N112" s="8"/>
      <c r="O112" s="8"/>
      <c r="P112" s="8"/>
      <c r="Q112" s="8"/>
      <c r="R112" s="8"/>
      <c r="S112" s="8"/>
      <c r="T112" s="8"/>
      <c r="U112" s="8"/>
      <c r="V112" s="8"/>
      <c r="W112" s="8"/>
      <c r="X112" s="8"/>
      <c r="Y112" s="8"/>
    </row>
    <row r="113" spans="2:25" s="217" customFormat="1">
      <c r="B113" s="218"/>
      <c r="C113" s="231" t="s">
        <v>145</v>
      </c>
      <c r="D113" s="224" t="s">
        <v>66</v>
      </c>
      <c r="E113" s="225">
        <v>1</v>
      </c>
      <c r="F113" s="229">
        <v>0</v>
      </c>
      <c r="G113" s="230">
        <f t="shared" si="8"/>
        <v>0</v>
      </c>
      <c r="H113" s="8"/>
      <c r="I113" s="8"/>
      <c r="J113" s="8"/>
      <c r="K113" s="8"/>
      <c r="L113" s="8"/>
      <c r="M113" s="8"/>
      <c r="N113" s="8"/>
      <c r="O113" s="8"/>
      <c r="P113" s="8"/>
      <c r="Q113" s="8"/>
      <c r="R113" s="8"/>
      <c r="S113" s="8"/>
      <c r="T113" s="8"/>
      <c r="U113" s="8"/>
      <c r="V113" s="8"/>
      <c r="W113" s="8"/>
      <c r="X113" s="8"/>
      <c r="Y113" s="8"/>
    </row>
    <row r="114" spans="2:25" s="217" customFormat="1">
      <c r="B114" s="218"/>
      <c r="C114" s="231" t="s">
        <v>146</v>
      </c>
      <c r="D114" s="224" t="s">
        <v>66</v>
      </c>
      <c r="E114" s="225">
        <v>1</v>
      </c>
      <c r="F114" s="229">
        <v>0</v>
      </c>
      <c r="G114" s="230">
        <f t="shared" si="8"/>
        <v>0</v>
      </c>
      <c r="H114" s="8"/>
      <c r="I114" s="8"/>
      <c r="J114" s="8"/>
      <c r="K114" s="8"/>
      <c r="L114" s="8"/>
      <c r="M114" s="8"/>
      <c r="N114" s="8"/>
      <c r="O114" s="8"/>
      <c r="P114" s="8"/>
      <c r="Q114" s="8"/>
      <c r="R114" s="8"/>
      <c r="S114" s="8"/>
      <c r="T114" s="8"/>
      <c r="U114" s="8"/>
      <c r="V114" s="8"/>
      <c r="W114" s="8"/>
      <c r="X114" s="8"/>
      <c r="Y114" s="8"/>
    </row>
    <row r="115" spans="2:25" s="217" customFormat="1">
      <c r="B115" s="218"/>
      <c r="C115" s="232" t="s">
        <v>147</v>
      </c>
      <c r="D115" s="224" t="s">
        <v>66</v>
      </c>
      <c r="E115" s="225">
        <v>1</v>
      </c>
      <c r="F115" s="229">
        <v>0</v>
      </c>
      <c r="G115" s="230">
        <f t="shared" si="8"/>
        <v>0</v>
      </c>
      <c r="H115" s="8"/>
      <c r="I115" s="8"/>
      <c r="J115" s="8"/>
      <c r="K115" s="8"/>
      <c r="L115" s="8"/>
      <c r="M115" s="8"/>
      <c r="N115" s="8"/>
      <c r="O115" s="8"/>
      <c r="P115" s="8"/>
      <c r="Q115" s="8"/>
      <c r="R115" s="8"/>
      <c r="S115" s="8"/>
      <c r="T115" s="8"/>
      <c r="U115" s="8"/>
      <c r="V115" s="8"/>
      <c r="W115" s="8"/>
      <c r="X115" s="8"/>
      <c r="Y115" s="8"/>
    </row>
    <row r="116" spans="2:25" s="217" customFormat="1">
      <c r="B116" s="218"/>
      <c r="C116" s="232" t="s">
        <v>132</v>
      </c>
      <c r="D116" s="224" t="s">
        <v>66</v>
      </c>
      <c r="E116" s="225">
        <v>2</v>
      </c>
      <c r="F116" s="229">
        <v>0</v>
      </c>
      <c r="G116" s="230">
        <f t="shared" si="8"/>
        <v>0</v>
      </c>
      <c r="H116" s="8"/>
      <c r="I116" s="8"/>
      <c r="J116" s="8"/>
      <c r="K116" s="8"/>
      <c r="L116" s="8"/>
      <c r="M116" s="8"/>
      <c r="N116" s="8"/>
      <c r="O116" s="8"/>
      <c r="P116" s="8"/>
      <c r="Q116" s="8"/>
      <c r="R116" s="8"/>
      <c r="S116" s="8"/>
      <c r="T116" s="8"/>
      <c r="U116" s="8"/>
      <c r="V116" s="8"/>
      <c r="W116" s="8"/>
      <c r="X116" s="8"/>
      <c r="Y116" s="8"/>
    </row>
    <row r="117" spans="2:25" s="217" customFormat="1">
      <c r="B117" s="218"/>
      <c r="C117" s="232" t="s">
        <v>148</v>
      </c>
      <c r="D117" s="224" t="s">
        <v>66</v>
      </c>
      <c r="E117" s="225">
        <v>2</v>
      </c>
      <c r="F117" s="229">
        <v>0</v>
      </c>
      <c r="G117" s="230">
        <f t="shared" si="8"/>
        <v>0</v>
      </c>
      <c r="H117" s="8"/>
      <c r="I117" s="8"/>
      <c r="J117" s="8"/>
      <c r="K117" s="8"/>
      <c r="L117" s="8"/>
      <c r="M117" s="8"/>
      <c r="N117" s="8"/>
      <c r="O117" s="8"/>
      <c r="P117" s="8"/>
      <c r="Q117" s="8"/>
      <c r="R117" s="8"/>
      <c r="S117" s="8"/>
      <c r="T117" s="8"/>
      <c r="U117" s="8"/>
      <c r="V117" s="8"/>
      <c r="W117" s="8"/>
      <c r="X117" s="8"/>
      <c r="Y117" s="8"/>
    </row>
    <row r="118" spans="2:25" s="217" customFormat="1">
      <c r="B118" s="218"/>
      <c r="C118" s="232" t="s">
        <v>149</v>
      </c>
      <c r="D118" s="224" t="s">
        <v>66</v>
      </c>
      <c r="E118" s="225">
        <v>1</v>
      </c>
      <c r="F118" s="229">
        <v>0</v>
      </c>
      <c r="G118" s="230">
        <f t="shared" si="8"/>
        <v>0</v>
      </c>
      <c r="H118" s="8"/>
      <c r="I118" s="8"/>
      <c r="J118" s="8"/>
      <c r="K118" s="8"/>
      <c r="L118" s="8"/>
      <c r="M118" s="8"/>
      <c r="N118" s="8"/>
      <c r="O118" s="8"/>
      <c r="P118" s="8"/>
      <c r="Q118" s="8"/>
      <c r="R118" s="8"/>
      <c r="S118" s="8"/>
      <c r="T118" s="8"/>
      <c r="U118" s="8"/>
      <c r="V118" s="8"/>
      <c r="W118" s="8"/>
      <c r="X118" s="8"/>
      <c r="Y118" s="8"/>
    </row>
    <row r="119" spans="2:25" s="217" customFormat="1">
      <c r="B119" s="218"/>
      <c r="C119" s="232" t="s">
        <v>150</v>
      </c>
      <c r="D119" s="224" t="s">
        <v>66</v>
      </c>
      <c r="E119" s="225">
        <v>2</v>
      </c>
      <c r="F119" s="229">
        <v>0</v>
      </c>
      <c r="G119" s="230">
        <f t="shared" si="8"/>
        <v>0</v>
      </c>
      <c r="H119" s="8"/>
      <c r="I119" s="8"/>
      <c r="J119" s="8"/>
      <c r="K119" s="8"/>
      <c r="L119" s="8"/>
      <c r="M119" s="8"/>
      <c r="N119" s="8"/>
      <c r="O119" s="8"/>
      <c r="P119" s="8"/>
      <c r="Q119" s="8"/>
      <c r="R119" s="8"/>
      <c r="S119" s="8"/>
      <c r="T119" s="8"/>
      <c r="U119" s="8"/>
      <c r="V119" s="8"/>
      <c r="W119" s="8"/>
      <c r="X119" s="8"/>
      <c r="Y119" s="8"/>
    </row>
    <row r="120" spans="2:25" s="217" customFormat="1">
      <c r="B120" s="218"/>
      <c r="C120" s="233" t="s">
        <v>135</v>
      </c>
      <c r="D120" s="224" t="s">
        <v>66</v>
      </c>
      <c r="E120" s="225">
        <v>1</v>
      </c>
      <c r="F120" s="229">
        <v>0</v>
      </c>
      <c r="G120" s="230">
        <f t="shared" si="8"/>
        <v>0</v>
      </c>
      <c r="H120" s="8"/>
      <c r="I120" s="8"/>
      <c r="J120" s="8"/>
      <c r="K120" s="8"/>
      <c r="L120" s="8"/>
      <c r="M120" s="8"/>
      <c r="N120" s="8"/>
      <c r="O120" s="8"/>
      <c r="P120" s="8"/>
      <c r="Q120" s="8"/>
      <c r="R120" s="8"/>
      <c r="S120" s="8"/>
      <c r="T120" s="8"/>
      <c r="U120" s="8"/>
      <c r="V120" s="8"/>
      <c r="W120" s="8"/>
      <c r="X120" s="8"/>
      <c r="Y120" s="8"/>
    </row>
    <row r="121" spans="2:25" s="217" customFormat="1">
      <c r="B121" s="201" t="s">
        <v>151</v>
      </c>
      <c r="C121" s="212" t="s">
        <v>152</v>
      </c>
      <c r="D121" s="213"/>
      <c r="E121" s="214"/>
      <c r="F121" s="215"/>
      <c r="G121" s="216"/>
      <c r="H121" s="8"/>
      <c r="I121" s="8"/>
      <c r="J121" s="8"/>
      <c r="K121" s="8"/>
      <c r="L121" s="8"/>
      <c r="M121" s="8"/>
      <c r="N121" s="8"/>
      <c r="O121" s="8"/>
      <c r="P121" s="8"/>
      <c r="Q121" s="8"/>
      <c r="R121" s="8"/>
      <c r="S121" s="8"/>
      <c r="T121" s="8"/>
      <c r="U121" s="8"/>
      <c r="V121" s="8"/>
      <c r="W121" s="8"/>
      <c r="X121" s="8"/>
      <c r="Y121" s="8"/>
    </row>
    <row r="122" spans="2:25" s="217" customFormat="1">
      <c r="B122" s="218"/>
      <c r="C122" s="212" t="s">
        <v>153</v>
      </c>
      <c r="D122" s="213"/>
      <c r="E122" s="214"/>
      <c r="F122" s="215"/>
      <c r="G122" s="216"/>
      <c r="H122" s="8"/>
      <c r="I122" s="8"/>
      <c r="J122" s="8"/>
      <c r="K122" s="8"/>
      <c r="L122" s="8"/>
      <c r="M122" s="8"/>
      <c r="N122" s="8"/>
      <c r="O122" s="8"/>
      <c r="P122" s="8"/>
      <c r="Q122" s="8"/>
      <c r="R122" s="8"/>
      <c r="S122" s="8"/>
      <c r="T122" s="8"/>
      <c r="U122" s="8"/>
      <c r="V122" s="8"/>
      <c r="W122" s="8"/>
      <c r="X122" s="8"/>
      <c r="Y122" s="8"/>
    </row>
    <row r="123" spans="2:25" s="217" customFormat="1">
      <c r="B123" s="218"/>
      <c r="C123" s="219" t="s">
        <v>129</v>
      </c>
      <c r="D123" s="213" t="s">
        <v>66</v>
      </c>
      <c r="E123" s="214">
        <v>4</v>
      </c>
      <c r="F123" s="220">
        <v>0</v>
      </c>
      <c r="G123" s="221">
        <f t="shared" ref="G123:G132" si="9">E123*F123</f>
        <v>0</v>
      </c>
      <c r="H123" s="8"/>
      <c r="I123" s="8"/>
      <c r="J123" s="8"/>
      <c r="K123" s="8"/>
      <c r="L123" s="8"/>
      <c r="M123" s="8"/>
      <c r="N123" s="8"/>
      <c r="O123" s="8"/>
      <c r="P123" s="8"/>
      <c r="Q123" s="8"/>
      <c r="R123" s="8"/>
      <c r="S123" s="8"/>
      <c r="T123" s="8"/>
      <c r="U123" s="8"/>
      <c r="V123" s="8"/>
      <c r="W123" s="8"/>
      <c r="X123" s="8"/>
      <c r="Y123" s="8"/>
    </row>
    <row r="124" spans="2:25" s="217" customFormat="1" ht="24.75" customHeight="1">
      <c r="B124" s="218"/>
      <c r="C124" s="222" t="s">
        <v>154</v>
      </c>
      <c r="D124" s="213" t="s">
        <v>66</v>
      </c>
      <c r="E124" s="214">
        <v>4</v>
      </c>
      <c r="F124" s="220">
        <v>0</v>
      </c>
      <c r="G124" s="221">
        <f t="shared" si="9"/>
        <v>0</v>
      </c>
      <c r="H124" s="8"/>
      <c r="I124" s="8"/>
      <c r="J124" s="8"/>
      <c r="K124" s="8"/>
      <c r="L124" s="8"/>
      <c r="M124" s="8"/>
      <c r="N124" s="8"/>
      <c r="O124" s="8"/>
      <c r="P124" s="8"/>
      <c r="Q124" s="8"/>
      <c r="R124" s="8"/>
      <c r="S124" s="8"/>
      <c r="T124" s="8"/>
      <c r="U124" s="8"/>
      <c r="V124" s="8"/>
      <c r="W124" s="8"/>
      <c r="X124" s="8"/>
      <c r="Y124" s="8"/>
    </row>
    <row r="125" spans="2:25" s="217" customFormat="1">
      <c r="B125" s="218"/>
      <c r="C125" s="222" t="s">
        <v>155</v>
      </c>
      <c r="D125" s="213" t="s">
        <v>66</v>
      </c>
      <c r="E125" s="214">
        <v>4</v>
      </c>
      <c r="F125" s="220">
        <v>0</v>
      </c>
      <c r="G125" s="221">
        <f t="shared" si="9"/>
        <v>0</v>
      </c>
      <c r="H125" s="8"/>
      <c r="I125" s="8"/>
      <c r="J125" s="8"/>
      <c r="K125" s="8"/>
      <c r="L125" s="8"/>
      <c r="M125" s="8"/>
      <c r="N125" s="8"/>
      <c r="O125" s="8"/>
      <c r="P125" s="8"/>
      <c r="Q125" s="8"/>
      <c r="R125" s="8"/>
      <c r="S125" s="8"/>
      <c r="T125" s="8"/>
      <c r="U125" s="8"/>
      <c r="V125" s="8"/>
      <c r="W125" s="8"/>
      <c r="X125" s="8"/>
      <c r="Y125" s="8"/>
    </row>
    <row r="126" spans="2:25" s="217" customFormat="1">
      <c r="B126" s="218"/>
      <c r="C126" s="222" t="s">
        <v>156</v>
      </c>
      <c r="D126" s="213" t="s">
        <v>66</v>
      </c>
      <c r="E126" s="214">
        <v>4</v>
      </c>
      <c r="F126" s="220">
        <v>0</v>
      </c>
      <c r="G126" s="221">
        <f t="shared" si="9"/>
        <v>0</v>
      </c>
      <c r="H126" s="8"/>
      <c r="I126" s="8"/>
      <c r="J126" s="8"/>
      <c r="K126" s="8"/>
      <c r="L126" s="8"/>
      <c r="M126" s="8"/>
      <c r="N126" s="8"/>
      <c r="O126" s="8"/>
      <c r="P126" s="8"/>
      <c r="Q126" s="8"/>
      <c r="R126" s="8"/>
      <c r="S126" s="8"/>
      <c r="T126" s="8"/>
      <c r="U126" s="8"/>
      <c r="V126" s="8"/>
      <c r="W126" s="8"/>
      <c r="X126" s="8"/>
      <c r="Y126" s="8"/>
    </row>
    <row r="127" spans="2:25" s="217" customFormat="1">
      <c r="B127" s="218"/>
      <c r="C127" s="222" t="s">
        <v>157</v>
      </c>
      <c r="D127" s="213" t="s">
        <v>66</v>
      </c>
      <c r="E127" s="214">
        <v>4</v>
      </c>
      <c r="F127" s="220">
        <v>0</v>
      </c>
      <c r="G127" s="221">
        <f t="shared" si="9"/>
        <v>0</v>
      </c>
      <c r="H127" s="8"/>
      <c r="I127" s="8"/>
      <c r="J127" s="8"/>
      <c r="K127" s="8"/>
      <c r="L127" s="8"/>
      <c r="M127" s="8"/>
      <c r="N127" s="8"/>
      <c r="O127" s="8"/>
      <c r="P127" s="8"/>
      <c r="Q127" s="8"/>
      <c r="R127" s="8"/>
      <c r="S127" s="8"/>
      <c r="T127" s="8"/>
      <c r="U127" s="8"/>
      <c r="V127" s="8"/>
      <c r="W127" s="8"/>
      <c r="X127" s="8"/>
      <c r="Y127" s="8"/>
    </row>
    <row r="128" spans="2:25" s="217" customFormat="1">
      <c r="B128" s="218"/>
      <c r="C128" s="234" t="s">
        <v>158</v>
      </c>
      <c r="D128" s="213" t="s">
        <v>66</v>
      </c>
      <c r="E128" s="214">
        <v>4</v>
      </c>
      <c r="F128" s="220">
        <v>0</v>
      </c>
      <c r="G128" s="221">
        <f t="shared" si="9"/>
        <v>0</v>
      </c>
      <c r="H128" s="8"/>
      <c r="I128" s="8"/>
      <c r="J128" s="8"/>
      <c r="K128" s="8"/>
      <c r="L128" s="8"/>
      <c r="M128" s="8"/>
      <c r="N128" s="8"/>
      <c r="O128" s="8"/>
      <c r="P128" s="8"/>
      <c r="Q128" s="8"/>
      <c r="R128" s="8"/>
      <c r="S128" s="8"/>
      <c r="T128" s="8"/>
      <c r="U128" s="8"/>
      <c r="V128" s="8"/>
      <c r="W128" s="8"/>
      <c r="X128" s="8"/>
      <c r="Y128" s="8"/>
    </row>
    <row r="129" spans="2:25" s="217" customFormat="1">
      <c r="B129" s="218"/>
      <c r="C129" s="234" t="s">
        <v>132</v>
      </c>
      <c r="D129" s="213" t="s">
        <v>66</v>
      </c>
      <c r="E129" s="214">
        <v>8</v>
      </c>
      <c r="F129" s="220">
        <v>0</v>
      </c>
      <c r="G129" s="221">
        <f t="shared" si="9"/>
        <v>0</v>
      </c>
      <c r="H129" s="8"/>
      <c r="I129" s="8"/>
      <c r="J129" s="8"/>
      <c r="K129" s="8"/>
      <c r="L129" s="8"/>
      <c r="M129" s="8"/>
      <c r="N129" s="8"/>
      <c r="O129" s="8"/>
      <c r="P129" s="8"/>
      <c r="Q129" s="8"/>
      <c r="R129" s="8"/>
      <c r="S129" s="8"/>
      <c r="T129" s="8"/>
      <c r="U129" s="8"/>
      <c r="V129" s="8"/>
      <c r="W129" s="8"/>
      <c r="X129" s="8"/>
      <c r="Y129" s="8"/>
    </row>
    <row r="130" spans="2:25" s="217" customFormat="1">
      <c r="B130" s="218"/>
      <c r="C130" s="234" t="s">
        <v>148</v>
      </c>
      <c r="D130" s="213" t="s">
        <v>66</v>
      </c>
      <c r="E130" s="214">
        <v>8</v>
      </c>
      <c r="F130" s="220">
        <v>0</v>
      </c>
      <c r="G130" s="221">
        <f t="shared" si="9"/>
        <v>0</v>
      </c>
      <c r="H130" s="8"/>
      <c r="I130" s="8"/>
      <c r="J130" s="8"/>
      <c r="K130" s="8"/>
      <c r="L130" s="8"/>
      <c r="M130" s="8"/>
      <c r="N130" s="8"/>
      <c r="O130" s="8"/>
      <c r="P130" s="8"/>
      <c r="Q130" s="8"/>
      <c r="R130" s="8"/>
      <c r="S130" s="8"/>
      <c r="T130" s="8"/>
      <c r="U130" s="8"/>
      <c r="V130" s="8"/>
      <c r="W130" s="8"/>
      <c r="X130" s="8"/>
      <c r="Y130" s="8"/>
    </row>
    <row r="131" spans="2:25" s="217" customFormat="1">
      <c r="B131" s="218"/>
      <c r="C131" s="234" t="s">
        <v>150</v>
      </c>
      <c r="D131" s="213" t="s">
        <v>66</v>
      </c>
      <c r="E131" s="214">
        <v>4</v>
      </c>
      <c r="F131" s="220">
        <v>0</v>
      </c>
      <c r="G131" s="221">
        <f t="shared" si="9"/>
        <v>0</v>
      </c>
      <c r="H131" s="8"/>
      <c r="I131" s="8"/>
      <c r="J131" s="8"/>
      <c r="K131" s="8"/>
      <c r="L131" s="8"/>
      <c r="M131" s="8"/>
      <c r="N131" s="8"/>
      <c r="O131" s="8"/>
      <c r="P131" s="8"/>
      <c r="Q131" s="8"/>
      <c r="R131" s="8"/>
      <c r="S131" s="8"/>
      <c r="T131" s="8"/>
      <c r="U131" s="8"/>
      <c r="V131" s="8"/>
      <c r="W131" s="8"/>
      <c r="X131" s="8"/>
      <c r="Y131" s="8"/>
    </row>
    <row r="132" spans="2:25" s="217" customFormat="1">
      <c r="B132" s="218"/>
      <c r="C132" s="235" t="s">
        <v>135</v>
      </c>
      <c r="D132" s="213" t="s">
        <v>66</v>
      </c>
      <c r="E132" s="214">
        <v>4</v>
      </c>
      <c r="F132" s="220">
        <v>0</v>
      </c>
      <c r="G132" s="221">
        <f t="shared" si="9"/>
        <v>0</v>
      </c>
      <c r="H132" s="8"/>
      <c r="I132" s="8"/>
      <c r="J132" s="8"/>
      <c r="K132" s="8"/>
      <c r="L132" s="8"/>
      <c r="M132" s="8"/>
      <c r="N132" s="8"/>
      <c r="O132" s="8"/>
      <c r="P132" s="8"/>
      <c r="Q132" s="8"/>
      <c r="R132" s="8"/>
      <c r="S132" s="8"/>
      <c r="T132" s="8"/>
      <c r="U132" s="8"/>
      <c r="V132" s="8"/>
      <c r="W132" s="8"/>
      <c r="X132" s="8"/>
      <c r="Y132" s="8"/>
    </row>
    <row r="133" spans="2:25" s="217" customFormat="1">
      <c r="B133" s="201" t="s">
        <v>159</v>
      </c>
      <c r="C133" s="223" t="s">
        <v>160</v>
      </c>
      <c r="D133" s="224"/>
      <c r="E133" s="225"/>
      <c r="F133" s="226"/>
      <c r="G133" s="227"/>
      <c r="H133" s="8"/>
      <c r="I133" s="8"/>
      <c r="J133" s="8"/>
      <c r="K133" s="8"/>
      <c r="L133" s="8"/>
      <c r="M133" s="8"/>
      <c r="N133" s="8"/>
      <c r="O133" s="8"/>
      <c r="P133" s="8"/>
      <c r="Q133" s="8"/>
      <c r="R133" s="8"/>
      <c r="S133" s="8"/>
      <c r="T133" s="8"/>
      <c r="U133" s="8"/>
      <c r="V133" s="8"/>
      <c r="W133" s="8"/>
      <c r="X133" s="8"/>
      <c r="Y133" s="8"/>
    </row>
    <row r="134" spans="2:25" s="217" customFormat="1" ht="24">
      <c r="B134" s="218"/>
      <c r="C134" s="223" t="s">
        <v>2073</v>
      </c>
      <c r="D134" s="224"/>
      <c r="E134" s="225"/>
      <c r="F134" s="226"/>
      <c r="G134" s="227"/>
      <c r="H134" s="8"/>
      <c r="I134" s="8"/>
      <c r="J134" s="8"/>
      <c r="K134" s="8"/>
      <c r="L134" s="8"/>
      <c r="M134" s="8"/>
      <c r="N134" s="8"/>
      <c r="O134" s="8"/>
      <c r="P134" s="8"/>
      <c r="Q134" s="8"/>
      <c r="R134" s="8"/>
      <c r="S134" s="8"/>
      <c r="T134" s="8"/>
      <c r="U134" s="8"/>
      <c r="V134" s="8"/>
      <c r="W134" s="8"/>
      <c r="X134" s="8"/>
      <c r="Y134" s="8"/>
    </row>
    <row r="135" spans="2:25" s="217" customFormat="1" ht="25.5" customHeight="1">
      <c r="B135" s="201"/>
      <c r="C135" s="228" t="s">
        <v>2066</v>
      </c>
      <c r="D135" s="224" t="s">
        <v>66</v>
      </c>
      <c r="E135" s="225">
        <v>1</v>
      </c>
      <c r="F135" s="229">
        <v>0</v>
      </c>
      <c r="G135" s="230">
        <f>E135*F135</f>
        <v>0</v>
      </c>
      <c r="H135" s="8"/>
      <c r="I135" s="8"/>
      <c r="J135" s="8"/>
      <c r="K135" s="8"/>
      <c r="L135" s="8"/>
      <c r="M135" s="8"/>
      <c r="N135" s="8"/>
      <c r="O135" s="8"/>
      <c r="P135" s="8"/>
      <c r="Q135" s="8"/>
      <c r="R135" s="8"/>
      <c r="S135" s="8"/>
      <c r="T135" s="8"/>
      <c r="U135" s="8"/>
      <c r="V135" s="8"/>
      <c r="W135" s="8"/>
      <c r="X135" s="8"/>
      <c r="Y135" s="8"/>
    </row>
    <row r="136" spans="2:25" s="217" customFormat="1">
      <c r="B136" s="201"/>
      <c r="C136" s="232" t="s">
        <v>132</v>
      </c>
      <c r="D136" s="224" t="s">
        <v>66</v>
      </c>
      <c r="E136" s="225">
        <v>2</v>
      </c>
      <c r="F136" s="229">
        <v>0</v>
      </c>
      <c r="G136" s="230">
        <f t="shared" ref="G136:G143" si="10">E136*F136</f>
        <v>0</v>
      </c>
      <c r="H136" s="8"/>
      <c r="I136" s="8"/>
      <c r="J136" s="8"/>
      <c r="K136" s="8"/>
      <c r="L136" s="8"/>
      <c r="M136" s="8"/>
      <c r="N136" s="8"/>
      <c r="O136" s="8"/>
      <c r="P136" s="8"/>
      <c r="Q136" s="8"/>
      <c r="R136" s="8"/>
      <c r="S136" s="8"/>
      <c r="T136" s="8"/>
      <c r="U136" s="8"/>
      <c r="V136" s="8"/>
      <c r="W136" s="8"/>
      <c r="X136" s="8"/>
      <c r="Y136" s="8"/>
    </row>
    <row r="137" spans="2:25" s="217" customFormat="1">
      <c r="B137" s="201"/>
      <c r="C137" s="232" t="s">
        <v>166</v>
      </c>
      <c r="D137" s="224" t="s">
        <v>66</v>
      </c>
      <c r="E137" s="225">
        <v>1</v>
      </c>
      <c r="F137" s="229">
        <v>0</v>
      </c>
      <c r="G137" s="230">
        <f t="shared" si="10"/>
        <v>0</v>
      </c>
      <c r="H137" s="8"/>
      <c r="I137" s="8"/>
      <c r="J137" s="8"/>
      <c r="K137" s="8"/>
      <c r="L137" s="8"/>
      <c r="M137" s="8"/>
      <c r="N137" s="8"/>
      <c r="O137" s="8"/>
      <c r="P137" s="8"/>
      <c r="Q137" s="8"/>
      <c r="R137" s="8"/>
      <c r="S137" s="8"/>
      <c r="T137" s="8"/>
      <c r="U137" s="8"/>
      <c r="V137" s="8"/>
      <c r="W137" s="8"/>
      <c r="X137" s="8"/>
      <c r="Y137" s="8"/>
    </row>
    <row r="138" spans="2:25" s="217" customFormat="1">
      <c r="B138" s="201"/>
      <c r="C138" s="232" t="s">
        <v>148</v>
      </c>
      <c r="D138" s="224" t="s">
        <v>66</v>
      </c>
      <c r="E138" s="225">
        <v>2</v>
      </c>
      <c r="F138" s="229">
        <v>0</v>
      </c>
      <c r="G138" s="230">
        <f t="shared" si="10"/>
        <v>0</v>
      </c>
      <c r="H138" s="8"/>
      <c r="I138" s="8"/>
      <c r="J138" s="8"/>
      <c r="K138" s="8"/>
      <c r="L138" s="8"/>
      <c r="M138" s="8"/>
      <c r="N138" s="8"/>
      <c r="O138" s="8"/>
      <c r="P138" s="8"/>
      <c r="Q138" s="8"/>
      <c r="R138" s="8"/>
      <c r="S138" s="8"/>
      <c r="T138" s="8"/>
      <c r="U138" s="8"/>
      <c r="V138" s="8"/>
      <c r="W138" s="8"/>
      <c r="X138" s="8"/>
      <c r="Y138" s="8"/>
    </row>
    <row r="139" spans="2:25" s="217" customFormat="1">
      <c r="B139" s="201"/>
      <c r="C139" s="232" t="s">
        <v>167</v>
      </c>
      <c r="D139" s="224" t="s">
        <v>66</v>
      </c>
      <c r="E139" s="225">
        <v>1</v>
      </c>
      <c r="F139" s="229">
        <v>0</v>
      </c>
      <c r="G139" s="230">
        <f t="shared" si="10"/>
        <v>0</v>
      </c>
      <c r="H139" s="8"/>
      <c r="I139" s="8"/>
      <c r="J139" s="8"/>
      <c r="K139" s="8"/>
      <c r="L139" s="8"/>
      <c r="M139" s="8"/>
      <c r="N139" s="8"/>
      <c r="O139" s="8"/>
      <c r="P139" s="8"/>
      <c r="Q139" s="8"/>
      <c r="R139" s="8"/>
      <c r="S139" s="8"/>
      <c r="T139" s="8"/>
      <c r="U139" s="8"/>
      <c r="V139" s="8"/>
      <c r="W139" s="8"/>
      <c r="X139" s="8"/>
      <c r="Y139" s="8"/>
    </row>
    <row r="140" spans="2:25" s="217" customFormat="1">
      <c r="B140" s="201"/>
      <c r="C140" s="232" t="s">
        <v>224</v>
      </c>
      <c r="D140" s="224" t="s">
        <v>66</v>
      </c>
      <c r="E140" s="225">
        <v>1</v>
      </c>
      <c r="F140" s="229">
        <v>0</v>
      </c>
      <c r="G140" s="230">
        <f t="shared" si="10"/>
        <v>0</v>
      </c>
      <c r="H140" s="8"/>
      <c r="I140" s="8"/>
      <c r="J140" s="8"/>
      <c r="K140" s="8"/>
      <c r="L140" s="8"/>
      <c r="M140" s="8"/>
      <c r="N140" s="8"/>
      <c r="O140" s="8"/>
      <c r="P140" s="8"/>
      <c r="Q140" s="8"/>
      <c r="R140" s="8"/>
      <c r="S140" s="8"/>
      <c r="T140" s="8"/>
      <c r="U140" s="8"/>
      <c r="V140" s="8"/>
      <c r="W140" s="8"/>
      <c r="X140" s="8"/>
      <c r="Y140" s="8"/>
    </row>
    <row r="141" spans="2:25" s="217" customFormat="1">
      <c r="B141" s="201"/>
      <c r="C141" s="232" t="s">
        <v>225</v>
      </c>
      <c r="D141" s="224" t="s">
        <v>66</v>
      </c>
      <c r="E141" s="225">
        <v>1</v>
      </c>
      <c r="F141" s="229">
        <v>0</v>
      </c>
      <c r="G141" s="230">
        <f t="shared" si="10"/>
        <v>0</v>
      </c>
      <c r="H141" s="8"/>
      <c r="I141" s="8"/>
      <c r="J141" s="8"/>
      <c r="K141" s="8"/>
      <c r="L141" s="8"/>
      <c r="M141" s="8"/>
      <c r="N141" s="8"/>
      <c r="O141" s="8"/>
      <c r="P141" s="8"/>
      <c r="Q141" s="8"/>
      <c r="R141" s="8"/>
      <c r="S141" s="8"/>
      <c r="T141" s="8"/>
      <c r="U141" s="8"/>
      <c r="V141" s="8"/>
      <c r="W141" s="8"/>
      <c r="X141" s="8"/>
      <c r="Y141" s="8"/>
    </row>
    <row r="142" spans="2:25" s="217" customFormat="1">
      <c r="B142" s="201"/>
      <c r="C142" s="232" t="s">
        <v>150</v>
      </c>
      <c r="D142" s="224" t="s">
        <v>66</v>
      </c>
      <c r="E142" s="225">
        <v>1</v>
      </c>
      <c r="F142" s="229">
        <v>0</v>
      </c>
      <c r="G142" s="230">
        <f t="shared" si="10"/>
        <v>0</v>
      </c>
      <c r="H142" s="8"/>
      <c r="I142" s="8"/>
      <c r="J142" s="8"/>
      <c r="K142" s="8"/>
      <c r="L142" s="8"/>
      <c r="M142" s="8"/>
      <c r="N142" s="8"/>
      <c r="O142" s="8"/>
      <c r="P142" s="8"/>
      <c r="Q142" s="8"/>
      <c r="R142" s="8"/>
      <c r="S142" s="8"/>
      <c r="T142" s="8"/>
      <c r="U142" s="8"/>
      <c r="V142" s="8"/>
      <c r="W142" s="8"/>
      <c r="X142" s="8"/>
      <c r="Y142" s="8"/>
    </row>
    <row r="143" spans="2:25" s="217" customFormat="1">
      <c r="B143" s="201"/>
      <c r="C143" s="233" t="s">
        <v>135</v>
      </c>
      <c r="D143" s="224" t="s">
        <v>66</v>
      </c>
      <c r="E143" s="225">
        <v>1</v>
      </c>
      <c r="F143" s="229">
        <v>0</v>
      </c>
      <c r="G143" s="230">
        <f t="shared" si="10"/>
        <v>0</v>
      </c>
      <c r="H143" s="8"/>
      <c r="I143" s="8"/>
      <c r="J143" s="8"/>
      <c r="K143" s="8"/>
      <c r="L143" s="8"/>
      <c r="M143" s="8"/>
      <c r="N143" s="8"/>
      <c r="O143" s="8"/>
      <c r="P143" s="8"/>
      <c r="Q143" s="8"/>
      <c r="R143" s="8"/>
      <c r="S143" s="8"/>
      <c r="T143" s="8"/>
      <c r="U143" s="8"/>
      <c r="V143" s="8"/>
      <c r="W143" s="8"/>
      <c r="X143" s="8"/>
      <c r="Y143" s="8"/>
    </row>
    <row r="144" spans="2:25" s="217" customFormat="1">
      <c r="B144" s="218"/>
      <c r="C144" s="223" t="s">
        <v>196</v>
      </c>
      <c r="D144" s="224"/>
      <c r="E144" s="225"/>
      <c r="F144" s="226"/>
      <c r="G144" s="227"/>
      <c r="H144" s="8"/>
      <c r="I144" s="8"/>
      <c r="J144" s="8"/>
      <c r="K144" s="8"/>
      <c r="L144" s="8"/>
      <c r="M144" s="8"/>
      <c r="N144" s="8"/>
      <c r="O144" s="8"/>
      <c r="P144" s="8"/>
      <c r="Q144" s="8"/>
      <c r="R144" s="8"/>
      <c r="S144" s="8"/>
      <c r="T144" s="8"/>
      <c r="U144" s="8"/>
      <c r="V144" s="8"/>
      <c r="W144" s="8"/>
      <c r="X144" s="8"/>
      <c r="Y144" s="8"/>
    </row>
    <row r="145" spans="2:25" s="217" customFormat="1" ht="24">
      <c r="B145" s="218"/>
      <c r="C145" s="228" t="s">
        <v>2067</v>
      </c>
      <c r="D145" s="224" t="s">
        <v>66</v>
      </c>
      <c r="E145" s="225">
        <v>1</v>
      </c>
      <c r="F145" s="229">
        <v>0</v>
      </c>
      <c r="G145" s="230">
        <f>E145*F145</f>
        <v>0</v>
      </c>
      <c r="H145" s="8"/>
      <c r="I145" s="8"/>
      <c r="J145" s="8"/>
      <c r="K145" s="8"/>
      <c r="L145" s="8"/>
      <c r="M145" s="8"/>
      <c r="N145" s="8"/>
      <c r="O145" s="8"/>
      <c r="P145" s="8"/>
      <c r="Q145" s="8"/>
      <c r="R145" s="8"/>
      <c r="S145" s="8"/>
      <c r="T145" s="8"/>
      <c r="U145" s="8"/>
      <c r="V145" s="8"/>
      <c r="W145" s="8"/>
      <c r="X145" s="8"/>
      <c r="Y145" s="8"/>
    </row>
    <row r="146" spans="2:25" s="217" customFormat="1">
      <c r="B146" s="218"/>
      <c r="C146" s="232" t="s">
        <v>132</v>
      </c>
      <c r="D146" s="224" t="s">
        <v>66</v>
      </c>
      <c r="E146" s="225">
        <v>3</v>
      </c>
      <c r="F146" s="229">
        <v>0</v>
      </c>
      <c r="G146" s="230">
        <f t="shared" ref="G146:G149" si="11">E146*F146</f>
        <v>0</v>
      </c>
      <c r="H146" s="8"/>
      <c r="I146" s="8"/>
      <c r="J146" s="8"/>
      <c r="K146" s="8"/>
      <c r="L146" s="8"/>
      <c r="M146" s="8"/>
      <c r="N146" s="8"/>
      <c r="O146" s="8"/>
      <c r="P146" s="8"/>
      <c r="Q146" s="8"/>
      <c r="R146" s="8"/>
      <c r="S146" s="8"/>
      <c r="T146" s="8"/>
      <c r="U146" s="8"/>
      <c r="V146" s="8"/>
      <c r="W146" s="8"/>
      <c r="X146" s="8"/>
      <c r="Y146" s="8"/>
    </row>
    <row r="147" spans="2:25" s="217" customFormat="1">
      <c r="B147" s="218"/>
      <c r="C147" s="232" t="s">
        <v>148</v>
      </c>
      <c r="D147" s="224" t="s">
        <v>66</v>
      </c>
      <c r="E147" s="225">
        <v>3</v>
      </c>
      <c r="F147" s="229">
        <v>0</v>
      </c>
      <c r="G147" s="230">
        <f t="shared" si="11"/>
        <v>0</v>
      </c>
      <c r="H147" s="8"/>
      <c r="I147" s="8"/>
      <c r="J147" s="8"/>
      <c r="K147" s="8"/>
      <c r="L147" s="8"/>
      <c r="M147" s="8"/>
      <c r="N147" s="8"/>
      <c r="O147" s="8"/>
      <c r="P147" s="8"/>
      <c r="Q147" s="8"/>
      <c r="R147" s="8"/>
      <c r="S147" s="8"/>
      <c r="T147" s="8"/>
      <c r="U147" s="8"/>
      <c r="V147" s="8"/>
      <c r="W147" s="8"/>
      <c r="X147" s="8"/>
      <c r="Y147" s="8"/>
    </row>
    <row r="148" spans="2:25" s="217" customFormat="1">
      <c r="B148" s="218"/>
      <c r="C148" s="232" t="s">
        <v>150</v>
      </c>
      <c r="D148" s="224" t="s">
        <v>66</v>
      </c>
      <c r="E148" s="225">
        <v>1</v>
      </c>
      <c r="F148" s="229">
        <v>0</v>
      </c>
      <c r="G148" s="230">
        <f t="shared" si="11"/>
        <v>0</v>
      </c>
      <c r="H148" s="8"/>
      <c r="I148" s="8"/>
      <c r="J148" s="8"/>
      <c r="K148" s="8"/>
      <c r="L148" s="8"/>
      <c r="M148" s="8"/>
      <c r="N148" s="8"/>
      <c r="O148" s="8"/>
      <c r="P148" s="8"/>
      <c r="Q148" s="8"/>
      <c r="R148" s="8"/>
      <c r="S148" s="8"/>
      <c r="T148" s="8"/>
      <c r="U148" s="8"/>
      <c r="V148" s="8"/>
      <c r="W148" s="8"/>
      <c r="X148" s="8"/>
      <c r="Y148" s="8"/>
    </row>
    <row r="149" spans="2:25" s="217" customFormat="1">
      <c r="B149" s="218"/>
      <c r="C149" s="233" t="s">
        <v>135</v>
      </c>
      <c r="D149" s="224" t="s">
        <v>66</v>
      </c>
      <c r="E149" s="225">
        <v>1</v>
      </c>
      <c r="F149" s="229">
        <v>0</v>
      </c>
      <c r="G149" s="230">
        <f t="shared" si="11"/>
        <v>0</v>
      </c>
      <c r="H149" s="8"/>
      <c r="I149" s="8"/>
      <c r="J149" s="8"/>
      <c r="K149" s="8"/>
      <c r="L149" s="8"/>
      <c r="M149" s="8"/>
      <c r="N149" s="8"/>
      <c r="O149" s="8"/>
      <c r="P149" s="8"/>
      <c r="Q149" s="8"/>
      <c r="R149" s="8"/>
      <c r="S149" s="8"/>
      <c r="T149" s="8"/>
      <c r="U149" s="8"/>
      <c r="V149" s="8"/>
      <c r="W149" s="8"/>
      <c r="X149" s="8"/>
      <c r="Y149" s="8"/>
    </row>
    <row r="150" spans="2:25" s="217" customFormat="1">
      <c r="B150" s="201" t="s">
        <v>168</v>
      </c>
      <c r="C150" s="238" t="s">
        <v>169</v>
      </c>
      <c r="D150" s="239"/>
      <c r="E150" s="240"/>
      <c r="F150" s="241"/>
      <c r="G150" s="242"/>
      <c r="H150" s="8"/>
      <c r="I150" s="8"/>
      <c r="J150" s="8"/>
      <c r="K150" s="8"/>
      <c r="L150" s="8"/>
      <c r="M150" s="8"/>
      <c r="N150" s="8"/>
      <c r="O150" s="8"/>
      <c r="P150" s="8"/>
      <c r="Q150" s="8"/>
      <c r="R150" s="8"/>
      <c r="S150" s="8"/>
      <c r="T150" s="8"/>
      <c r="U150" s="8"/>
      <c r="V150" s="8"/>
      <c r="W150" s="8"/>
      <c r="X150" s="8"/>
      <c r="Y150" s="8"/>
    </row>
    <row r="151" spans="2:25" s="217" customFormat="1">
      <c r="B151" s="218"/>
      <c r="C151" s="238" t="s">
        <v>170</v>
      </c>
      <c r="D151" s="239"/>
      <c r="E151" s="240"/>
      <c r="F151" s="241"/>
      <c r="G151" s="242"/>
      <c r="H151" s="8"/>
      <c r="I151" s="8"/>
      <c r="J151" s="8"/>
      <c r="K151" s="8"/>
      <c r="L151" s="8"/>
      <c r="M151" s="8"/>
      <c r="N151" s="8"/>
      <c r="O151" s="8"/>
      <c r="P151" s="8"/>
      <c r="Q151" s="8"/>
      <c r="R151" s="8"/>
      <c r="S151" s="8"/>
      <c r="T151" s="8"/>
      <c r="U151" s="8"/>
      <c r="V151" s="8"/>
      <c r="W151" s="8"/>
      <c r="X151" s="8"/>
      <c r="Y151" s="8"/>
    </row>
    <row r="152" spans="2:25" s="217" customFormat="1" ht="39.75" customHeight="1">
      <c r="B152" s="218"/>
      <c r="C152" s="243" t="s">
        <v>2063</v>
      </c>
      <c r="D152" s="239" t="s">
        <v>66</v>
      </c>
      <c r="E152" s="240">
        <v>28</v>
      </c>
      <c r="F152" s="244">
        <v>0</v>
      </c>
      <c r="G152" s="245">
        <f t="shared" ref="G152:G154" si="12">E152*F152</f>
        <v>0</v>
      </c>
      <c r="H152" s="8"/>
      <c r="I152" s="8"/>
      <c r="J152" s="8"/>
      <c r="K152" s="8"/>
      <c r="L152" s="8"/>
      <c r="M152" s="8"/>
      <c r="N152" s="8"/>
      <c r="O152" s="8"/>
      <c r="P152" s="8"/>
      <c r="Q152" s="8"/>
      <c r="R152" s="8"/>
      <c r="S152" s="8"/>
      <c r="T152" s="8"/>
      <c r="U152" s="8"/>
      <c r="V152" s="8"/>
      <c r="W152" s="8"/>
      <c r="X152" s="8"/>
      <c r="Y152" s="8"/>
    </row>
    <row r="153" spans="2:25" s="217" customFormat="1">
      <c r="B153" s="218"/>
      <c r="C153" s="246" t="s">
        <v>171</v>
      </c>
      <c r="D153" s="239" t="s">
        <v>66</v>
      </c>
      <c r="E153" s="240">
        <v>28</v>
      </c>
      <c r="F153" s="244">
        <v>0</v>
      </c>
      <c r="G153" s="245">
        <f t="shared" si="12"/>
        <v>0</v>
      </c>
      <c r="H153" s="8"/>
      <c r="I153" s="8"/>
      <c r="J153" s="8"/>
      <c r="K153" s="8"/>
      <c r="L153" s="8"/>
      <c r="M153" s="8"/>
      <c r="N153" s="8"/>
      <c r="O153" s="8"/>
      <c r="P153" s="8"/>
      <c r="Q153" s="8"/>
      <c r="R153" s="8"/>
      <c r="S153" s="8"/>
      <c r="T153" s="8"/>
      <c r="U153" s="8"/>
      <c r="V153" s="8"/>
      <c r="W153" s="8"/>
      <c r="X153" s="8"/>
      <c r="Y153" s="8"/>
    </row>
    <row r="154" spans="2:25" s="217" customFormat="1">
      <c r="B154" s="218"/>
      <c r="C154" s="247" t="s">
        <v>135</v>
      </c>
      <c r="D154" s="239" t="s">
        <v>66</v>
      </c>
      <c r="E154" s="240">
        <v>28</v>
      </c>
      <c r="F154" s="244">
        <v>0</v>
      </c>
      <c r="G154" s="245">
        <f t="shared" si="12"/>
        <v>0</v>
      </c>
      <c r="H154" s="8"/>
      <c r="I154" s="8"/>
      <c r="J154" s="8"/>
      <c r="K154" s="8"/>
      <c r="L154" s="8"/>
      <c r="M154" s="8"/>
      <c r="N154" s="8"/>
      <c r="O154" s="8"/>
      <c r="P154" s="8"/>
      <c r="Q154" s="8"/>
      <c r="R154" s="8"/>
      <c r="S154" s="8"/>
      <c r="T154" s="8"/>
      <c r="U154" s="8"/>
      <c r="V154" s="8"/>
      <c r="W154" s="8"/>
      <c r="X154" s="8"/>
      <c r="Y154" s="8"/>
    </row>
    <row r="155" spans="2:25">
      <c r="B155" s="201" t="s">
        <v>172</v>
      </c>
      <c r="C155" s="248" t="s">
        <v>173</v>
      </c>
      <c r="D155" s="249"/>
      <c r="E155" s="250"/>
      <c r="F155" s="251"/>
      <c r="G155" s="252"/>
      <c r="I155" s="8"/>
      <c r="J155" s="8"/>
      <c r="K155" s="8"/>
      <c r="L155" s="8"/>
      <c r="M155" s="8"/>
      <c r="N155" s="8"/>
      <c r="O155" s="8"/>
      <c r="P155" s="8"/>
      <c r="Q155" s="8"/>
      <c r="R155" s="8"/>
      <c r="S155" s="8"/>
      <c r="T155" s="8"/>
      <c r="U155" s="8"/>
      <c r="V155" s="8"/>
      <c r="W155" s="8"/>
      <c r="X155" s="8"/>
      <c r="Y155" s="8"/>
    </row>
    <row r="156" spans="2:25" s="217" customFormat="1" ht="63" customHeight="1">
      <c r="B156" s="218"/>
      <c r="C156" s="253" t="s">
        <v>174</v>
      </c>
      <c r="D156" s="254" t="s">
        <v>66</v>
      </c>
      <c r="E156" s="255">
        <v>1</v>
      </c>
      <c r="F156" s="256">
        <v>0</v>
      </c>
      <c r="G156" s="257">
        <f t="shared" ref="G156" si="13">E156*F156</f>
        <v>0</v>
      </c>
      <c r="H156" s="8"/>
      <c r="I156" s="8"/>
      <c r="J156" s="8"/>
      <c r="K156" s="8"/>
      <c r="L156" s="8"/>
      <c r="M156" s="8"/>
      <c r="N156" s="8"/>
      <c r="O156" s="8"/>
      <c r="P156" s="8"/>
      <c r="Q156" s="8"/>
      <c r="R156" s="8"/>
      <c r="S156" s="8"/>
      <c r="T156" s="8"/>
      <c r="U156" s="8"/>
      <c r="V156" s="8"/>
      <c r="W156" s="8"/>
      <c r="X156" s="8"/>
      <c r="Y156" s="8"/>
    </row>
    <row r="157" spans="2:25" s="179" customFormat="1" ht="16.5" customHeight="1">
      <c r="B157" s="258" t="s">
        <v>47</v>
      </c>
      <c r="C157" s="259" t="s">
        <v>175</v>
      </c>
      <c r="D157" s="260"/>
      <c r="E157" s="261"/>
      <c r="F157" s="262"/>
      <c r="G157" s="263">
        <f>SUM(G80:G156)</f>
        <v>0</v>
      </c>
      <c r="H157" s="269"/>
    </row>
    <row r="158" spans="2:25">
      <c r="H158" s="143"/>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3AF30-F3DA-43D0-B41F-F3FECCDEDAFF}">
  <sheetPr>
    <tabColor rgb="FFFFC000"/>
  </sheetPr>
  <dimension ref="A1:AF185"/>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5.140625" style="66" customWidth="1"/>
    <col min="8" max="8" width="16" style="8" customWidth="1"/>
    <col min="9" max="9" width="17" style="1" customWidth="1"/>
    <col min="10" max="10" width="9.28515625" style="1" bestFit="1" customWidth="1"/>
    <col min="11" max="11" width="7.140625" style="1" bestFit="1" customWidth="1"/>
    <col min="12" max="13" width="7.140625" style="1" customWidth="1"/>
    <col min="14" max="14" width="7.140625" style="1" bestFit="1" customWidth="1"/>
    <col min="15" max="260" width="9.140625" style="1"/>
    <col min="261" max="261" width="7.42578125" style="1" customWidth="1"/>
    <col min="262" max="262" width="37.42578125" style="1" customWidth="1"/>
    <col min="263" max="263" width="9.140625" style="1"/>
    <col min="264" max="264" width="9.28515625" style="1" customWidth="1"/>
    <col min="265" max="266" width="12.140625" style="1" customWidth="1"/>
    <col min="267" max="267" width="16" style="1" customWidth="1"/>
    <col min="268" max="268" width="26.28515625" style="1" customWidth="1"/>
    <col min="269" max="516" width="9.140625" style="1"/>
    <col min="517" max="517" width="7.42578125" style="1" customWidth="1"/>
    <col min="518" max="518" width="37.42578125" style="1" customWidth="1"/>
    <col min="519" max="519" width="9.140625" style="1"/>
    <col min="520" max="520" width="9.28515625" style="1" customWidth="1"/>
    <col min="521" max="522" width="12.140625" style="1" customWidth="1"/>
    <col min="523" max="523" width="16" style="1" customWidth="1"/>
    <col min="524" max="524" width="26.28515625" style="1" customWidth="1"/>
    <col min="525" max="772" width="9.140625" style="1"/>
    <col min="773" max="773" width="7.42578125" style="1" customWidth="1"/>
    <col min="774" max="774" width="37.42578125" style="1" customWidth="1"/>
    <col min="775" max="775" width="9.140625" style="1"/>
    <col min="776" max="776" width="9.28515625" style="1" customWidth="1"/>
    <col min="777" max="778" width="12.140625" style="1" customWidth="1"/>
    <col min="779" max="779" width="16" style="1" customWidth="1"/>
    <col min="780" max="780" width="26.28515625" style="1" customWidth="1"/>
    <col min="781" max="1028" width="9.140625" style="1"/>
    <col min="1029" max="1029" width="7.42578125" style="1" customWidth="1"/>
    <col min="1030" max="1030" width="37.42578125" style="1" customWidth="1"/>
    <col min="1031" max="1031" width="9.140625" style="1"/>
    <col min="1032" max="1032" width="9.28515625" style="1" customWidth="1"/>
    <col min="1033" max="1034" width="12.140625" style="1" customWidth="1"/>
    <col min="1035" max="1035" width="16" style="1" customWidth="1"/>
    <col min="1036" max="1036" width="26.28515625" style="1" customWidth="1"/>
    <col min="1037" max="1284" width="9.140625" style="1"/>
    <col min="1285" max="1285" width="7.42578125" style="1" customWidth="1"/>
    <col min="1286" max="1286" width="37.42578125" style="1" customWidth="1"/>
    <col min="1287" max="1287" width="9.140625" style="1"/>
    <col min="1288" max="1288" width="9.28515625" style="1" customWidth="1"/>
    <col min="1289" max="1290" width="12.140625" style="1" customWidth="1"/>
    <col min="1291" max="1291" width="16" style="1" customWidth="1"/>
    <col min="1292" max="1292" width="26.28515625" style="1" customWidth="1"/>
    <col min="1293" max="1540" width="9.140625" style="1"/>
    <col min="1541" max="1541" width="7.42578125" style="1" customWidth="1"/>
    <col min="1542" max="1542" width="37.42578125" style="1" customWidth="1"/>
    <col min="1543" max="1543" width="9.140625" style="1"/>
    <col min="1544" max="1544" width="9.28515625" style="1" customWidth="1"/>
    <col min="1545" max="1546" width="12.140625" style="1" customWidth="1"/>
    <col min="1547" max="1547" width="16" style="1" customWidth="1"/>
    <col min="1548" max="1548" width="26.28515625" style="1" customWidth="1"/>
    <col min="1549" max="1796" width="9.140625" style="1"/>
    <col min="1797" max="1797" width="7.42578125" style="1" customWidth="1"/>
    <col min="1798" max="1798" width="37.42578125" style="1" customWidth="1"/>
    <col min="1799" max="1799" width="9.140625" style="1"/>
    <col min="1800" max="1800" width="9.28515625" style="1" customWidth="1"/>
    <col min="1801" max="1802" width="12.140625" style="1" customWidth="1"/>
    <col min="1803" max="1803" width="16" style="1" customWidth="1"/>
    <col min="1804" max="1804" width="26.28515625" style="1" customWidth="1"/>
    <col min="1805" max="2052" width="9.140625" style="1"/>
    <col min="2053" max="2053" width="7.42578125" style="1" customWidth="1"/>
    <col min="2054" max="2054" width="37.42578125" style="1" customWidth="1"/>
    <col min="2055" max="2055" width="9.140625" style="1"/>
    <col min="2056" max="2056" width="9.28515625" style="1" customWidth="1"/>
    <col min="2057" max="2058" width="12.140625" style="1" customWidth="1"/>
    <col min="2059" max="2059" width="16" style="1" customWidth="1"/>
    <col min="2060" max="2060" width="26.28515625" style="1" customWidth="1"/>
    <col min="2061" max="2308" width="9.140625" style="1"/>
    <col min="2309" max="2309" width="7.42578125" style="1" customWidth="1"/>
    <col min="2310" max="2310" width="37.42578125" style="1" customWidth="1"/>
    <col min="2311" max="2311" width="9.140625" style="1"/>
    <col min="2312" max="2312" width="9.28515625" style="1" customWidth="1"/>
    <col min="2313" max="2314" width="12.140625" style="1" customWidth="1"/>
    <col min="2315" max="2315" width="16" style="1" customWidth="1"/>
    <col min="2316" max="2316" width="26.28515625" style="1" customWidth="1"/>
    <col min="2317" max="2564" width="9.140625" style="1"/>
    <col min="2565" max="2565" width="7.42578125" style="1" customWidth="1"/>
    <col min="2566" max="2566" width="37.42578125" style="1" customWidth="1"/>
    <col min="2567" max="2567" width="9.140625" style="1"/>
    <col min="2568" max="2568" width="9.28515625" style="1" customWidth="1"/>
    <col min="2569" max="2570" width="12.140625" style="1" customWidth="1"/>
    <col min="2571" max="2571" width="16" style="1" customWidth="1"/>
    <col min="2572" max="2572" width="26.28515625" style="1" customWidth="1"/>
    <col min="2573" max="2820" width="9.140625" style="1"/>
    <col min="2821" max="2821" width="7.42578125" style="1" customWidth="1"/>
    <col min="2822" max="2822" width="37.42578125" style="1" customWidth="1"/>
    <col min="2823" max="2823" width="9.140625" style="1"/>
    <col min="2824" max="2824" width="9.28515625" style="1" customWidth="1"/>
    <col min="2825" max="2826" width="12.140625" style="1" customWidth="1"/>
    <col min="2827" max="2827" width="16" style="1" customWidth="1"/>
    <col min="2828" max="2828" width="26.28515625" style="1" customWidth="1"/>
    <col min="2829" max="3076" width="9.140625" style="1"/>
    <col min="3077" max="3077" width="7.42578125" style="1" customWidth="1"/>
    <col min="3078" max="3078" width="37.42578125" style="1" customWidth="1"/>
    <col min="3079" max="3079" width="9.140625" style="1"/>
    <col min="3080" max="3080" width="9.28515625" style="1" customWidth="1"/>
    <col min="3081" max="3082" width="12.140625" style="1" customWidth="1"/>
    <col min="3083" max="3083" width="16" style="1" customWidth="1"/>
    <col min="3084" max="3084" width="26.28515625" style="1" customWidth="1"/>
    <col min="3085" max="3332" width="9.140625" style="1"/>
    <col min="3333" max="3333" width="7.42578125" style="1" customWidth="1"/>
    <col min="3334" max="3334" width="37.42578125" style="1" customWidth="1"/>
    <col min="3335" max="3335" width="9.140625" style="1"/>
    <col min="3336" max="3336" width="9.28515625" style="1" customWidth="1"/>
    <col min="3337" max="3338" width="12.140625" style="1" customWidth="1"/>
    <col min="3339" max="3339" width="16" style="1" customWidth="1"/>
    <col min="3340" max="3340" width="26.28515625" style="1" customWidth="1"/>
    <col min="3341" max="3588" width="9.140625" style="1"/>
    <col min="3589" max="3589" width="7.42578125" style="1" customWidth="1"/>
    <col min="3590" max="3590" width="37.42578125" style="1" customWidth="1"/>
    <col min="3591" max="3591" width="9.140625" style="1"/>
    <col min="3592" max="3592" width="9.28515625" style="1" customWidth="1"/>
    <col min="3593" max="3594" width="12.140625" style="1" customWidth="1"/>
    <col min="3595" max="3595" width="16" style="1" customWidth="1"/>
    <col min="3596" max="3596" width="26.28515625" style="1" customWidth="1"/>
    <col min="3597" max="3844" width="9.140625" style="1"/>
    <col min="3845" max="3845" width="7.42578125" style="1" customWidth="1"/>
    <col min="3846" max="3846" width="37.42578125" style="1" customWidth="1"/>
    <col min="3847" max="3847" width="9.140625" style="1"/>
    <col min="3848" max="3848" width="9.28515625" style="1" customWidth="1"/>
    <col min="3849" max="3850" width="12.140625" style="1" customWidth="1"/>
    <col min="3851" max="3851" width="16" style="1" customWidth="1"/>
    <col min="3852" max="3852" width="26.28515625" style="1" customWidth="1"/>
    <col min="3853" max="4100" width="9.140625" style="1"/>
    <col min="4101" max="4101" width="7.42578125" style="1" customWidth="1"/>
    <col min="4102" max="4102" width="37.42578125" style="1" customWidth="1"/>
    <col min="4103" max="4103" width="9.140625" style="1"/>
    <col min="4104" max="4104" width="9.28515625" style="1" customWidth="1"/>
    <col min="4105" max="4106" width="12.140625" style="1" customWidth="1"/>
    <col min="4107" max="4107" width="16" style="1" customWidth="1"/>
    <col min="4108" max="4108" width="26.28515625" style="1" customWidth="1"/>
    <col min="4109" max="4356" width="9.140625" style="1"/>
    <col min="4357" max="4357" width="7.42578125" style="1" customWidth="1"/>
    <col min="4358" max="4358" width="37.42578125" style="1" customWidth="1"/>
    <col min="4359" max="4359" width="9.140625" style="1"/>
    <col min="4360" max="4360" width="9.28515625" style="1" customWidth="1"/>
    <col min="4361" max="4362" width="12.140625" style="1" customWidth="1"/>
    <col min="4363" max="4363" width="16" style="1" customWidth="1"/>
    <col min="4364" max="4364" width="26.28515625" style="1" customWidth="1"/>
    <col min="4365" max="4612" width="9.140625" style="1"/>
    <col min="4613" max="4613" width="7.42578125" style="1" customWidth="1"/>
    <col min="4614" max="4614" width="37.42578125" style="1" customWidth="1"/>
    <col min="4615" max="4615" width="9.140625" style="1"/>
    <col min="4616" max="4616" width="9.28515625" style="1" customWidth="1"/>
    <col min="4617" max="4618" width="12.140625" style="1" customWidth="1"/>
    <col min="4619" max="4619" width="16" style="1" customWidth="1"/>
    <col min="4620" max="4620" width="26.28515625" style="1" customWidth="1"/>
    <col min="4621" max="4868" width="9.140625" style="1"/>
    <col min="4869" max="4869" width="7.42578125" style="1" customWidth="1"/>
    <col min="4870" max="4870" width="37.42578125" style="1" customWidth="1"/>
    <col min="4871" max="4871" width="9.140625" style="1"/>
    <col min="4872" max="4872" width="9.28515625" style="1" customWidth="1"/>
    <col min="4873" max="4874" width="12.140625" style="1" customWidth="1"/>
    <col min="4875" max="4875" width="16" style="1" customWidth="1"/>
    <col min="4876" max="4876" width="26.28515625" style="1" customWidth="1"/>
    <col min="4877" max="5124" width="9.140625" style="1"/>
    <col min="5125" max="5125" width="7.42578125" style="1" customWidth="1"/>
    <col min="5126" max="5126" width="37.42578125" style="1" customWidth="1"/>
    <col min="5127" max="5127" width="9.140625" style="1"/>
    <col min="5128" max="5128" width="9.28515625" style="1" customWidth="1"/>
    <col min="5129" max="5130" width="12.140625" style="1" customWidth="1"/>
    <col min="5131" max="5131" width="16" style="1" customWidth="1"/>
    <col min="5132" max="5132" width="26.28515625" style="1" customWidth="1"/>
    <col min="5133" max="5380" width="9.140625" style="1"/>
    <col min="5381" max="5381" width="7.42578125" style="1" customWidth="1"/>
    <col min="5382" max="5382" width="37.42578125" style="1" customWidth="1"/>
    <col min="5383" max="5383" width="9.140625" style="1"/>
    <col min="5384" max="5384" width="9.28515625" style="1" customWidth="1"/>
    <col min="5385" max="5386" width="12.140625" style="1" customWidth="1"/>
    <col min="5387" max="5387" width="16" style="1" customWidth="1"/>
    <col min="5388" max="5388" width="26.28515625" style="1" customWidth="1"/>
    <col min="5389" max="5636" width="9.140625" style="1"/>
    <col min="5637" max="5637" width="7.42578125" style="1" customWidth="1"/>
    <col min="5638" max="5638" width="37.42578125" style="1" customWidth="1"/>
    <col min="5639" max="5639" width="9.140625" style="1"/>
    <col min="5640" max="5640" width="9.28515625" style="1" customWidth="1"/>
    <col min="5641" max="5642" width="12.140625" style="1" customWidth="1"/>
    <col min="5643" max="5643" width="16" style="1" customWidth="1"/>
    <col min="5644" max="5644" width="26.28515625" style="1" customWidth="1"/>
    <col min="5645" max="5892" width="9.140625" style="1"/>
    <col min="5893" max="5893" width="7.42578125" style="1" customWidth="1"/>
    <col min="5894" max="5894" width="37.42578125" style="1" customWidth="1"/>
    <col min="5895" max="5895" width="9.140625" style="1"/>
    <col min="5896" max="5896" width="9.28515625" style="1" customWidth="1"/>
    <col min="5897" max="5898" width="12.140625" style="1" customWidth="1"/>
    <col min="5899" max="5899" width="16" style="1" customWidth="1"/>
    <col min="5900" max="5900" width="26.28515625" style="1" customWidth="1"/>
    <col min="5901" max="6148" width="9.140625" style="1"/>
    <col min="6149" max="6149" width="7.42578125" style="1" customWidth="1"/>
    <col min="6150" max="6150" width="37.42578125" style="1" customWidth="1"/>
    <col min="6151" max="6151" width="9.140625" style="1"/>
    <col min="6152" max="6152" width="9.28515625" style="1" customWidth="1"/>
    <col min="6153" max="6154" width="12.140625" style="1" customWidth="1"/>
    <col min="6155" max="6155" width="16" style="1" customWidth="1"/>
    <col min="6156" max="6156" width="26.28515625" style="1" customWidth="1"/>
    <col min="6157" max="6404" width="9.140625" style="1"/>
    <col min="6405" max="6405" width="7.42578125" style="1" customWidth="1"/>
    <col min="6406" max="6406" width="37.42578125" style="1" customWidth="1"/>
    <col min="6407" max="6407" width="9.140625" style="1"/>
    <col min="6408" max="6408" width="9.28515625" style="1" customWidth="1"/>
    <col min="6409" max="6410" width="12.140625" style="1" customWidth="1"/>
    <col min="6411" max="6411" width="16" style="1" customWidth="1"/>
    <col min="6412" max="6412" width="26.28515625" style="1" customWidth="1"/>
    <col min="6413" max="6660" width="9.140625" style="1"/>
    <col min="6661" max="6661" width="7.42578125" style="1" customWidth="1"/>
    <col min="6662" max="6662" width="37.42578125" style="1" customWidth="1"/>
    <col min="6663" max="6663" width="9.140625" style="1"/>
    <col min="6664" max="6664" width="9.28515625" style="1" customWidth="1"/>
    <col min="6665" max="6666" width="12.140625" style="1" customWidth="1"/>
    <col min="6667" max="6667" width="16" style="1" customWidth="1"/>
    <col min="6668" max="6668" width="26.28515625" style="1" customWidth="1"/>
    <col min="6669" max="6916" width="9.140625" style="1"/>
    <col min="6917" max="6917" width="7.42578125" style="1" customWidth="1"/>
    <col min="6918" max="6918" width="37.42578125" style="1" customWidth="1"/>
    <col min="6919" max="6919" width="9.140625" style="1"/>
    <col min="6920" max="6920" width="9.28515625" style="1" customWidth="1"/>
    <col min="6921" max="6922" width="12.140625" style="1" customWidth="1"/>
    <col min="6923" max="6923" width="16" style="1" customWidth="1"/>
    <col min="6924" max="6924" width="26.28515625" style="1" customWidth="1"/>
    <col min="6925" max="7172" width="9.140625" style="1"/>
    <col min="7173" max="7173" width="7.42578125" style="1" customWidth="1"/>
    <col min="7174" max="7174" width="37.42578125" style="1" customWidth="1"/>
    <col min="7175" max="7175" width="9.140625" style="1"/>
    <col min="7176" max="7176" width="9.28515625" style="1" customWidth="1"/>
    <col min="7177" max="7178" width="12.140625" style="1" customWidth="1"/>
    <col min="7179" max="7179" width="16" style="1" customWidth="1"/>
    <col min="7180" max="7180" width="26.28515625" style="1" customWidth="1"/>
    <col min="7181" max="7428" width="9.140625" style="1"/>
    <col min="7429" max="7429" width="7.42578125" style="1" customWidth="1"/>
    <col min="7430" max="7430" width="37.42578125" style="1" customWidth="1"/>
    <col min="7431" max="7431" width="9.140625" style="1"/>
    <col min="7432" max="7432" width="9.28515625" style="1" customWidth="1"/>
    <col min="7433" max="7434" width="12.140625" style="1" customWidth="1"/>
    <col min="7435" max="7435" width="16" style="1" customWidth="1"/>
    <col min="7436" max="7436" width="26.28515625" style="1" customWidth="1"/>
    <col min="7437" max="7684" width="9.140625" style="1"/>
    <col min="7685" max="7685" width="7.42578125" style="1" customWidth="1"/>
    <col min="7686" max="7686" width="37.42578125" style="1" customWidth="1"/>
    <col min="7687" max="7687" width="9.140625" style="1"/>
    <col min="7688" max="7688" width="9.28515625" style="1" customWidth="1"/>
    <col min="7689" max="7690" width="12.140625" style="1" customWidth="1"/>
    <col min="7691" max="7691" width="16" style="1" customWidth="1"/>
    <col min="7692" max="7692" width="26.28515625" style="1" customWidth="1"/>
    <col min="7693" max="7940" width="9.140625" style="1"/>
    <col min="7941" max="7941" width="7.42578125" style="1" customWidth="1"/>
    <col min="7942" max="7942" width="37.42578125" style="1" customWidth="1"/>
    <col min="7943" max="7943" width="9.140625" style="1"/>
    <col min="7944" max="7944" width="9.28515625" style="1" customWidth="1"/>
    <col min="7945" max="7946" width="12.140625" style="1" customWidth="1"/>
    <col min="7947" max="7947" width="16" style="1" customWidth="1"/>
    <col min="7948" max="7948" width="26.28515625" style="1" customWidth="1"/>
    <col min="7949" max="8196" width="9.140625" style="1"/>
    <col min="8197" max="8197" width="7.42578125" style="1" customWidth="1"/>
    <col min="8198" max="8198" width="37.42578125" style="1" customWidth="1"/>
    <col min="8199" max="8199" width="9.140625" style="1"/>
    <col min="8200" max="8200" width="9.28515625" style="1" customWidth="1"/>
    <col min="8201" max="8202" width="12.140625" style="1" customWidth="1"/>
    <col min="8203" max="8203" width="16" style="1" customWidth="1"/>
    <col min="8204" max="8204" width="26.28515625" style="1" customWidth="1"/>
    <col min="8205" max="8452" width="9.140625" style="1"/>
    <col min="8453" max="8453" width="7.42578125" style="1" customWidth="1"/>
    <col min="8454" max="8454" width="37.42578125" style="1" customWidth="1"/>
    <col min="8455" max="8455" width="9.140625" style="1"/>
    <col min="8456" max="8456" width="9.28515625" style="1" customWidth="1"/>
    <col min="8457" max="8458" width="12.140625" style="1" customWidth="1"/>
    <col min="8459" max="8459" width="16" style="1" customWidth="1"/>
    <col min="8460" max="8460" width="26.28515625" style="1" customWidth="1"/>
    <col min="8461" max="8708" width="9.140625" style="1"/>
    <col min="8709" max="8709" width="7.42578125" style="1" customWidth="1"/>
    <col min="8710" max="8710" width="37.42578125" style="1" customWidth="1"/>
    <col min="8711" max="8711" width="9.140625" style="1"/>
    <col min="8712" max="8712" width="9.28515625" style="1" customWidth="1"/>
    <col min="8713" max="8714" width="12.140625" style="1" customWidth="1"/>
    <col min="8715" max="8715" width="16" style="1" customWidth="1"/>
    <col min="8716" max="8716" width="26.28515625" style="1" customWidth="1"/>
    <col min="8717" max="8964" width="9.140625" style="1"/>
    <col min="8965" max="8965" width="7.42578125" style="1" customWidth="1"/>
    <col min="8966" max="8966" width="37.42578125" style="1" customWidth="1"/>
    <col min="8967" max="8967" width="9.140625" style="1"/>
    <col min="8968" max="8968" width="9.28515625" style="1" customWidth="1"/>
    <col min="8969" max="8970" width="12.140625" style="1" customWidth="1"/>
    <col min="8971" max="8971" width="16" style="1" customWidth="1"/>
    <col min="8972" max="8972" width="26.28515625" style="1" customWidth="1"/>
    <col min="8973" max="9220" width="9.140625" style="1"/>
    <col min="9221" max="9221" width="7.42578125" style="1" customWidth="1"/>
    <col min="9222" max="9222" width="37.42578125" style="1" customWidth="1"/>
    <col min="9223" max="9223" width="9.140625" style="1"/>
    <col min="9224" max="9224" width="9.28515625" style="1" customWidth="1"/>
    <col min="9225" max="9226" width="12.140625" style="1" customWidth="1"/>
    <col min="9227" max="9227" width="16" style="1" customWidth="1"/>
    <col min="9228" max="9228" width="26.28515625" style="1" customWidth="1"/>
    <col min="9229" max="9476" width="9.140625" style="1"/>
    <col min="9477" max="9477" width="7.42578125" style="1" customWidth="1"/>
    <col min="9478" max="9478" width="37.42578125" style="1" customWidth="1"/>
    <col min="9479" max="9479" width="9.140625" style="1"/>
    <col min="9480" max="9480" width="9.28515625" style="1" customWidth="1"/>
    <col min="9481" max="9482" width="12.140625" style="1" customWidth="1"/>
    <col min="9483" max="9483" width="16" style="1" customWidth="1"/>
    <col min="9484" max="9484" width="26.28515625" style="1" customWidth="1"/>
    <col min="9485" max="9732" width="9.140625" style="1"/>
    <col min="9733" max="9733" width="7.42578125" style="1" customWidth="1"/>
    <col min="9734" max="9734" width="37.42578125" style="1" customWidth="1"/>
    <col min="9735" max="9735" width="9.140625" style="1"/>
    <col min="9736" max="9736" width="9.28515625" style="1" customWidth="1"/>
    <col min="9737" max="9738" width="12.140625" style="1" customWidth="1"/>
    <col min="9739" max="9739" width="16" style="1" customWidth="1"/>
    <col min="9740" max="9740" width="26.28515625" style="1" customWidth="1"/>
    <col min="9741" max="9988" width="9.140625" style="1"/>
    <col min="9989" max="9989" width="7.42578125" style="1" customWidth="1"/>
    <col min="9990" max="9990" width="37.42578125" style="1" customWidth="1"/>
    <col min="9991" max="9991" width="9.140625" style="1"/>
    <col min="9992" max="9992" width="9.28515625" style="1" customWidth="1"/>
    <col min="9993" max="9994" width="12.140625" style="1" customWidth="1"/>
    <col min="9995" max="9995" width="16" style="1" customWidth="1"/>
    <col min="9996" max="9996" width="26.28515625" style="1" customWidth="1"/>
    <col min="9997" max="10244" width="9.140625" style="1"/>
    <col min="10245" max="10245" width="7.42578125" style="1" customWidth="1"/>
    <col min="10246" max="10246" width="37.42578125" style="1" customWidth="1"/>
    <col min="10247" max="10247" width="9.140625" style="1"/>
    <col min="10248" max="10248" width="9.28515625" style="1" customWidth="1"/>
    <col min="10249" max="10250" width="12.140625" style="1" customWidth="1"/>
    <col min="10251" max="10251" width="16" style="1" customWidth="1"/>
    <col min="10252" max="10252" width="26.28515625" style="1" customWidth="1"/>
    <col min="10253" max="10500" width="9.140625" style="1"/>
    <col min="10501" max="10501" width="7.42578125" style="1" customWidth="1"/>
    <col min="10502" max="10502" width="37.42578125" style="1" customWidth="1"/>
    <col min="10503" max="10503" width="9.140625" style="1"/>
    <col min="10504" max="10504" width="9.28515625" style="1" customWidth="1"/>
    <col min="10505" max="10506" width="12.140625" style="1" customWidth="1"/>
    <col min="10507" max="10507" width="16" style="1" customWidth="1"/>
    <col min="10508" max="10508" width="26.28515625" style="1" customWidth="1"/>
    <col min="10509" max="10756" width="9.140625" style="1"/>
    <col min="10757" max="10757" width="7.42578125" style="1" customWidth="1"/>
    <col min="10758" max="10758" width="37.42578125" style="1" customWidth="1"/>
    <col min="10759" max="10759" width="9.140625" style="1"/>
    <col min="10760" max="10760" width="9.28515625" style="1" customWidth="1"/>
    <col min="10761" max="10762" width="12.140625" style="1" customWidth="1"/>
    <col min="10763" max="10763" width="16" style="1" customWidth="1"/>
    <col min="10764" max="10764" width="26.28515625" style="1" customWidth="1"/>
    <col min="10765" max="11012" width="9.140625" style="1"/>
    <col min="11013" max="11013" width="7.42578125" style="1" customWidth="1"/>
    <col min="11014" max="11014" width="37.42578125" style="1" customWidth="1"/>
    <col min="11015" max="11015" width="9.140625" style="1"/>
    <col min="11016" max="11016" width="9.28515625" style="1" customWidth="1"/>
    <col min="11017" max="11018" width="12.140625" style="1" customWidth="1"/>
    <col min="11019" max="11019" width="16" style="1" customWidth="1"/>
    <col min="11020" max="11020" width="26.28515625" style="1" customWidth="1"/>
    <col min="11021" max="11268" width="9.140625" style="1"/>
    <col min="11269" max="11269" width="7.42578125" style="1" customWidth="1"/>
    <col min="11270" max="11270" width="37.42578125" style="1" customWidth="1"/>
    <col min="11271" max="11271" width="9.140625" style="1"/>
    <col min="11272" max="11272" width="9.28515625" style="1" customWidth="1"/>
    <col min="11273" max="11274" width="12.140625" style="1" customWidth="1"/>
    <col min="11275" max="11275" width="16" style="1" customWidth="1"/>
    <col min="11276" max="11276" width="26.28515625" style="1" customWidth="1"/>
    <col min="11277" max="11524" width="9.140625" style="1"/>
    <col min="11525" max="11525" width="7.42578125" style="1" customWidth="1"/>
    <col min="11526" max="11526" width="37.42578125" style="1" customWidth="1"/>
    <col min="11527" max="11527" width="9.140625" style="1"/>
    <col min="11528" max="11528" width="9.28515625" style="1" customWidth="1"/>
    <col min="11529" max="11530" width="12.140625" style="1" customWidth="1"/>
    <col min="11531" max="11531" width="16" style="1" customWidth="1"/>
    <col min="11532" max="11532" width="26.28515625" style="1" customWidth="1"/>
    <col min="11533" max="11780" width="9.140625" style="1"/>
    <col min="11781" max="11781" width="7.42578125" style="1" customWidth="1"/>
    <col min="11782" max="11782" width="37.42578125" style="1" customWidth="1"/>
    <col min="11783" max="11783" width="9.140625" style="1"/>
    <col min="11784" max="11784" width="9.28515625" style="1" customWidth="1"/>
    <col min="11785" max="11786" width="12.140625" style="1" customWidth="1"/>
    <col min="11787" max="11787" width="16" style="1" customWidth="1"/>
    <col min="11788" max="11788" width="26.28515625" style="1" customWidth="1"/>
    <col min="11789" max="12036" width="9.140625" style="1"/>
    <col min="12037" max="12037" width="7.42578125" style="1" customWidth="1"/>
    <col min="12038" max="12038" width="37.42578125" style="1" customWidth="1"/>
    <col min="12039" max="12039" width="9.140625" style="1"/>
    <col min="12040" max="12040" width="9.28515625" style="1" customWidth="1"/>
    <col min="12041" max="12042" width="12.140625" style="1" customWidth="1"/>
    <col min="12043" max="12043" width="16" style="1" customWidth="1"/>
    <col min="12044" max="12044" width="26.28515625" style="1" customWidth="1"/>
    <col min="12045" max="12292" width="9.140625" style="1"/>
    <col min="12293" max="12293" width="7.42578125" style="1" customWidth="1"/>
    <col min="12294" max="12294" width="37.42578125" style="1" customWidth="1"/>
    <col min="12295" max="12295" width="9.140625" style="1"/>
    <col min="12296" max="12296" width="9.28515625" style="1" customWidth="1"/>
    <col min="12297" max="12298" width="12.140625" style="1" customWidth="1"/>
    <col min="12299" max="12299" width="16" style="1" customWidth="1"/>
    <col min="12300" max="12300" width="26.28515625" style="1" customWidth="1"/>
    <col min="12301" max="12548" width="9.140625" style="1"/>
    <col min="12549" max="12549" width="7.42578125" style="1" customWidth="1"/>
    <col min="12550" max="12550" width="37.42578125" style="1" customWidth="1"/>
    <col min="12551" max="12551" width="9.140625" style="1"/>
    <col min="12552" max="12552" width="9.28515625" style="1" customWidth="1"/>
    <col min="12553" max="12554" width="12.140625" style="1" customWidth="1"/>
    <col min="12555" max="12555" width="16" style="1" customWidth="1"/>
    <col min="12556" max="12556" width="26.28515625" style="1" customWidth="1"/>
    <col min="12557" max="12804" width="9.140625" style="1"/>
    <col min="12805" max="12805" width="7.42578125" style="1" customWidth="1"/>
    <col min="12806" max="12806" width="37.42578125" style="1" customWidth="1"/>
    <col min="12807" max="12807" width="9.140625" style="1"/>
    <col min="12808" max="12808" width="9.28515625" style="1" customWidth="1"/>
    <col min="12809" max="12810" width="12.140625" style="1" customWidth="1"/>
    <col min="12811" max="12811" width="16" style="1" customWidth="1"/>
    <col min="12812" max="12812" width="26.28515625" style="1" customWidth="1"/>
    <col min="12813" max="13060" width="9.140625" style="1"/>
    <col min="13061" max="13061" width="7.42578125" style="1" customWidth="1"/>
    <col min="13062" max="13062" width="37.42578125" style="1" customWidth="1"/>
    <col min="13063" max="13063" width="9.140625" style="1"/>
    <col min="13064" max="13064" width="9.28515625" style="1" customWidth="1"/>
    <col min="13065" max="13066" width="12.140625" style="1" customWidth="1"/>
    <col min="13067" max="13067" width="16" style="1" customWidth="1"/>
    <col min="13068" max="13068" width="26.28515625" style="1" customWidth="1"/>
    <col min="13069" max="13316" width="9.140625" style="1"/>
    <col min="13317" max="13317" width="7.42578125" style="1" customWidth="1"/>
    <col min="13318" max="13318" width="37.42578125" style="1" customWidth="1"/>
    <col min="13319" max="13319" width="9.140625" style="1"/>
    <col min="13320" max="13320" width="9.28515625" style="1" customWidth="1"/>
    <col min="13321" max="13322" width="12.140625" style="1" customWidth="1"/>
    <col min="13323" max="13323" width="16" style="1" customWidth="1"/>
    <col min="13324" max="13324" width="26.28515625" style="1" customWidth="1"/>
    <col min="13325" max="13572" width="9.140625" style="1"/>
    <col min="13573" max="13573" width="7.42578125" style="1" customWidth="1"/>
    <col min="13574" max="13574" width="37.42578125" style="1" customWidth="1"/>
    <col min="13575" max="13575" width="9.140625" style="1"/>
    <col min="13576" max="13576" width="9.28515625" style="1" customWidth="1"/>
    <col min="13577" max="13578" width="12.140625" style="1" customWidth="1"/>
    <col min="13579" max="13579" width="16" style="1" customWidth="1"/>
    <col min="13580" max="13580" width="26.28515625" style="1" customWidth="1"/>
    <col min="13581" max="13828" width="9.140625" style="1"/>
    <col min="13829" max="13829" width="7.42578125" style="1" customWidth="1"/>
    <col min="13830" max="13830" width="37.42578125" style="1" customWidth="1"/>
    <col min="13831" max="13831" width="9.140625" style="1"/>
    <col min="13832" max="13832" width="9.28515625" style="1" customWidth="1"/>
    <col min="13833" max="13834" width="12.140625" style="1" customWidth="1"/>
    <col min="13835" max="13835" width="16" style="1" customWidth="1"/>
    <col min="13836" max="13836" width="26.28515625" style="1" customWidth="1"/>
    <col min="13837" max="14084" width="9.140625" style="1"/>
    <col min="14085" max="14085" width="7.42578125" style="1" customWidth="1"/>
    <col min="14086" max="14086" width="37.42578125" style="1" customWidth="1"/>
    <col min="14087" max="14087" width="9.140625" style="1"/>
    <col min="14088" max="14088" width="9.28515625" style="1" customWidth="1"/>
    <col min="14089" max="14090" width="12.140625" style="1" customWidth="1"/>
    <col min="14091" max="14091" width="16" style="1" customWidth="1"/>
    <col min="14092" max="14092" width="26.28515625" style="1" customWidth="1"/>
    <col min="14093" max="14340" width="9.140625" style="1"/>
    <col min="14341" max="14341" width="7.42578125" style="1" customWidth="1"/>
    <col min="14342" max="14342" width="37.42578125" style="1" customWidth="1"/>
    <col min="14343" max="14343" width="9.140625" style="1"/>
    <col min="14344" max="14344" width="9.28515625" style="1" customWidth="1"/>
    <col min="14345" max="14346" width="12.140625" style="1" customWidth="1"/>
    <col min="14347" max="14347" width="16" style="1" customWidth="1"/>
    <col min="14348" max="14348" width="26.28515625" style="1" customWidth="1"/>
    <col min="14349" max="14596" width="9.140625" style="1"/>
    <col min="14597" max="14597" width="7.42578125" style="1" customWidth="1"/>
    <col min="14598" max="14598" width="37.42578125" style="1" customWidth="1"/>
    <col min="14599" max="14599" width="9.140625" style="1"/>
    <col min="14600" max="14600" width="9.28515625" style="1" customWidth="1"/>
    <col min="14601" max="14602" width="12.140625" style="1" customWidth="1"/>
    <col min="14603" max="14603" width="16" style="1" customWidth="1"/>
    <col min="14604" max="14604" width="26.28515625" style="1" customWidth="1"/>
    <col min="14605" max="14852" width="9.140625" style="1"/>
    <col min="14853" max="14853" width="7.42578125" style="1" customWidth="1"/>
    <col min="14854" max="14854" width="37.42578125" style="1" customWidth="1"/>
    <col min="14855" max="14855" width="9.140625" style="1"/>
    <col min="14856" max="14856" width="9.28515625" style="1" customWidth="1"/>
    <col min="14857" max="14858" width="12.140625" style="1" customWidth="1"/>
    <col min="14859" max="14859" width="16" style="1" customWidth="1"/>
    <col min="14860" max="14860" width="26.28515625" style="1" customWidth="1"/>
    <col min="14861" max="15108" width="9.140625" style="1"/>
    <col min="15109" max="15109" width="7.42578125" style="1" customWidth="1"/>
    <col min="15110" max="15110" width="37.42578125" style="1" customWidth="1"/>
    <col min="15111" max="15111" width="9.140625" style="1"/>
    <col min="15112" max="15112" width="9.28515625" style="1" customWidth="1"/>
    <col min="15113" max="15114" width="12.140625" style="1" customWidth="1"/>
    <col min="15115" max="15115" width="16" style="1" customWidth="1"/>
    <col min="15116" max="15116" width="26.28515625" style="1" customWidth="1"/>
    <col min="15117" max="15364" width="9.140625" style="1"/>
    <col min="15365" max="15365" width="7.42578125" style="1" customWidth="1"/>
    <col min="15366" max="15366" width="37.42578125" style="1" customWidth="1"/>
    <col min="15367" max="15367" width="9.140625" style="1"/>
    <col min="15368" max="15368" width="9.28515625" style="1" customWidth="1"/>
    <col min="15369" max="15370" width="12.140625" style="1" customWidth="1"/>
    <col min="15371" max="15371" width="16" style="1" customWidth="1"/>
    <col min="15372" max="15372" width="26.28515625" style="1" customWidth="1"/>
    <col min="15373" max="15620" width="9.140625" style="1"/>
    <col min="15621" max="15621" width="7.42578125" style="1" customWidth="1"/>
    <col min="15622" max="15622" width="37.42578125" style="1" customWidth="1"/>
    <col min="15623" max="15623" width="9.140625" style="1"/>
    <col min="15624" max="15624" width="9.28515625" style="1" customWidth="1"/>
    <col min="15625" max="15626" width="12.140625" style="1" customWidth="1"/>
    <col min="15627" max="15627" width="16" style="1" customWidth="1"/>
    <col min="15628" max="15628" width="26.28515625" style="1" customWidth="1"/>
    <col min="15629" max="15876" width="9.140625" style="1"/>
    <col min="15877" max="15877" width="7.42578125" style="1" customWidth="1"/>
    <col min="15878" max="15878" width="37.42578125" style="1" customWidth="1"/>
    <col min="15879" max="15879" width="9.140625" style="1"/>
    <col min="15880" max="15880" width="9.28515625" style="1" customWidth="1"/>
    <col min="15881" max="15882" width="12.140625" style="1" customWidth="1"/>
    <col min="15883" max="15883" width="16" style="1" customWidth="1"/>
    <col min="15884" max="15884" width="26.28515625" style="1" customWidth="1"/>
    <col min="15885" max="16132" width="9.140625" style="1"/>
    <col min="16133" max="16133" width="7.42578125" style="1" customWidth="1"/>
    <col min="16134" max="16134" width="37.42578125" style="1" customWidth="1"/>
    <col min="16135" max="16135" width="9.140625" style="1"/>
    <col min="16136" max="16136" width="9.28515625" style="1" customWidth="1"/>
    <col min="16137" max="16138" width="12.140625" style="1" customWidth="1"/>
    <col min="16139" max="16139" width="16" style="1" customWidth="1"/>
    <col min="16140" max="16140" width="26.28515625" style="1" customWidth="1"/>
    <col min="16141" max="16384" width="9.140625" style="1"/>
  </cols>
  <sheetData>
    <row r="1" spans="1:32" ht="16.5" customHeight="1">
      <c r="B1" s="2"/>
      <c r="C1" s="3" t="s">
        <v>0</v>
      </c>
      <c r="D1" s="4"/>
      <c r="E1" s="5"/>
      <c r="F1" s="6"/>
      <c r="G1" s="672" t="s">
        <v>1</v>
      </c>
      <c r="H1" s="938"/>
    </row>
    <row r="3" spans="1:32" s="73" customFormat="1" ht="15">
      <c r="B3" s="74" t="s">
        <v>35</v>
      </c>
      <c r="C3" s="75" t="s">
        <v>36</v>
      </c>
      <c r="D3" s="76"/>
      <c r="E3" s="77"/>
      <c r="F3" s="78"/>
      <c r="G3" s="79"/>
      <c r="H3" s="37"/>
    </row>
    <row r="4" spans="1:32" s="73" customFormat="1" ht="12" customHeight="1">
      <c r="B4" s="80"/>
      <c r="C4" s="81"/>
      <c r="D4" s="82"/>
      <c r="E4" s="83"/>
      <c r="F4" s="84"/>
      <c r="G4" s="85"/>
      <c r="H4" s="37"/>
    </row>
    <row r="5" spans="1:32" s="86" customFormat="1" ht="14.25">
      <c r="B5" s="74" t="s">
        <v>37</v>
      </c>
      <c r="C5" s="75" t="s">
        <v>26</v>
      </c>
      <c r="D5" s="76"/>
      <c r="E5" s="77"/>
      <c r="F5" s="78"/>
      <c r="G5" s="79"/>
      <c r="H5" s="27"/>
      <c r="I5" s="87"/>
      <c r="J5" s="87"/>
      <c r="K5" s="87"/>
      <c r="L5" s="87"/>
      <c r="M5" s="87"/>
      <c r="N5" s="87"/>
      <c r="O5" s="87"/>
    </row>
    <row r="6" spans="1:32" s="86" customFormat="1" ht="14.25">
      <c r="B6" s="80"/>
      <c r="C6" s="81"/>
      <c r="D6" s="82"/>
      <c r="E6" s="83"/>
      <c r="F6" s="84"/>
      <c r="G6" s="88"/>
      <c r="H6" s="27"/>
      <c r="I6" s="87"/>
      <c r="J6" s="87"/>
      <c r="K6" s="87"/>
      <c r="L6" s="87"/>
      <c r="M6" s="87"/>
      <c r="N6" s="87"/>
      <c r="O6" s="87"/>
    </row>
    <row r="7" spans="1:32" s="14" customFormat="1" ht="18" customHeight="1">
      <c r="A7" s="9"/>
      <c r="B7" s="10" t="s">
        <v>38</v>
      </c>
      <c r="C7" s="11"/>
      <c r="D7" s="13"/>
      <c r="E7" s="12"/>
      <c r="F7" s="12"/>
      <c r="G7" s="13"/>
    </row>
    <row r="8" spans="1:32" s="14" customFormat="1" ht="18" customHeight="1">
      <c r="A8" s="15"/>
      <c r="B8" s="16" t="s">
        <v>39</v>
      </c>
      <c r="C8" s="17"/>
      <c r="D8" s="18"/>
      <c r="E8" s="19"/>
      <c r="F8" s="19"/>
      <c r="G8" s="18"/>
    </row>
    <row r="9" spans="1:32" s="14" customFormat="1" ht="18" customHeight="1">
      <c r="A9" s="9"/>
      <c r="B9" s="10" t="s">
        <v>4</v>
      </c>
      <c r="C9" s="11"/>
      <c r="D9" s="12"/>
      <c r="E9" s="12"/>
      <c r="F9" s="12"/>
      <c r="G9" s="13"/>
    </row>
    <row r="10" spans="1:32" s="14" customFormat="1" ht="18" customHeight="1">
      <c r="A10" s="15"/>
      <c r="B10" s="16" t="s">
        <v>5</v>
      </c>
      <c r="C10" s="17"/>
      <c r="D10" s="19"/>
      <c r="E10" s="19"/>
      <c r="F10" s="19"/>
      <c r="G10" s="18"/>
    </row>
    <row r="11" spans="1:32" s="86" customFormat="1" ht="14.25">
      <c r="B11" s="89"/>
      <c r="C11" s="90"/>
      <c r="D11" s="91"/>
      <c r="E11" s="92"/>
      <c r="F11" s="93"/>
      <c r="G11" s="94"/>
      <c r="H11" s="27"/>
      <c r="I11" s="87"/>
      <c r="J11" s="87"/>
      <c r="K11" s="87"/>
      <c r="L11" s="87"/>
      <c r="M11" s="87"/>
      <c r="N11" s="87"/>
      <c r="O11" s="87"/>
    </row>
    <row r="12" spans="1:32" s="86" customFormat="1" ht="14.25">
      <c r="B12" s="95"/>
      <c r="C12" s="96" t="s">
        <v>40</v>
      </c>
      <c r="D12" s="97"/>
      <c r="E12" s="98"/>
      <c r="F12" s="99"/>
      <c r="G12" s="100"/>
      <c r="H12" s="27"/>
      <c r="I12" s="87"/>
      <c r="J12" s="87"/>
      <c r="K12" s="87"/>
      <c r="L12" s="87"/>
      <c r="M12" s="87"/>
      <c r="N12" s="87"/>
      <c r="O12" s="87"/>
    </row>
    <row r="13" spans="1:32"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c r="AD13" s="73"/>
      <c r="AE13" s="73"/>
      <c r="AF13" s="73"/>
    </row>
    <row r="14" spans="1:32"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c r="AD14" s="73"/>
      <c r="AE14" s="73"/>
      <c r="AF14" s="73"/>
    </row>
    <row r="15" spans="1:32"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c r="AD15" s="73"/>
      <c r="AE15" s="73"/>
      <c r="AF15" s="73"/>
    </row>
    <row r="16" spans="1:32" s="101" customFormat="1" ht="15">
      <c r="B16" s="107" t="s">
        <v>47</v>
      </c>
      <c r="C16" s="108" t="s">
        <v>48</v>
      </c>
      <c r="D16" s="109"/>
      <c r="E16" s="110"/>
      <c r="F16" s="111"/>
      <c r="G16" s="112">
        <f>G177</f>
        <v>0</v>
      </c>
      <c r="H16" s="37"/>
      <c r="I16" s="73"/>
      <c r="J16" s="73"/>
      <c r="K16" s="73"/>
      <c r="L16" s="73"/>
      <c r="M16" s="73"/>
      <c r="N16" s="73"/>
      <c r="O16" s="73"/>
      <c r="P16" s="73"/>
      <c r="Q16" s="73"/>
      <c r="R16" s="73"/>
      <c r="S16" s="73"/>
      <c r="T16" s="73"/>
      <c r="U16" s="73"/>
      <c r="V16" s="73"/>
      <c r="W16" s="73"/>
      <c r="X16" s="73"/>
      <c r="Y16" s="73"/>
      <c r="Z16" s="73"/>
      <c r="AA16" s="73"/>
      <c r="AB16" s="73"/>
      <c r="AC16" s="73"/>
      <c r="AD16" s="73"/>
      <c r="AE16" s="73"/>
      <c r="AF16" s="73"/>
    </row>
    <row r="17" spans="2:32"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c r="AD17" s="73"/>
      <c r="AE17" s="73"/>
      <c r="AF17" s="73"/>
    </row>
    <row r="18" spans="2:32">
      <c r="B18" s="61"/>
      <c r="C18" s="62"/>
      <c r="D18" s="63"/>
      <c r="E18" s="64"/>
      <c r="F18" s="65"/>
    </row>
    <row r="19" spans="2:32">
      <c r="G19" s="118"/>
    </row>
    <row r="20" spans="2:32" ht="24">
      <c r="B20" s="119" t="s">
        <v>50</v>
      </c>
      <c r="C20" s="120" t="s">
        <v>51</v>
      </c>
      <c r="D20" s="121" t="s">
        <v>52</v>
      </c>
      <c r="E20" s="122" t="s">
        <v>53</v>
      </c>
      <c r="F20" s="123" t="s">
        <v>54</v>
      </c>
      <c r="G20" s="124" t="s">
        <v>55</v>
      </c>
    </row>
    <row r="21" spans="2:32">
      <c r="B21" s="125"/>
      <c r="C21" s="126"/>
      <c r="D21" s="127"/>
      <c r="E21" s="128"/>
      <c r="F21" s="129"/>
      <c r="G21" s="130"/>
    </row>
    <row r="22" spans="2:32" s="138" customFormat="1" ht="20.25">
      <c r="B22" s="131" t="s">
        <v>43</v>
      </c>
      <c r="C22" s="132" t="s">
        <v>44</v>
      </c>
      <c r="D22" s="133"/>
      <c r="E22" s="134"/>
      <c r="F22" s="135"/>
      <c r="G22" s="136"/>
      <c r="H22" s="137"/>
    </row>
    <row r="23" spans="2:32" ht="27.75" customHeight="1">
      <c r="B23" s="125">
        <v>1</v>
      </c>
      <c r="C23" s="139" t="s">
        <v>56</v>
      </c>
      <c r="D23" s="140" t="s">
        <v>57</v>
      </c>
      <c r="E23" s="128">
        <v>1351</v>
      </c>
      <c r="F23" s="141">
        <v>0</v>
      </c>
      <c r="G23" s="142">
        <f t="shared" ref="G23" si="0">E23*F23</f>
        <v>0</v>
      </c>
    </row>
    <row r="24" spans="2:32">
      <c r="B24" s="125">
        <v>2</v>
      </c>
      <c r="C24" s="139" t="s">
        <v>58</v>
      </c>
      <c r="D24" s="140" t="s">
        <v>57</v>
      </c>
      <c r="E24" s="128">
        <v>1351</v>
      </c>
      <c r="F24" s="141">
        <v>0</v>
      </c>
      <c r="G24" s="142">
        <f>E24*F24</f>
        <v>0</v>
      </c>
    </row>
    <row r="25" spans="2:32" ht="53.25" customHeight="1">
      <c r="B25" s="125">
        <v>3</v>
      </c>
      <c r="C25" s="139" t="s">
        <v>59</v>
      </c>
      <c r="D25" s="140" t="s">
        <v>60</v>
      </c>
      <c r="E25" s="128">
        <v>1</v>
      </c>
      <c r="F25" s="141">
        <v>0</v>
      </c>
      <c r="G25" s="142">
        <f t="shared" ref="G25:G35" si="1">E25*F25</f>
        <v>0</v>
      </c>
      <c r="H25" s="143"/>
    </row>
    <row r="26" spans="2:32" ht="132">
      <c r="B26" s="125">
        <v>4</v>
      </c>
      <c r="C26" s="144" t="s">
        <v>61</v>
      </c>
      <c r="D26" s="145" t="s">
        <v>60</v>
      </c>
      <c r="E26" s="128">
        <v>1</v>
      </c>
      <c r="F26" s="141">
        <v>0</v>
      </c>
      <c r="G26" s="142">
        <f t="shared" si="1"/>
        <v>0</v>
      </c>
    </row>
    <row r="27" spans="2:32" ht="30.75" customHeight="1">
      <c r="B27" s="125">
        <v>5</v>
      </c>
      <c r="C27" s="139" t="s">
        <v>62</v>
      </c>
      <c r="D27" s="146" t="s">
        <v>60</v>
      </c>
      <c r="E27" s="128">
        <v>1</v>
      </c>
      <c r="F27" s="141">
        <v>0</v>
      </c>
      <c r="G27" s="142">
        <f t="shared" si="1"/>
        <v>0</v>
      </c>
    </row>
    <row r="28" spans="2:32" ht="27" customHeight="1">
      <c r="B28" s="125">
        <v>6</v>
      </c>
      <c r="C28" s="147" t="s">
        <v>63</v>
      </c>
      <c r="D28" s="140" t="s">
        <v>57</v>
      </c>
      <c r="E28" s="128">
        <v>1351</v>
      </c>
      <c r="F28" s="141">
        <v>0</v>
      </c>
      <c r="G28" s="142">
        <f t="shared" si="1"/>
        <v>0</v>
      </c>
    </row>
    <row r="29" spans="2:32" ht="52.5" customHeight="1">
      <c r="B29" s="125">
        <v>7</v>
      </c>
      <c r="C29" s="147" t="s">
        <v>64</v>
      </c>
      <c r="D29" s="146" t="s">
        <v>60</v>
      </c>
      <c r="E29" s="128">
        <v>1</v>
      </c>
      <c r="F29" s="141">
        <v>0</v>
      </c>
      <c r="G29" s="142">
        <f t="shared" si="1"/>
        <v>0</v>
      </c>
    </row>
    <row r="30" spans="2:32" ht="48">
      <c r="B30" s="125">
        <v>8</v>
      </c>
      <c r="C30" s="1080" t="s">
        <v>2292</v>
      </c>
      <c r="D30" s="146" t="s">
        <v>66</v>
      </c>
      <c r="E30" s="128">
        <v>29</v>
      </c>
      <c r="F30" s="141">
        <v>0</v>
      </c>
      <c r="G30" s="142">
        <f t="shared" si="1"/>
        <v>0</v>
      </c>
    </row>
    <row r="31" spans="2:32" ht="37.5" customHeight="1">
      <c r="B31" s="125">
        <v>9</v>
      </c>
      <c r="C31" s="1080" t="s">
        <v>2294</v>
      </c>
      <c r="D31" s="146" t="s">
        <v>57</v>
      </c>
      <c r="E31" s="128">
        <v>1434</v>
      </c>
      <c r="F31" s="141">
        <v>0</v>
      </c>
      <c r="G31" s="142">
        <f t="shared" si="1"/>
        <v>0</v>
      </c>
      <c r="H31" s="143"/>
    </row>
    <row r="32" spans="2:32" ht="27.75" customHeight="1">
      <c r="B32" s="125">
        <v>10</v>
      </c>
      <c r="C32" s="1080" t="s">
        <v>2293</v>
      </c>
      <c r="D32" s="146" t="s">
        <v>57</v>
      </c>
      <c r="E32" s="128">
        <v>1434</v>
      </c>
      <c r="F32" s="141">
        <v>0</v>
      </c>
      <c r="G32" s="142">
        <f t="shared" si="1"/>
        <v>0</v>
      </c>
    </row>
    <row r="33" spans="2:23" ht="14.25" customHeight="1">
      <c r="B33" s="125">
        <v>11</v>
      </c>
      <c r="C33" s="147" t="s">
        <v>67</v>
      </c>
      <c r="D33" s="146" t="s">
        <v>60</v>
      </c>
      <c r="E33" s="128">
        <v>1</v>
      </c>
      <c r="F33" s="141">
        <v>0</v>
      </c>
      <c r="G33" s="142">
        <f t="shared" si="1"/>
        <v>0</v>
      </c>
    </row>
    <row r="34" spans="2:23"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row>
    <row r="35" spans="2:23" ht="38.25" customHeight="1">
      <c r="B35" s="125">
        <v>13</v>
      </c>
      <c r="C35" s="150" t="s">
        <v>69</v>
      </c>
      <c r="D35" s="146" t="s">
        <v>60</v>
      </c>
      <c r="E35" s="149">
        <v>4</v>
      </c>
      <c r="F35" s="141">
        <v>0</v>
      </c>
      <c r="G35" s="142">
        <f t="shared" si="1"/>
        <v>0</v>
      </c>
      <c r="I35" s="8"/>
      <c r="J35" s="8"/>
      <c r="K35" s="8"/>
      <c r="L35" s="8"/>
      <c r="M35" s="8"/>
      <c r="N35" s="8"/>
      <c r="O35" s="8"/>
      <c r="P35" s="8"/>
      <c r="Q35" s="8"/>
      <c r="R35" s="8"/>
      <c r="S35" s="8"/>
      <c r="T35" s="8"/>
      <c r="U35" s="8"/>
      <c r="V35" s="8"/>
      <c r="W35" s="8"/>
    </row>
    <row r="36" spans="2:23">
      <c r="B36" s="151" t="s">
        <v>43</v>
      </c>
      <c r="C36" s="152" t="s">
        <v>70</v>
      </c>
      <c r="D36" s="153"/>
      <c r="E36" s="154"/>
      <c r="F36" s="155"/>
      <c r="G36" s="156">
        <f>SUM(G23:G35)</f>
        <v>0</v>
      </c>
      <c r="I36" s="8"/>
      <c r="J36" s="8"/>
      <c r="K36" s="8"/>
      <c r="L36" s="8"/>
      <c r="M36" s="8"/>
      <c r="N36" s="8"/>
      <c r="O36" s="8"/>
      <c r="P36" s="8"/>
      <c r="Q36" s="8"/>
      <c r="R36" s="8"/>
      <c r="S36" s="8"/>
      <c r="T36" s="8"/>
      <c r="U36" s="8"/>
      <c r="V36" s="8"/>
      <c r="W36" s="8"/>
    </row>
    <row r="37" spans="2:23">
      <c r="B37" s="125"/>
      <c r="C37" s="126"/>
      <c r="D37" s="127"/>
      <c r="E37" s="128"/>
      <c r="F37" s="129"/>
      <c r="G37" s="130"/>
      <c r="I37" s="8"/>
      <c r="J37" s="8"/>
      <c r="K37" s="8"/>
      <c r="L37" s="8"/>
      <c r="M37" s="8"/>
      <c r="N37" s="8"/>
      <c r="O37" s="8"/>
      <c r="P37" s="8"/>
      <c r="Q37" s="8"/>
      <c r="R37" s="8"/>
      <c r="S37" s="8"/>
      <c r="T37" s="8"/>
      <c r="U37" s="8"/>
      <c r="V37" s="8"/>
      <c r="W37" s="8"/>
    </row>
    <row r="38" spans="2:23"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row>
    <row r="39" spans="2:23">
      <c r="B39" s="125"/>
      <c r="C39" s="163"/>
      <c r="D39" s="140"/>
      <c r="E39" s="128"/>
      <c r="F39" s="129"/>
      <c r="G39" s="130"/>
      <c r="I39" s="8"/>
      <c r="J39" s="8"/>
      <c r="K39" s="8"/>
      <c r="L39" s="8"/>
      <c r="M39" s="8"/>
      <c r="N39" s="8"/>
      <c r="O39" s="8"/>
      <c r="P39" s="8"/>
      <c r="Q39" s="8"/>
      <c r="R39" s="8"/>
      <c r="S39" s="8"/>
      <c r="T39" s="8"/>
      <c r="U39" s="8"/>
      <c r="V39" s="8"/>
      <c r="W39" s="8"/>
    </row>
    <row r="40" spans="2:23" s="138" customFormat="1" ht="20.25">
      <c r="B40" s="131" t="s">
        <v>45</v>
      </c>
      <c r="C40" s="164" t="s">
        <v>71</v>
      </c>
      <c r="D40" s="165"/>
      <c r="E40" s="134"/>
      <c r="F40" s="135"/>
      <c r="G40" s="136"/>
      <c r="H40" s="8"/>
      <c r="I40" s="8"/>
      <c r="J40" s="8"/>
      <c r="K40" s="8"/>
      <c r="L40" s="8"/>
      <c r="M40" s="8"/>
      <c r="N40" s="8"/>
      <c r="O40" s="8"/>
      <c r="P40" s="8"/>
      <c r="Q40" s="8"/>
      <c r="R40" s="8"/>
      <c r="S40" s="8"/>
      <c r="T40" s="8"/>
      <c r="U40" s="8"/>
      <c r="V40" s="8"/>
      <c r="W40" s="8"/>
    </row>
    <row r="41" spans="2:23" s="166" customFormat="1" ht="71.25" customHeight="1">
      <c r="B41" s="2411" t="s">
        <v>72</v>
      </c>
      <c r="C41" s="2411"/>
      <c r="D41" s="2411"/>
      <c r="E41" s="2411"/>
      <c r="F41" s="2411"/>
      <c r="G41" s="2411"/>
      <c r="H41" s="8"/>
      <c r="I41" s="8"/>
      <c r="J41" s="8"/>
      <c r="K41" s="8"/>
      <c r="L41" s="8"/>
      <c r="M41" s="8"/>
      <c r="N41" s="8"/>
      <c r="O41" s="8"/>
      <c r="P41" s="8"/>
      <c r="Q41" s="8"/>
      <c r="R41" s="8"/>
      <c r="S41" s="8"/>
      <c r="T41" s="8"/>
      <c r="U41" s="8"/>
      <c r="V41" s="8"/>
      <c r="W41" s="8"/>
    </row>
    <row r="42" spans="2:23" ht="24">
      <c r="B42" s="167">
        <v>1</v>
      </c>
      <c r="C42" s="139" t="s">
        <v>73</v>
      </c>
      <c r="D42" s="140" t="s">
        <v>74</v>
      </c>
      <c r="E42" s="128">
        <v>48</v>
      </c>
      <c r="F42" s="141">
        <v>0</v>
      </c>
      <c r="G42" s="142">
        <f t="shared" ref="G42:G67" si="2">E42*F42</f>
        <v>0</v>
      </c>
      <c r="I42" s="8"/>
      <c r="J42" s="8"/>
      <c r="K42" s="8"/>
      <c r="L42" s="8"/>
      <c r="M42" s="8"/>
      <c r="N42" s="8"/>
      <c r="O42" s="8"/>
      <c r="P42" s="8"/>
      <c r="Q42" s="8"/>
      <c r="R42" s="8"/>
      <c r="S42" s="8"/>
      <c r="T42" s="8"/>
      <c r="U42" s="8"/>
      <c r="V42" s="8"/>
      <c r="W42" s="8"/>
    </row>
    <row r="43" spans="2:23" ht="36">
      <c r="B43" s="167">
        <v>2</v>
      </c>
      <c r="C43" s="139" t="s">
        <v>75</v>
      </c>
      <c r="D43" s="145" t="s">
        <v>74</v>
      </c>
      <c r="E43" s="128">
        <v>32</v>
      </c>
      <c r="F43" s="141">
        <v>0</v>
      </c>
      <c r="G43" s="142">
        <f t="shared" si="2"/>
        <v>0</v>
      </c>
      <c r="I43" s="8"/>
      <c r="J43" s="8"/>
      <c r="K43" s="8"/>
      <c r="L43" s="8"/>
      <c r="M43" s="8"/>
      <c r="N43" s="8"/>
      <c r="O43" s="8"/>
      <c r="P43" s="8"/>
      <c r="Q43" s="8"/>
      <c r="R43" s="8"/>
      <c r="S43" s="8"/>
      <c r="T43" s="8"/>
      <c r="U43" s="8"/>
      <c r="V43" s="8"/>
      <c r="W43" s="8"/>
    </row>
    <row r="44" spans="2:23" ht="39.75" customHeight="1">
      <c r="B44" s="167">
        <v>3</v>
      </c>
      <c r="C44" s="139" t="s">
        <v>76</v>
      </c>
      <c r="D44" s="145" t="s">
        <v>74</v>
      </c>
      <c r="E44" s="128">
        <v>1584</v>
      </c>
      <c r="F44" s="141">
        <v>0</v>
      </c>
      <c r="G44" s="142">
        <f t="shared" si="2"/>
        <v>0</v>
      </c>
      <c r="I44" s="8"/>
      <c r="J44" s="8"/>
      <c r="K44" s="8"/>
      <c r="L44" s="8"/>
      <c r="M44" s="8"/>
      <c r="N44" s="8"/>
      <c r="O44" s="8"/>
      <c r="P44" s="8"/>
      <c r="Q44" s="8"/>
      <c r="R44" s="8"/>
      <c r="S44" s="8"/>
      <c r="T44" s="8"/>
      <c r="U44" s="8"/>
      <c r="V44" s="8"/>
      <c r="W44" s="8"/>
    </row>
    <row r="45" spans="2:23" ht="24">
      <c r="B45" s="167">
        <v>4</v>
      </c>
      <c r="C45" s="168" t="s">
        <v>77</v>
      </c>
      <c r="D45" s="169" t="s">
        <v>78</v>
      </c>
      <c r="E45" s="170">
        <v>4004</v>
      </c>
      <c r="F45" s="141">
        <v>0</v>
      </c>
      <c r="G45" s="142">
        <f t="shared" si="2"/>
        <v>0</v>
      </c>
      <c r="I45" s="8"/>
      <c r="J45" s="8"/>
      <c r="K45" s="8"/>
      <c r="L45" s="8"/>
      <c r="M45" s="8"/>
      <c r="N45" s="8"/>
      <c r="O45" s="8"/>
      <c r="P45" s="8"/>
      <c r="Q45" s="8"/>
      <c r="R45" s="8"/>
      <c r="S45" s="8"/>
      <c r="T45" s="8"/>
      <c r="U45" s="8"/>
      <c r="V45" s="8"/>
      <c r="W45" s="8"/>
    </row>
    <row r="46" spans="2:23" ht="29.25" customHeight="1">
      <c r="B46" s="167">
        <v>5</v>
      </c>
      <c r="C46" s="139" t="s">
        <v>79</v>
      </c>
      <c r="D46" s="145" t="s">
        <v>78</v>
      </c>
      <c r="E46" s="128">
        <v>1191</v>
      </c>
      <c r="F46" s="141">
        <v>0</v>
      </c>
      <c r="G46" s="142">
        <f t="shared" si="2"/>
        <v>0</v>
      </c>
      <c r="I46" s="8"/>
      <c r="J46" s="8"/>
      <c r="K46" s="8"/>
      <c r="L46" s="8"/>
      <c r="M46" s="8"/>
      <c r="N46" s="8"/>
      <c r="O46" s="8"/>
      <c r="P46" s="8"/>
      <c r="Q46" s="8"/>
      <c r="R46" s="8"/>
      <c r="S46" s="8"/>
      <c r="T46" s="8"/>
      <c r="U46" s="8"/>
      <c r="V46" s="8"/>
      <c r="W46" s="8"/>
    </row>
    <row r="47" spans="2:23" ht="27" customHeight="1">
      <c r="B47" s="167">
        <v>6</v>
      </c>
      <c r="C47" s="139" t="s">
        <v>80</v>
      </c>
      <c r="D47" s="145" t="s">
        <v>74</v>
      </c>
      <c r="E47" s="128">
        <v>358</v>
      </c>
      <c r="F47" s="141">
        <v>0</v>
      </c>
      <c r="G47" s="142">
        <f t="shared" si="2"/>
        <v>0</v>
      </c>
      <c r="I47" s="8"/>
      <c r="J47" s="8"/>
      <c r="K47" s="8"/>
      <c r="L47" s="8"/>
      <c r="M47" s="8"/>
      <c r="N47" s="8"/>
      <c r="O47" s="8"/>
      <c r="P47" s="8"/>
      <c r="Q47" s="8"/>
      <c r="R47" s="8"/>
      <c r="S47" s="8"/>
      <c r="T47" s="8"/>
      <c r="U47" s="8"/>
      <c r="V47" s="8"/>
      <c r="W47" s="8"/>
    </row>
    <row r="48" spans="2:23" s="176" customFormat="1" ht="36">
      <c r="B48" s="167">
        <v>7</v>
      </c>
      <c r="C48" s="171" t="s">
        <v>81</v>
      </c>
      <c r="D48" s="172" t="s">
        <v>74</v>
      </c>
      <c r="E48" s="173">
        <v>710</v>
      </c>
      <c r="F48" s="141">
        <v>0</v>
      </c>
      <c r="G48" s="175">
        <f t="shared" si="2"/>
        <v>0</v>
      </c>
      <c r="H48" s="8"/>
      <c r="I48" s="8"/>
      <c r="J48" s="8"/>
      <c r="K48" s="8"/>
      <c r="L48" s="8"/>
      <c r="M48" s="8"/>
      <c r="N48" s="8"/>
      <c r="O48" s="8"/>
      <c r="P48" s="8"/>
      <c r="Q48" s="8"/>
      <c r="R48" s="8"/>
      <c r="S48" s="8"/>
      <c r="T48" s="8"/>
      <c r="U48" s="8"/>
      <c r="V48" s="8"/>
      <c r="W48" s="8"/>
    </row>
    <row r="49" spans="2:23" s="166" customFormat="1" ht="36">
      <c r="B49" s="167">
        <v>8</v>
      </c>
      <c r="C49" s="274" t="s">
        <v>82</v>
      </c>
      <c r="D49" s="275" t="s">
        <v>74</v>
      </c>
      <c r="E49" s="173">
        <v>596</v>
      </c>
      <c r="F49" s="141">
        <v>0</v>
      </c>
      <c r="G49" s="175">
        <f t="shared" si="2"/>
        <v>0</v>
      </c>
      <c r="H49" s="8"/>
      <c r="I49" s="8"/>
      <c r="J49" s="8"/>
      <c r="K49" s="8"/>
      <c r="L49" s="8"/>
      <c r="M49" s="8"/>
      <c r="N49" s="8"/>
      <c r="O49" s="8"/>
      <c r="P49" s="8"/>
      <c r="Q49" s="8"/>
      <c r="R49" s="8"/>
      <c r="S49" s="8"/>
      <c r="T49" s="8"/>
      <c r="U49" s="8"/>
      <c r="V49" s="8"/>
      <c r="W49" s="8"/>
    </row>
    <row r="50" spans="2:23" s="179" customFormat="1" ht="51" customHeight="1">
      <c r="B50" s="2412">
        <v>9</v>
      </c>
      <c r="C50" s="276" t="s">
        <v>83</v>
      </c>
      <c r="D50" s="277"/>
      <c r="E50" s="173"/>
      <c r="F50" s="174"/>
      <c r="G50" s="175"/>
      <c r="H50" s="8"/>
      <c r="I50" s="8"/>
      <c r="J50" s="8"/>
      <c r="K50" s="8"/>
      <c r="L50" s="8"/>
      <c r="M50" s="8"/>
      <c r="N50" s="8"/>
      <c r="O50" s="8"/>
      <c r="P50" s="8"/>
      <c r="Q50" s="8"/>
      <c r="R50" s="8"/>
      <c r="S50" s="8"/>
      <c r="T50" s="8"/>
      <c r="U50" s="8"/>
      <c r="V50" s="8"/>
      <c r="W50" s="8"/>
    </row>
    <row r="51" spans="2:23" s="179" customFormat="1" ht="15" customHeight="1">
      <c r="B51" s="2412"/>
      <c r="C51" s="276" t="s">
        <v>84</v>
      </c>
      <c r="D51" s="277" t="s">
        <v>57</v>
      </c>
      <c r="E51" s="173">
        <v>5</v>
      </c>
      <c r="F51" s="174">
        <v>0</v>
      </c>
      <c r="G51" s="175">
        <f t="shared" ref="G51" si="3">E51*F51</f>
        <v>0</v>
      </c>
      <c r="H51" s="8"/>
      <c r="I51" s="8"/>
      <c r="J51" s="8"/>
      <c r="K51" s="8"/>
      <c r="L51" s="8"/>
      <c r="M51" s="8"/>
      <c r="N51" s="8"/>
      <c r="O51" s="8"/>
      <c r="P51" s="8"/>
      <c r="Q51" s="8"/>
      <c r="R51" s="8"/>
      <c r="S51" s="8"/>
      <c r="T51" s="8"/>
      <c r="U51" s="8"/>
      <c r="V51" s="8"/>
      <c r="W51" s="8"/>
    </row>
    <row r="52" spans="2:23" ht="25.5" customHeight="1">
      <c r="B52" s="167">
        <v>10</v>
      </c>
      <c r="C52" s="171" t="s">
        <v>85</v>
      </c>
      <c r="D52" s="172" t="s">
        <v>57</v>
      </c>
      <c r="E52" s="173">
        <v>2018</v>
      </c>
      <c r="F52" s="174">
        <v>0</v>
      </c>
      <c r="G52" s="175">
        <f t="shared" si="2"/>
        <v>0</v>
      </c>
      <c r="I52" s="8"/>
      <c r="J52" s="8"/>
      <c r="K52" s="8"/>
      <c r="L52" s="8"/>
      <c r="M52" s="8"/>
      <c r="N52" s="8"/>
      <c r="O52" s="8"/>
      <c r="P52" s="8"/>
      <c r="Q52" s="8"/>
      <c r="R52" s="8"/>
      <c r="S52" s="8"/>
      <c r="T52" s="8"/>
      <c r="U52" s="8"/>
      <c r="V52" s="8"/>
      <c r="W52" s="8"/>
    </row>
    <row r="53" spans="2:23" ht="24">
      <c r="B53" s="167">
        <v>11</v>
      </c>
      <c r="C53" s="171" t="s">
        <v>86</v>
      </c>
      <c r="D53" s="277" t="s">
        <v>78</v>
      </c>
      <c r="E53" s="173">
        <v>1665</v>
      </c>
      <c r="F53" s="174">
        <v>0</v>
      </c>
      <c r="G53" s="175">
        <f t="shared" si="2"/>
        <v>0</v>
      </c>
      <c r="I53" s="8"/>
      <c r="J53" s="8"/>
      <c r="K53" s="8"/>
      <c r="L53" s="8"/>
      <c r="M53" s="8"/>
      <c r="N53" s="8"/>
      <c r="O53" s="8"/>
      <c r="P53" s="8"/>
      <c r="Q53" s="8"/>
      <c r="R53" s="8"/>
      <c r="S53" s="8"/>
      <c r="T53" s="8"/>
      <c r="U53" s="8"/>
      <c r="V53" s="8"/>
      <c r="W53" s="8"/>
    </row>
    <row r="54" spans="2:23" ht="49.5" customHeight="1">
      <c r="B54" s="167">
        <v>12</v>
      </c>
      <c r="C54" s="278" t="s">
        <v>87</v>
      </c>
      <c r="D54" s="277" t="s">
        <v>78</v>
      </c>
      <c r="E54" s="173">
        <v>1665</v>
      </c>
      <c r="F54" s="174">
        <v>0</v>
      </c>
      <c r="G54" s="175">
        <f t="shared" si="2"/>
        <v>0</v>
      </c>
      <c r="I54" s="8"/>
      <c r="J54" s="8"/>
      <c r="K54" s="8"/>
      <c r="L54" s="8"/>
      <c r="M54" s="8"/>
      <c r="N54" s="8"/>
      <c r="O54" s="8"/>
      <c r="P54" s="8"/>
      <c r="Q54" s="8"/>
      <c r="R54" s="8"/>
      <c r="S54" s="8"/>
      <c r="T54" s="8"/>
      <c r="U54" s="8"/>
      <c r="V54" s="8"/>
      <c r="W54" s="8"/>
    </row>
    <row r="55" spans="2:23" ht="48">
      <c r="B55" s="167">
        <v>13</v>
      </c>
      <c r="C55" s="171" t="s">
        <v>88</v>
      </c>
      <c r="D55" s="172" t="s">
        <v>78</v>
      </c>
      <c r="E55" s="173">
        <v>1665</v>
      </c>
      <c r="F55" s="174">
        <v>0</v>
      </c>
      <c r="G55" s="175">
        <f t="shared" si="2"/>
        <v>0</v>
      </c>
      <c r="I55" s="8"/>
      <c r="J55" s="8"/>
      <c r="K55" s="8"/>
      <c r="L55" s="8"/>
      <c r="M55" s="8"/>
      <c r="N55" s="8"/>
      <c r="O55" s="8"/>
      <c r="P55" s="8"/>
      <c r="Q55" s="8"/>
      <c r="R55" s="8"/>
      <c r="S55" s="8"/>
      <c r="T55" s="8"/>
      <c r="U55" s="8"/>
      <c r="V55" s="8"/>
      <c r="W55" s="8"/>
    </row>
    <row r="56" spans="2:23" ht="60">
      <c r="B56" s="167">
        <v>14</v>
      </c>
      <c r="C56" s="171" t="s">
        <v>89</v>
      </c>
      <c r="D56" s="172" t="s">
        <v>78</v>
      </c>
      <c r="E56" s="173">
        <v>2331</v>
      </c>
      <c r="F56" s="174">
        <v>0</v>
      </c>
      <c r="G56" s="175">
        <f>E56*F56</f>
        <v>0</v>
      </c>
      <c r="I56" s="8"/>
      <c r="J56" s="8"/>
      <c r="K56" s="8"/>
      <c r="L56" s="8"/>
      <c r="M56" s="8"/>
      <c r="N56" s="8"/>
      <c r="O56" s="8"/>
      <c r="P56" s="8"/>
      <c r="Q56" s="8"/>
      <c r="R56" s="8"/>
      <c r="S56" s="8"/>
      <c r="T56" s="8"/>
      <c r="U56" s="8"/>
      <c r="V56" s="8"/>
      <c r="W56" s="8"/>
    </row>
    <row r="57" spans="2:23" ht="38.25" customHeight="1">
      <c r="B57" s="167">
        <v>15</v>
      </c>
      <c r="C57" s="171" t="s">
        <v>90</v>
      </c>
      <c r="D57" s="277" t="s">
        <v>78</v>
      </c>
      <c r="E57" s="173">
        <v>666</v>
      </c>
      <c r="F57" s="174">
        <v>0</v>
      </c>
      <c r="G57" s="175">
        <f t="shared" si="2"/>
        <v>0</v>
      </c>
      <c r="I57" s="8"/>
      <c r="J57" s="8"/>
      <c r="K57" s="8"/>
      <c r="L57" s="8"/>
      <c r="M57" s="8"/>
      <c r="N57" s="8"/>
      <c r="O57" s="8"/>
      <c r="P57" s="8"/>
      <c r="Q57" s="8"/>
      <c r="R57" s="8"/>
      <c r="S57" s="8"/>
      <c r="T57" s="8"/>
      <c r="U57" s="8"/>
      <c r="V57" s="8"/>
      <c r="W57" s="8"/>
    </row>
    <row r="58" spans="2:23" ht="24">
      <c r="B58" s="167">
        <v>16</v>
      </c>
      <c r="C58" s="171" t="s">
        <v>91</v>
      </c>
      <c r="D58" s="172" t="s">
        <v>74</v>
      </c>
      <c r="E58" s="173">
        <v>48</v>
      </c>
      <c r="F58" s="174">
        <v>0</v>
      </c>
      <c r="G58" s="175">
        <f t="shared" si="2"/>
        <v>0</v>
      </c>
      <c r="I58" s="8"/>
      <c r="J58" s="8"/>
      <c r="K58" s="8"/>
      <c r="L58" s="8"/>
      <c r="M58" s="8"/>
      <c r="N58" s="8"/>
      <c r="O58" s="8"/>
      <c r="P58" s="8"/>
      <c r="Q58" s="8"/>
      <c r="R58" s="8"/>
      <c r="S58" s="8"/>
      <c r="T58" s="8"/>
      <c r="U58" s="8"/>
      <c r="V58" s="8"/>
      <c r="W58" s="8"/>
    </row>
    <row r="59" spans="2:23" s="176" customFormat="1" ht="24">
      <c r="B59" s="167">
        <v>17</v>
      </c>
      <c r="C59" s="171" t="s">
        <v>92</v>
      </c>
      <c r="D59" s="172" t="s">
        <v>74</v>
      </c>
      <c r="E59" s="173">
        <v>1616</v>
      </c>
      <c r="F59" s="174">
        <v>0</v>
      </c>
      <c r="G59" s="175">
        <f t="shared" si="2"/>
        <v>0</v>
      </c>
      <c r="H59" s="8"/>
      <c r="I59" s="8"/>
      <c r="J59" s="8"/>
      <c r="K59" s="8"/>
      <c r="L59" s="8"/>
      <c r="M59" s="8"/>
      <c r="N59" s="8"/>
      <c r="O59" s="8"/>
      <c r="P59" s="8"/>
      <c r="Q59" s="8"/>
      <c r="R59" s="8"/>
      <c r="S59" s="8"/>
      <c r="T59" s="8"/>
      <c r="U59" s="8"/>
      <c r="V59" s="8"/>
      <c r="W59" s="8"/>
    </row>
    <row r="60" spans="2:23" s="176" customFormat="1">
      <c r="B60" s="167">
        <v>18</v>
      </c>
      <c r="C60" s="171" t="s">
        <v>93</v>
      </c>
      <c r="D60" s="172" t="s">
        <v>74</v>
      </c>
      <c r="E60" s="173">
        <v>1616</v>
      </c>
      <c r="F60" s="174">
        <v>0</v>
      </c>
      <c r="G60" s="175">
        <f t="shared" si="2"/>
        <v>0</v>
      </c>
      <c r="H60" s="8"/>
      <c r="I60" s="8"/>
      <c r="J60" s="8"/>
      <c r="K60" s="8"/>
      <c r="L60" s="8"/>
      <c r="M60" s="8"/>
      <c r="N60" s="8"/>
      <c r="O60" s="8"/>
      <c r="P60" s="8"/>
      <c r="Q60" s="8"/>
      <c r="R60" s="8"/>
      <c r="S60" s="8"/>
      <c r="T60" s="8"/>
      <c r="U60" s="8"/>
      <c r="V60" s="8"/>
      <c r="W60" s="8"/>
    </row>
    <row r="61" spans="2:23" ht="24">
      <c r="B61" s="167">
        <v>19</v>
      </c>
      <c r="C61" s="139" t="s">
        <v>94</v>
      </c>
      <c r="D61" s="145" t="s">
        <v>78</v>
      </c>
      <c r="E61" s="128">
        <v>1665</v>
      </c>
      <c r="F61" s="174">
        <v>0</v>
      </c>
      <c r="G61" s="142">
        <f t="shared" si="2"/>
        <v>0</v>
      </c>
      <c r="I61" s="8"/>
      <c r="J61" s="8"/>
      <c r="K61" s="8"/>
      <c r="L61" s="8"/>
      <c r="M61" s="8"/>
      <c r="N61" s="8"/>
      <c r="O61" s="8"/>
      <c r="P61" s="8"/>
      <c r="Q61" s="8"/>
      <c r="R61" s="8"/>
      <c r="S61" s="8"/>
      <c r="T61" s="8"/>
      <c r="U61" s="8"/>
      <c r="V61" s="8"/>
      <c r="W61" s="8"/>
    </row>
    <row r="62" spans="2:23" ht="27" customHeight="1">
      <c r="B62" s="167">
        <v>20</v>
      </c>
      <c r="C62" s="139" t="s">
        <v>95</v>
      </c>
      <c r="D62" s="140" t="s">
        <v>78</v>
      </c>
      <c r="E62" s="128">
        <v>1422</v>
      </c>
      <c r="F62" s="174">
        <v>0</v>
      </c>
      <c r="G62" s="142">
        <f t="shared" si="2"/>
        <v>0</v>
      </c>
      <c r="I62" s="8"/>
      <c r="J62" s="8"/>
      <c r="K62" s="8"/>
      <c r="L62" s="8"/>
      <c r="M62" s="8"/>
      <c r="N62" s="8"/>
      <c r="O62" s="8"/>
      <c r="P62" s="8"/>
      <c r="Q62" s="8"/>
      <c r="R62" s="8"/>
      <c r="S62" s="8"/>
      <c r="T62" s="8"/>
      <c r="U62" s="8"/>
      <c r="V62" s="8"/>
      <c r="W62" s="8"/>
    </row>
    <row r="63" spans="2:23" ht="25.5" customHeight="1">
      <c r="B63" s="167">
        <v>21</v>
      </c>
      <c r="C63" s="177" t="s">
        <v>96</v>
      </c>
      <c r="D63" s="140" t="s">
        <v>57</v>
      </c>
      <c r="E63" s="128">
        <v>25</v>
      </c>
      <c r="F63" s="174">
        <v>0</v>
      </c>
      <c r="G63" s="142">
        <f t="shared" si="2"/>
        <v>0</v>
      </c>
      <c r="I63" s="8"/>
      <c r="J63" s="8"/>
      <c r="K63" s="8"/>
      <c r="L63" s="8"/>
      <c r="M63" s="8"/>
      <c r="N63" s="8"/>
      <c r="O63" s="8"/>
      <c r="P63" s="8"/>
      <c r="Q63" s="8"/>
      <c r="R63" s="8"/>
      <c r="S63" s="8"/>
      <c r="T63" s="8"/>
      <c r="U63" s="8"/>
      <c r="V63" s="8"/>
      <c r="W63" s="8"/>
    </row>
    <row r="64" spans="2:23" ht="29.25" customHeight="1">
      <c r="B64" s="167">
        <v>22</v>
      </c>
      <c r="C64" s="181" t="s">
        <v>97</v>
      </c>
      <c r="D64" s="182" t="s">
        <v>74</v>
      </c>
      <c r="E64" s="183">
        <v>5</v>
      </c>
      <c r="F64" s="174">
        <v>0</v>
      </c>
      <c r="G64" s="142">
        <f t="shared" si="2"/>
        <v>0</v>
      </c>
      <c r="I64" s="8"/>
      <c r="J64" s="8"/>
      <c r="K64" s="8"/>
      <c r="L64" s="8"/>
      <c r="M64" s="8"/>
      <c r="N64" s="8"/>
      <c r="O64" s="8"/>
      <c r="P64" s="8"/>
      <c r="Q64" s="8"/>
      <c r="R64" s="8"/>
      <c r="S64" s="8"/>
      <c r="T64" s="8"/>
      <c r="U64" s="8"/>
      <c r="V64" s="8"/>
      <c r="W64" s="8"/>
    </row>
    <row r="65" spans="1:23" ht="30" customHeight="1">
      <c r="B65" s="167">
        <v>23</v>
      </c>
      <c r="C65" s="184" t="s">
        <v>98</v>
      </c>
      <c r="D65" s="182" t="s">
        <v>66</v>
      </c>
      <c r="E65" s="128">
        <v>43</v>
      </c>
      <c r="F65" s="174">
        <v>0</v>
      </c>
      <c r="G65" s="142">
        <f t="shared" si="2"/>
        <v>0</v>
      </c>
      <c r="I65" s="8"/>
      <c r="J65" s="8"/>
      <c r="K65" s="8"/>
      <c r="L65" s="8"/>
      <c r="M65" s="8"/>
      <c r="N65" s="8"/>
      <c r="O65" s="8"/>
      <c r="P65" s="8"/>
      <c r="Q65" s="8"/>
      <c r="R65" s="8"/>
      <c r="S65" s="8"/>
      <c r="T65" s="8"/>
      <c r="U65" s="8"/>
      <c r="V65" s="8"/>
      <c r="W65" s="8"/>
    </row>
    <row r="66" spans="1:23" ht="30" customHeight="1">
      <c r="B66" s="167">
        <v>24</v>
      </c>
      <c r="C66" s="184" t="s">
        <v>99</v>
      </c>
      <c r="D66" s="182" t="s">
        <v>74</v>
      </c>
      <c r="E66" s="183">
        <v>4</v>
      </c>
      <c r="F66" s="174">
        <v>0</v>
      </c>
      <c r="G66" s="142">
        <f t="shared" si="2"/>
        <v>0</v>
      </c>
      <c r="I66" s="8"/>
      <c r="J66" s="8"/>
      <c r="K66" s="8"/>
      <c r="L66" s="8"/>
      <c r="M66" s="8"/>
      <c r="N66" s="8"/>
      <c r="O66" s="8"/>
      <c r="P66" s="8"/>
      <c r="Q66" s="8"/>
      <c r="R66" s="8"/>
      <c r="S66" s="8"/>
      <c r="T66" s="8"/>
      <c r="U66" s="8"/>
      <c r="V66" s="8"/>
      <c r="W66" s="8"/>
    </row>
    <row r="67" spans="1:23" ht="24">
      <c r="B67" s="167">
        <v>25</v>
      </c>
      <c r="C67" s="184" t="s">
        <v>100</v>
      </c>
      <c r="D67" s="182" t="s">
        <v>65</v>
      </c>
      <c r="E67" s="183">
        <v>155</v>
      </c>
      <c r="F67" s="174">
        <v>0</v>
      </c>
      <c r="G67" s="142">
        <f t="shared" si="2"/>
        <v>0</v>
      </c>
      <c r="I67" s="8"/>
      <c r="J67" s="8"/>
      <c r="K67" s="8"/>
      <c r="L67" s="8"/>
      <c r="M67" s="8"/>
      <c r="N67" s="8"/>
      <c r="O67" s="8"/>
      <c r="P67" s="8"/>
      <c r="Q67" s="8"/>
      <c r="R67" s="8"/>
      <c r="S67" s="8"/>
      <c r="T67" s="8"/>
      <c r="U67" s="8"/>
      <c r="V67" s="8"/>
      <c r="W67" s="8"/>
    </row>
    <row r="68" spans="1:23">
      <c r="B68" s="151" t="s">
        <v>45</v>
      </c>
      <c r="C68" s="152" t="s">
        <v>101</v>
      </c>
      <c r="D68" s="185"/>
      <c r="E68" s="154"/>
      <c r="F68" s="155"/>
      <c r="G68" s="156">
        <f>SUM(G42:G67)</f>
        <v>0</v>
      </c>
      <c r="I68" s="8"/>
      <c r="J68" s="8"/>
      <c r="K68" s="8"/>
      <c r="L68" s="8"/>
      <c r="M68" s="8"/>
      <c r="N68" s="8"/>
      <c r="O68" s="8"/>
      <c r="P68" s="8"/>
      <c r="Q68" s="8"/>
      <c r="R68" s="8"/>
      <c r="S68" s="8"/>
      <c r="T68" s="8"/>
      <c r="U68" s="8"/>
      <c r="V68" s="8"/>
      <c r="W68" s="8"/>
    </row>
    <row r="69" spans="1:23">
      <c r="B69" s="125"/>
      <c r="C69" s="126"/>
      <c r="D69" s="127"/>
      <c r="E69" s="128"/>
      <c r="F69" s="129"/>
      <c r="G69" s="130"/>
      <c r="I69" s="8"/>
      <c r="J69" s="8"/>
      <c r="K69" s="8"/>
      <c r="L69" s="8"/>
      <c r="M69" s="8"/>
      <c r="N69" s="8"/>
      <c r="O69" s="8"/>
      <c r="P69" s="8"/>
      <c r="Q69" s="8"/>
      <c r="R69" s="8"/>
      <c r="S69" s="8"/>
      <c r="T69" s="8"/>
      <c r="U69" s="8"/>
      <c r="V69" s="8"/>
      <c r="W69" s="8"/>
    </row>
    <row r="70" spans="1:23"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row>
    <row r="71" spans="1:23">
      <c r="B71" s="125"/>
      <c r="C71" s="126"/>
      <c r="D71" s="140"/>
      <c r="E71" s="128"/>
      <c r="F71" s="129"/>
      <c r="G71" s="130"/>
      <c r="I71" s="8"/>
      <c r="J71" s="8"/>
      <c r="K71" s="8"/>
      <c r="L71" s="8"/>
      <c r="M71" s="8"/>
      <c r="N71" s="8"/>
      <c r="O71" s="8"/>
      <c r="P71" s="8"/>
      <c r="Q71" s="8"/>
      <c r="R71" s="8"/>
      <c r="S71" s="8"/>
      <c r="T71" s="8"/>
      <c r="U71" s="8"/>
      <c r="V71" s="8"/>
      <c r="W71" s="8"/>
    </row>
    <row r="72" spans="1:23"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row>
    <row r="73" spans="1:23" s="14" customFormat="1" ht="18" customHeight="1">
      <c r="A73" s="9"/>
      <c r="B73" s="281" t="s">
        <v>38</v>
      </c>
      <c r="C73" s="282"/>
      <c r="D73" s="283"/>
      <c r="E73" s="283"/>
      <c r="F73" s="283"/>
      <c r="G73" s="283"/>
      <c r="H73" s="8"/>
      <c r="I73" s="8"/>
      <c r="J73" s="8"/>
      <c r="K73" s="8"/>
      <c r="L73" s="8"/>
      <c r="M73" s="8"/>
      <c r="N73" s="8"/>
      <c r="O73" s="8"/>
      <c r="P73" s="8"/>
      <c r="Q73" s="8"/>
      <c r="R73" s="8"/>
      <c r="S73" s="8"/>
      <c r="T73" s="8"/>
      <c r="U73" s="8"/>
      <c r="V73" s="8"/>
      <c r="W73" s="8"/>
    </row>
    <row r="74" spans="1:23" s="14" customFormat="1" ht="18" customHeight="1">
      <c r="A74" s="15"/>
      <c r="B74" s="284" t="s">
        <v>39</v>
      </c>
      <c r="C74" s="282"/>
      <c r="D74" s="283"/>
      <c r="E74" s="283"/>
      <c r="F74" s="283"/>
      <c r="G74" s="283"/>
      <c r="H74" s="8"/>
      <c r="I74" s="8"/>
      <c r="J74" s="8"/>
      <c r="K74" s="8"/>
      <c r="L74" s="8"/>
      <c r="M74" s="8"/>
      <c r="N74" s="8"/>
      <c r="O74" s="8"/>
      <c r="P74" s="8"/>
      <c r="Q74" s="8"/>
      <c r="R74" s="8"/>
      <c r="S74" s="8"/>
      <c r="T74" s="8"/>
      <c r="U74" s="8"/>
      <c r="V74" s="8"/>
      <c r="W74" s="8"/>
    </row>
    <row r="75" spans="1:23" s="14" customFormat="1" ht="18" customHeight="1">
      <c r="A75" s="9"/>
      <c r="B75" s="281" t="s">
        <v>4</v>
      </c>
      <c r="C75" s="282"/>
      <c r="D75" s="283"/>
      <c r="E75" s="283"/>
      <c r="F75" s="283"/>
      <c r="G75" s="283"/>
      <c r="H75" s="8"/>
      <c r="I75" s="8"/>
      <c r="J75" s="8"/>
      <c r="K75" s="8"/>
      <c r="L75" s="8"/>
      <c r="M75" s="8"/>
      <c r="N75" s="8"/>
      <c r="O75" s="8"/>
      <c r="P75" s="8"/>
      <c r="Q75" s="8"/>
      <c r="R75" s="8"/>
      <c r="S75" s="8"/>
      <c r="T75" s="8"/>
      <c r="U75" s="8"/>
      <c r="V75" s="8"/>
      <c r="W75" s="8"/>
    </row>
    <row r="76" spans="1:23" s="14" customFormat="1" ht="18" customHeight="1">
      <c r="A76" s="15"/>
      <c r="B76" s="284" t="s">
        <v>5</v>
      </c>
      <c r="C76" s="282"/>
      <c r="D76" s="283"/>
      <c r="E76" s="283"/>
      <c r="F76" s="283"/>
      <c r="G76" s="283"/>
      <c r="H76" s="8"/>
      <c r="I76" s="8"/>
      <c r="J76" s="8"/>
      <c r="K76" s="8"/>
      <c r="L76" s="8"/>
      <c r="M76" s="8"/>
      <c r="N76" s="8"/>
      <c r="O76" s="8"/>
      <c r="P76" s="8"/>
      <c r="Q76" s="8"/>
      <c r="R76" s="8"/>
      <c r="S76" s="8"/>
      <c r="T76" s="8"/>
      <c r="U76" s="8"/>
      <c r="V76" s="8"/>
      <c r="W76" s="8"/>
    </row>
    <row r="77" spans="1:23" s="166" customFormat="1" ht="30" customHeight="1">
      <c r="B77" s="2411" t="s">
        <v>103</v>
      </c>
      <c r="C77" s="2411"/>
      <c r="D77" s="2411"/>
      <c r="E77" s="2411"/>
      <c r="F77" s="2411"/>
      <c r="G77" s="2411"/>
      <c r="H77" s="8"/>
      <c r="I77" s="8"/>
      <c r="J77" s="8"/>
      <c r="K77" s="8"/>
      <c r="L77" s="8"/>
      <c r="M77" s="8"/>
      <c r="N77" s="8"/>
      <c r="O77" s="8"/>
      <c r="P77" s="8"/>
      <c r="Q77" s="8"/>
      <c r="R77" s="8"/>
      <c r="S77" s="8"/>
      <c r="T77" s="8"/>
      <c r="U77" s="8"/>
      <c r="V77" s="8"/>
      <c r="W77" s="8"/>
    </row>
    <row r="78" spans="1:23" s="166" customFormat="1" ht="18.75" customHeight="1">
      <c r="B78" s="2411" t="s">
        <v>104</v>
      </c>
      <c r="C78" s="2411"/>
      <c r="D78" s="2411"/>
      <c r="E78" s="2411"/>
      <c r="F78" s="2411"/>
      <c r="G78" s="2411"/>
      <c r="H78" s="8"/>
      <c r="I78" s="8"/>
      <c r="J78" s="8"/>
      <c r="K78" s="8"/>
      <c r="L78" s="8"/>
      <c r="M78" s="8"/>
      <c r="N78" s="8"/>
      <c r="O78" s="8"/>
      <c r="P78" s="8"/>
      <c r="Q78" s="8"/>
      <c r="R78" s="8"/>
      <c r="S78" s="8"/>
      <c r="T78" s="8"/>
      <c r="U78" s="8"/>
      <c r="V78" s="8"/>
      <c r="W78" s="8"/>
    </row>
    <row r="79" spans="1:23" s="166" customFormat="1" ht="18.75" customHeight="1">
      <c r="B79" s="2411" t="s">
        <v>105</v>
      </c>
      <c r="C79" s="2411"/>
      <c r="D79" s="2411"/>
      <c r="E79" s="2411"/>
      <c r="F79" s="2411"/>
      <c r="G79" s="2411"/>
      <c r="H79" s="8"/>
      <c r="I79" s="8"/>
      <c r="J79" s="8"/>
      <c r="K79" s="8"/>
      <c r="L79" s="8"/>
      <c r="M79" s="8"/>
      <c r="N79" s="8"/>
      <c r="O79" s="8"/>
      <c r="P79" s="8"/>
      <c r="Q79" s="8"/>
      <c r="R79" s="8"/>
      <c r="S79" s="8"/>
      <c r="T79" s="8"/>
      <c r="U79" s="8"/>
      <c r="V79" s="8"/>
      <c r="W79" s="8"/>
    </row>
    <row r="80" spans="1:23" ht="30" customHeight="1">
      <c r="B80" s="188">
        <v>1</v>
      </c>
      <c r="C80" s="189" t="s">
        <v>106</v>
      </c>
      <c r="D80" s="190"/>
      <c r="E80" s="128"/>
      <c r="F80" s="129"/>
      <c r="G80" s="130"/>
      <c r="I80" s="8"/>
      <c r="J80" s="8"/>
      <c r="K80" s="8"/>
      <c r="L80" s="8"/>
      <c r="M80" s="8"/>
      <c r="N80" s="8"/>
      <c r="O80" s="8"/>
      <c r="P80" s="8"/>
      <c r="Q80" s="8"/>
      <c r="R80" s="8"/>
      <c r="S80" s="8"/>
      <c r="T80" s="8"/>
      <c r="U80" s="8"/>
      <c r="V80" s="8"/>
      <c r="W80" s="8"/>
    </row>
    <row r="81" spans="2:23" s="179" customFormat="1" ht="18.75" customHeight="1">
      <c r="B81" s="191"/>
      <c r="C81" s="192" t="s">
        <v>107</v>
      </c>
      <c r="D81" s="190" t="s">
        <v>57</v>
      </c>
      <c r="E81" s="128">
        <v>854</v>
      </c>
      <c r="F81" s="141">
        <v>0</v>
      </c>
      <c r="G81" s="142">
        <f t="shared" ref="G81:G86" si="4">E81*F81</f>
        <v>0</v>
      </c>
      <c r="H81" s="8"/>
      <c r="I81" s="8"/>
      <c r="J81" s="8"/>
      <c r="K81" s="8"/>
      <c r="L81" s="8"/>
      <c r="M81" s="8"/>
      <c r="N81" s="8"/>
      <c r="O81" s="8"/>
      <c r="P81" s="8"/>
      <c r="Q81" s="8"/>
      <c r="R81" s="8"/>
      <c r="S81" s="8"/>
      <c r="T81" s="8"/>
      <c r="U81" s="8"/>
      <c r="V81" s="8"/>
      <c r="W81" s="8"/>
    </row>
    <row r="82" spans="2:23" s="179" customFormat="1" ht="24.75" customHeight="1">
      <c r="B82" s="191"/>
      <c r="C82" s="192" t="s">
        <v>108</v>
      </c>
      <c r="D82" s="190" t="s">
        <v>57</v>
      </c>
      <c r="E82" s="128">
        <v>95</v>
      </c>
      <c r="F82" s="141">
        <v>0</v>
      </c>
      <c r="G82" s="142">
        <f t="shared" si="4"/>
        <v>0</v>
      </c>
      <c r="H82" s="8"/>
      <c r="I82" s="8"/>
      <c r="J82" s="8"/>
      <c r="K82" s="8"/>
      <c r="L82" s="8"/>
      <c r="M82" s="8"/>
      <c r="N82" s="8"/>
      <c r="O82" s="8"/>
      <c r="P82" s="8"/>
      <c r="Q82" s="8"/>
      <c r="R82" s="8"/>
      <c r="S82" s="8"/>
      <c r="T82" s="8"/>
      <c r="U82" s="8"/>
      <c r="V82" s="8"/>
      <c r="W82" s="8"/>
    </row>
    <row r="83" spans="2:23" s="179" customFormat="1" ht="18.75" customHeight="1">
      <c r="B83" s="191"/>
      <c r="C83" s="192" t="s">
        <v>226</v>
      </c>
      <c r="D83" s="190" t="s">
        <v>57</v>
      </c>
      <c r="E83" s="128">
        <v>361</v>
      </c>
      <c r="F83" s="141">
        <v>0</v>
      </c>
      <c r="G83" s="142">
        <f t="shared" si="4"/>
        <v>0</v>
      </c>
      <c r="H83" s="8"/>
      <c r="I83" s="8"/>
      <c r="J83" s="8"/>
      <c r="K83" s="8"/>
      <c r="L83" s="8"/>
      <c r="M83" s="8"/>
      <c r="N83" s="8"/>
      <c r="O83" s="8"/>
      <c r="P83" s="8"/>
      <c r="Q83" s="8"/>
      <c r="R83" s="8"/>
      <c r="S83" s="8"/>
      <c r="T83" s="8"/>
      <c r="U83" s="8"/>
      <c r="V83" s="8"/>
      <c r="W83" s="8"/>
    </row>
    <row r="84" spans="2:23" s="179" customFormat="1" ht="27.75" customHeight="1">
      <c r="B84" s="191"/>
      <c r="C84" s="192" t="s">
        <v>227</v>
      </c>
      <c r="D84" s="190" t="s">
        <v>57</v>
      </c>
      <c r="E84" s="128">
        <v>41</v>
      </c>
      <c r="F84" s="141">
        <v>0</v>
      </c>
      <c r="G84" s="142">
        <f t="shared" si="4"/>
        <v>0</v>
      </c>
      <c r="H84" s="8"/>
      <c r="I84" s="8"/>
      <c r="J84" s="8"/>
      <c r="K84" s="8"/>
      <c r="L84" s="8"/>
      <c r="M84" s="8"/>
      <c r="N84" s="8"/>
      <c r="O84" s="8"/>
      <c r="P84" s="8"/>
      <c r="Q84" s="8"/>
      <c r="R84" s="8"/>
      <c r="S84" s="8"/>
      <c r="T84" s="8"/>
      <c r="U84" s="8"/>
      <c r="V84" s="8"/>
      <c r="W84" s="8"/>
    </row>
    <row r="85" spans="2:23" s="179" customFormat="1" ht="19.5" customHeight="1">
      <c r="B85" s="191"/>
      <c r="C85" s="192" t="s">
        <v>109</v>
      </c>
      <c r="D85" s="190" t="s">
        <v>57</v>
      </c>
      <c r="E85" s="128">
        <v>74</v>
      </c>
      <c r="F85" s="141">
        <v>0</v>
      </c>
      <c r="G85" s="142">
        <f t="shared" si="4"/>
        <v>0</v>
      </c>
      <c r="H85" s="8"/>
      <c r="I85" s="8"/>
      <c r="J85" s="8"/>
      <c r="K85" s="8"/>
      <c r="L85" s="8"/>
      <c r="M85" s="8"/>
      <c r="N85" s="8"/>
      <c r="O85" s="8"/>
      <c r="P85" s="8"/>
      <c r="Q85" s="8"/>
      <c r="R85" s="8"/>
      <c r="S85" s="8"/>
      <c r="T85" s="8"/>
      <c r="U85" s="8"/>
      <c r="V85" s="8"/>
      <c r="W85" s="8"/>
    </row>
    <row r="86" spans="2:23" s="179" customFormat="1" ht="27.75" customHeight="1">
      <c r="B86" s="191"/>
      <c r="C86" s="192" t="s">
        <v>110</v>
      </c>
      <c r="D86" s="190" t="s">
        <v>57</v>
      </c>
      <c r="E86" s="128">
        <v>9</v>
      </c>
      <c r="F86" s="141">
        <v>0</v>
      </c>
      <c r="G86" s="142">
        <f t="shared" si="4"/>
        <v>0</v>
      </c>
      <c r="H86" s="8"/>
      <c r="I86" s="8"/>
      <c r="J86" s="8"/>
      <c r="K86" s="8"/>
      <c r="L86" s="8"/>
      <c r="M86" s="8"/>
      <c r="N86" s="8"/>
      <c r="O86" s="8"/>
      <c r="P86" s="8"/>
      <c r="Q86" s="8"/>
      <c r="R86" s="8"/>
      <c r="S86" s="8"/>
      <c r="T86" s="8"/>
      <c r="U86" s="8"/>
      <c r="V86" s="8"/>
      <c r="W86" s="8"/>
    </row>
    <row r="87" spans="2:23" ht="36">
      <c r="B87" s="2410" t="s">
        <v>111</v>
      </c>
      <c r="C87" s="193" t="s">
        <v>112</v>
      </c>
      <c r="D87" s="194"/>
      <c r="E87" s="128"/>
      <c r="F87" s="141"/>
      <c r="G87" s="142"/>
      <c r="I87" s="8"/>
      <c r="J87" s="8"/>
      <c r="K87" s="8"/>
      <c r="L87" s="8"/>
      <c r="M87" s="8"/>
      <c r="N87" s="8"/>
      <c r="O87" s="8"/>
      <c r="P87" s="8"/>
      <c r="Q87" s="8"/>
      <c r="R87" s="8"/>
      <c r="S87" s="8"/>
      <c r="T87" s="8"/>
      <c r="U87" s="8"/>
      <c r="V87" s="8"/>
      <c r="W87" s="8"/>
    </row>
    <row r="88" spans="2:23">
      <c r="B88" s="2410"/>
      <c r="C88" s="195" t="s">
        <v>113</v>
      </c>
      <c r="D88" s="194" t="s">
        <v>57</v>
      </c>
      <c r="E88" s="128">
        <v>1351</v>
      </c>
      <c r="F88" s="141">
        <v>0</v>
      </c>
      <c r="G88" s="142">
        <f t="shared" ref="G88:G92" si="5">E88*F88</f>
        <v>0</v>
      </c>
      <c r="I88" s="8"/>
      <c r="J88" s="8"/>
      <c r="K88" s="8"/>
      <c r="L88" s="8"/>
      <c r="M88" s="8"/>
      <c r="N88" s="8"/>
      <c r="O88" s="8"/>
      <c r="P88" s="8"/>
      <c r="Q88" s="8"/>
      <c r="R88" s="8"/>
      <c r="S88" s="8"/>
      <c r="T88" s="8"/>
      <c r="U88" s="8"/>
      <c r="V88" s="8"/>
      <c r="W88" s="8"/>
    </row>
    <row r="89" spans="2:23" ht="36">
      <c r="B89" s="196">
        <v>2</v>
      </c>
      <c r="C89" s="197" t="s">
        <v>114</v>
      </c>
      <c r="D89" s="145" t="s">
        <v>57</v>
      </c>
      <c r="E89" s="128">
        <v>1434</v>
      </c>
      <c r="F89" s="141">
        <v>0</v>
      </c>
      <c r="G89" s="142">
        <f t="shared" si="5"/>
        <v>0</v>
      </c>
      <c r="I89" s="8"/>
      <c r="J89" s="8"/>
      <c r="K89" s="8"/>
      <c r="L89" s="8"/>
      <c r="M89" s="8"/>
      <c r="N89" s="8"/>
      <c r="O89" s="8"/>
      <c r="P89" s="8"/>
      <c r="Q89" s="8"/>
      <c r="R89" s="8"/>
      <c r="S89" s="8"/>
      <c r="T89" s="8"/>
      <c r="U89" s="8"/>
      <c r="V89" s="8"/>
      <c r="W89" s="8"/>
    </row>
    <row r="90" spans="2:23" ht="36">
      <c r="B90" s="199" t="s">
        <v>115</v>
      </c>
      <c r="C90" s="197" t="s">
        <v>116</v>
      </c>
      <c r="D90" s="145" t="s">
        <v>57</v>
      </c>
      <c r="E90" s="128">
        <v>1434</v>
      </c>
      <c r="F90" s="141">
        <v>0</v>
      </c>
      <c r="G90" s="142">
        <f t="shared" si="5"/>
        <v>0</v>
      </c>
      <c r="I90" s="8"/>
      <c r="J90" s="8"/>
      <c r="K90" s="8"/>
      <c r="L90" s="8"/>
      <c r="M90" s="8"/>
      <c r="N90" s="8"/>
      <c r="O90" s="8"/>
      <c r="P90" s="8"/>
      <c r="Q90" s="8"/>
      <c r="R90" s="8"/>
      <c r="S90" s="8"/>
      <c r="T90" s="8"/>
      <c r="U90" s="8"/>
      <c r="V90" s="8"/>
      <c r="W90" s="8"/>
    </row>
    <row r="91" spans="2:23" ht="24">
      <c r="B91" s="199" t="s">
        <v>117</v>
      </c>
      <c r="C91" s="197" t="s">
        <v>118</v>
      </c>
      <c r="D91" s="145" t="s">
        <v>57</v>
      </c>
      <c r="E91" s="128">
        <v>1434</v>
      </c>
      <c r="F91" s="141">
        <v>0</v>
      </c>
      <c r="G91" s="142">
        <f t="shared" si="5"/>
        <v>0</v>
      </c>
      <c r="I91" s="8"/>
      <c r="J91" s="8"/>
      <c r="K91" s="8"/>
      <c r="L91" s="8"/>
      <c r="M91" s="8"/>
      <c r="N91" s="8"/>
      <c r="O91" s="8"/>
      <c r="P91" s="8"/>
      <c r="Q91" s="8"/>
      <c r="R91" s="8"/>
      <c r="S91" s="8"/>
      <c r="T91" s="8"/>
      <c r="U91" s="8"/>
      <c r="V91" s="8"/>
      <c r="W91" s="8"/>
    </row>
    <row r="92" spans="2:23" ht="36">
      <c r="B92" s="199" t="s">
        <v>119</v>
      </c>
      <c r="C92" s="197" t="s">
        <v>120</v>
      </c>
      <c r="D92" s="145" t="s">
        <v>57</v>
      </c>
      <c r="E92" s="198">
        <v>1434</v>
      </c>
      <c r="F92" s="141">
        <v>0</v>
      </c>
      <c r="G92" s="142">
        <f t="shared" si="5"/>
        <v>0</v>
      </c>
      <c r="I92" s="8"/>
      <c r="J92" s="8"/>
      <c r="K92" s="8"/>
      <c r="L92" s="8"/>
      <c r="M92" s="8"/>
      <c r="N92" s="8"/>
      <c r="O92" s="8"/>
      <c r="P92" s="8"/>
      <c r="Q92" s="8"/>
      <c r="R92" s="8"/>
      <c r="S92" s="8"/>
      <c r="T92" s="8"/>
      <c r="U92" s="8"/>
      <c r="V92" s="8"/>
      <c r="W92" s="8"/>
    </row>
    <row r="93" spans="2:23" ht="24">
      <c r="B93" s="188">
        <v>3</v>
      </c>
      <c r="C93" s="200" t="s">
        <v>121</v>
      </c>
      <c r="D93" s="127"/>
      <c r="E93" s="128"/>
      <c r="F93" s="129"/>
      <c r="G93" s="130"/>
      <c r="I93" s="8"/>
      <c r="J93" s="8"/>
      <c r="K93" s="8"/>
      <c r="L93" s="8"/>
      <c r="M93" s="8"/>
      <c r="N93" s="8"/>
      <c r="O93" s="8"/>
      <c r="P93" s="8"/>
      <c r="Q93" s="8"/>
      <c r="R93" s="8"/>
      <c r="S93" s="8"/>
      <c r="T93" s="8"/>
      <c r="U93" s="8"/>
      <c r="V93" s="8"/>
      <c r="W93" s="8"/>
    </row>
    <row r="94" spans="2:23">
      <c r="B94" s="201" t="s">
        <v>122</v>
      </c>
      <c r="C94" s="202" t="s">
        <v>123</v>
      </c>
      <c r="D94" s="203"/>
      <c r="E94" s="204"/>
      <c r="F94" s="205"/>
      <c r="G94" s="206"/>
      <c r="I94" s="8"/>
      <c r="J94" s="8"/>
      <c r="K94" s="8"/>
      <c r="L94" s="8"/>
      <c r="M94" s="8"/>
      <c r="N94" s="8"/>
      <c r="O94" s="8"/>
      <c r="P94" s="8"/>
      <c r="Q94" s="8"/>
      <c r="R94" s="8"/>
      <c r="S94" s="8"/>
      <c r="T94" s="8"/>
      <c r="U94" s="8"/>
      <c r="V94" s="8"/>
      <c r="W94" s="8"/>
    </row>
    <row r="95" spans="2:23">
      <c r="B95" s="125"/>
      <c r="C95" s="202" t="s">
        <v>124</v>
      </c>
      <c r="D95" s="203"/>
      <c r="E95" s="204"/>
      <c r="F95" s="205"/>
      <c r="G95" s="206"/>
      <c r="I95" s="8"/>
      <c r="J95" s="8"/>
      <c r="K95" s="8"/>
      <c r="L95" s="8"/>
      <c r="M95" s="8"/>
      <c r="N95" s="8"/>
      <c r="O95" s="8"/>
      <c r="P95" s="8"/>
      <c r="Q95" s="8"/>
      <c r="R95" s="8"/>
      <c r="S95" s="8"/>
      <c r="T95" s="8"/>
      <c r="U95" s="8"/>
      <c r="V95" s="8"/>
      <c r="W95" s="8"/>
    </row>
    <row r="96" spans="2:23" s="179" customFormat="1" ht="18" customHeight="1">
      <c r="B96" s="207"/>
      <c r="C96" s="208" t="s">
        <v>199</v>
      </c>
      <c r="D96" s="209" t="s">
        <v>66</v>
      </c>
      <c r="E96" s="204">
        <v>5</v>
      </c>
      <c r="F96" s="210">
        <v>0</v>
      </c>
      <c r="G96" s="211">
        <f t="shared" ref="G96" si="6">E96*F96</f>
        <v>0</v>
      </c>
      <c r="H96" s="8"/>
      <c r="I96" s="8"/>
      <c r="J96" s="8"/>
      <c r="K96" s="8"/>
      <c r="L96" s="8"/>
      <c r="M96" s="8"/>
      <c r="N96" s="8"/>
      <c r="O96" s="8"/>
      <c r="P96" s="8"/>
      <c r="Q96" s="8"/>
      <c r="R96" s="8"/>
      <c r="S96" s="8"/>
      <c r="T96" s="8"/>
      <c r="U96" s="8"/>
      <c r="V96" s="8"/>
      <c r="W96" s="8"/>
    </row>
    <row r="97" spans="2:23" s="217" customFormat="1">
      <c r="B97" s="201" t="s">
        <v>126</v>
      </c>
      <c r="C97" s="223" t="s">
        <v>137</v>
      </c>
      <c r="D97" s="224"/>
      <c r="E97" s="225"/>
      <c r="F97" s="226"/>
      <c r="G97" s="227"/>
      <c r="H97" s="8"/>
      <c r="I97" s="8"/>
      <c r="J97" s="8"/>
      <c r="K97" s="8"/>
      <c r="L97" s="8"/>
      <c r="M97" s="8"/>
      <c r="N97" s="8"/>
      <c r="O97" s="8"/>
      <c r="P97" s="8"/>
      <c r="Q97" s="8"/>
      <c r="R97" s="8"/>
      <c r="S97" s="8"/>
      <c r="T97" s="8"/>
      <c r="U97" s="8"/>
      <c r="V97" s="8"/>
      <c r="W97" s="8"/>
    </row>
    <row r="98" spans="2:23" s="217" customFormat="1">
      <c r="B98" s="218"/>
      <c r="C98" s="223" t="s">
        <v>138</v>
      </c>
      <c r="D98" s="224"/>
      <c r="E98" s="225"/>
      <c r="F98" s="226"/>
      <c r="G98" s="227"/>
      <c r="H98" s="8"/>
      <c r="I98" s="8"/>
      <c r="J98" s="8"/>
      <c r="K98" s="8"/>
      <c r="L98" s="8"/>
      <c r="M98" s="8"/>
      <c r="N98" s="8"/>
      <c r="O98" s="8"/>
      <c r="P98" s="8"/>
      <c r="Q98" s="8"/>
      <c r="R98" s="8"/>
      <c r="S98" s="8"/>
      <c r="T98" s="8"/>
      <c r="U98" s="8"/>
      <c r="V98" s="8"/>
      <c r="W98" s="8"/>
    </row>
    <row r="99" spans="2:23" s="217" customFormat="1">
      <c r="B99" s="218"/>
      <c r="C99" s="228" t="s">
        <v>129</v>
      </c>
      <c r="D99" s="224" t="s">
        <v>66</v>
      </c>
      <c r="E99" s="225">
        <v>1</v>
      </c>
      <c r="F99" s="229">
        <v>0</v>
      </c>
      <c r="G99" s="230">
        <f t="shared" ref="G99:G110" si="7">E99*F99</f>
        <v>0</v>
      </c>
      <c r="H99" s="8"/>
      <c r="I99" s="8"/>
      <c r="J99" s="8"/>
      <c r="K99" s="8"/>
      <c r="L99" s="8"/>
      <c r="M99" s="8"/>
      <c r="N99" s="8"/>
      <c r="O99" s="8"/>
      <c r="P99" s="8"/>
      <c r="Q99" s="8"/>
      <c r="R99" s="8"/>
      <c r="S99" s="8"/>
      <c r="T99" s="8"/>
      <c r="U99" s="8"/>
      <c r="V99" s="8"/>
      <c r="W99" s="8"/>
    </row>
    <row r="100" spans="2:23" s="217" customFormat="1">
      <c r="B100" s="218"/>
      <c r="C100" s="228" t="s">
        <v>139</v>
      </c>
      <c r="D100" s="224" t="s">
        <v>66</v>
      </c>
      <c r="E100" s="225">
        <v>2</v>
      </c>
      <c r="F100" s="229">
        <v>0</v>
      </c>
      <c r="G100" s="230">
        <f t="shared" si="7"/>
        <v>0</v>
      </c>
      <c r="H100" s="8"/>
      <c r="I100" s="8"/>
      <c r="J100" s="8"/>
      <c r="K100" s="8"/>
      <c r="L100" s="8"/>
      <c r="M100" s="8"/>
      <c r="N100" s="8"/>
      <c r="O100" s="8"/>
      <c r="P100" s="8"/>
      <c r="Q100" s="8"/>
      <c r="R100" s="8"/>
      <c r="S100" s="8"/>
      <c r="T100" s="8"/>
      <c r="U100" s="8"/>
      <c r="V100" s="8"/>
      <c r="W100" s="8"/>
    </row>
    <row r="101" spans="2:23" s="217" customFormat="1">
      <c r="B101" s="218"/>
      <c r="C101" s="231" t="s">
        <v>141</v>
      </c>
      <c r="D101" s="224" t="s">
        <v>66</v>
      </c>
      <c r="E101" s="225">
        <v>1</v>
      </c>
      <c r="F101" s="229">
        <v>0</v>
      </c>
      <c r="G101" s="230">
        <f t="shared" si="7"/>
        <v>0</v>
      </c>
      <c r="H101" s="8"/>
      <c r="I101" s="8"/>
      <c r="J101" s="8"/>
      <c r="K101" s="8"/>
      <c r="L101" s="8"/>
      <c r="M101" s="8"/>
      <c r="N101" s="8"/>
      <c r="O101" s="8"/>
      <c r="P101" s="8"/>
      <c r="Q101" s="8"/>
      <c r="R101" s="8"/>
      <c r="S101" s="8"/>
      <c r="T101" s="8"/>
      <c r="U101" s="8"/>
      <c r="V101" s="8"/>
      <c r="W101" s="8"/>
    </row>
    <row r="102" spans="2:23" s="217" customFormat="1">
      <c r="B102" s="218"/>
      <c r="C102" s="231" t="s">
        <v>142</v>
      </c>
      <c r="D102" s="224" t="s">
        <v>66</v>
      </c>
      <c r="E102" s="225">
        <v>1</v>
      </c>
      <c r="F102" s="229">
        <v>0</v>
      </c>
      <c r="G102" s="230">
        <f t="shared" si="7"/>
        <v>0</v>
      </c>
      <c r="H102" s="8"/>
      <c r="I102" s="8"/>
      <c r="J102" s="8"/>
      <c r="K102" s="8"/>
      <c r="L102" s="8"/>
      <c r="M102" s="8"/>
      <c r="N102" s="8"/>
      <c r="O102" s="8"/>
      <c r="P102" s="8"/>
      <c r="Q102" s="8"/>
      <c r="R102" s="8"/>
      <c r="S102" s="8"/>
      <c r="T102" s="8"/>
      <c r="U102" s="8"/>
      <c r="V102" s="8"/>
      <c r="W102" s="8"/>
    </row>
    <row r="103" spans="2:23" s="217" customFormat="1">
      <c r="B103" s="218"/>
      <c r="C103" s="231" t="s">
        <v>143</v>
      </c>
      <c r="D103" s="224" t="s">
        <v>66</v>
      </c>
      <c r="E103" s="225">
        <v>1</v>
      </c>
      <c r="F103" s="229">
        <v>0</v>
      </c>
      <c r="G103" s="230">
        <f t="shared" si="7"/>
        <v>0</v>
      </c>
      <c r="H103" s="8"/>
      <c r="I103" s="8"/>
      <c r="J103" s="8"/>
      <c r="K103" s="8"/>
      <c r="L103" s="8"/>
      <c r="M103" s="8"/>
      <c r="N103" s="8"/>
      <c r="O103" s="8"/>
      <c r="P103" s="8"/>
      <c r="Q103" s="8"/>
      <c r="R103" s="8"/>
      <c r="S103" s="8"/>
      <c r="T103" s="8"/>
      <c r="U103" s="8"/>
      <c r="V103" s="8"/>
      <c r="W103" s="8"/>
    </row>
    <row r="104" spans="2:23" s="217" customFormat="1">
      <c r="B104" s="218"/>
      <c r="C104" s="231" t="s">
        <v>155</v>
      </c>
      <c r="D104" s="224" t="s">
        <v>66</v>
      </c>
      <c r="E104" s="225">
        <v>1</v>
      </c>
      <c r="F104" s="229">
        <v>0</v>
      </c>
      <c r="G104" s="230">
        <f t="shared" si="7"/>
        <v>0</v>
      </c>
      <c r="H104" s="8"/>
      <c r="I104" s="8"/>
      <c r="J104" s="8"/>
      <c r="K104" s="8"/>
      <c r="L104" s="8"/>
      <c r="M104" s="8"/>
      <c r="N104" s="8"/>
      <c r="O104" s="8"/>
      <c r="P104" s="8"/>
      <c r="Q104" s="8"/>
      <c r="R104" s="8"/>
      <c r="S104" s="8"/>
      <c r="T104" s="8"/>
      <c r="U104" s="8"/>
      <c r="V104" s="8"/>
      <c r="W104" s="8"/>
    </row>
    <row r="105" spans="2:23" s="217" customFormat="1">
      <c r="B105" s="218"/>
      <c r="C105" s="231" t="s">
        <v>145</v>
      </c>
      <c r="D105" s="224" t="s">
        <v>66</v>
      </c>
      <c r="E105" s="225">
        <v>1</v>
      </c>
      <c r="F105" s="229">
        <v>0</v>
      </c>
      <c r="G105" s="230">
        <f t="shared" si="7"/>
        <v>0</v>
      </c>
      <c r="H105" s="8"/>
      <c r="I105" s="8"/>
      <c r="J105" s="8"/>
      <c r="K105" s="8"/>
      <c r="L105" s="8"/>
      <c r="M105" s="8"/>
      <c r="N105" s="8"/>
      <c r="O105" s="8"/>
      <c r="P105" s="8"/>
      <c r="Q105" s="8"/>
      <c r="R105" s="8"/>
      <c r="S105" s="8"/>
      <c r="T105" s="8"/>
      <c r="U105" s="8"/>
      <c r="V105" s="8"/>
      <c r="W105" s="8"/>
    </row>
    <row r="106" spans="2:23" s="217" customFormat="1">
      <c r="B106" s="218"/>
      <c r="C106" s="231" t="s">
        <v>146</v>
      </c>
      <c r="D106" s="224" t="s">
        <v>66</v>
      </c>
      <c r="E106" s="225">
        <v>1</v>
      </c>
      <c r="F106" s="229">
        <v>0</v>
      </c>
      <c r="G106" s="230">
        <f t="shared" si="7"/>
        <v>0</v>
      </c>
      <c r="H106" s="8"/>
      <c r="I106" s="8"/>
      <c r="J106" s="8"/>
      <c r="K106" s="8"/>
      <c r="L106" s="8"/>
      <c r="M106" s="8"/>
      <c r="N106" s="8"/>
      <c r="O106" s="8"/>
      <c r="P106" s="8"/>
      <c r="Q106" s="8"/>
      <c r="R106" s="8"/>
      <c r="S106" s="8"/>
      <c r="T106" s="8"/>
      <c r="U106" s="8"/>
      <c r="V106" s="8"/>
      <c r="W106" s="8"/>
    </row>
    <row r="107" spans="2:23" s="217" customFormat="1">
      <c r="B107" s="218"/>
      <c r="C107" s="232" t="s">
        <v>132</v>
      </c>
      <c r="D107" s="224" t="s">
        <v>66</v>
      </c>
      <c r="E107" s="225">
        <v>2</v>
      </c>
      <c r="F107" s="229">
        <v>0</v>
      </c>
      <c r="G107" s="230">
        <f t="shared" si="7"/>
        <v>0</v>
      </c>
      <c r="H107" s="8"/>
      <c r="I107" s="8"/>
      <c r="J107" s="8"/>
      <c r="K107" s="8"/>
      <c r="L107" s="8"/>
      <c r="M107" s="8"/>
      <c r="N107" s="8"/>
      <c r="O107" s="8"/>
      <c r="P107" s="8"/>
      <c r="Q107" s="8"/>
      <c r="R107" s="8"/>
      <c r="S107" s="8"/>
      <c r="T107" s="8"/>
      <c r="U107" s="8"/>
      <c r="V107" s="8"/>
      <c r="W107" s="8"/>
    </row>
    <row r="108" spans="2:23" s="217" customFormat="1">
      <c r="B108" s="218"/>
      <c r="C108" s="232" t="s">
        <v>148</v>
      </c>
      <c r="D108" s="224" t="s">
        <v>66</v>
      </c>
      <c r="E108" s="225">
        <v>2</v>
      </c>
      <c r="F108" s="229">
        <v>0</v>
      </c>
      <c r="G108" s="230">
        <f t="shared" si="7"/>
        <v>0</v>
      </c>
      <c r="H108" s="8"/>
      <c r="I108" s="8"/>
      <c r="J108" s="8"/>
      <c r="K108" s="8"/>
      <c r="L108" s="8"/>
      <c r="M108" s="8"/>
      <c r="N108" s="8"/>
      <c r="O108" s="8"/>
      <c r="P108" s="8"/>
      <c r="Q108" s="8"/>
      <c r="R108" s="8"/>
      <c r="S108" s="8"/>
      <c r="T108" s="8"/>
      <c r="U108" s="8"/>
      <c r="V108" s="8"/>
      <c r="W108" s="8"/>
    </row>
    <row r="109" spans="2:23" s="217" customFormat="1">
      <c r="B109" s="218"/>
      <c r="C109" s="232" t="s">
        <v>150</v>
      </c>
      <c r="D109" s="224" t="s">
        <v>66</v>
      </c>
      <c r="E109" s="225">
        <v>2</v>
      </c>
      <c r="F109" s="229">
        <v>0</v>
      </c>
      <c r="G109" s="230">
        <f t="shared" si="7"/>
        <v>0</v>
      </c>
      <c r="H109" s="8"/>
      <c r="I109" s="8"/>
      <c r="J109" s="8"/>
      <c r="K109" s="8"/>
      <c r="L109" s="8"/>
      <c r="M109" s="8"/>
      <c r="N109" s="8"/>
      <c r="O109" s="8"/>
      <c r="P109" s="8"/>
      <c r="Q109" s="8"/>
      <c r="R109" s="8"/>
      <c r="S109" s="8"/>
      <c r="T109" s="8"/>
      <c r="U109" s="8"/>
      <c r="V109" s="8"/>
      <c r="W109" s="8"/>
    </row>
    <row r="110" spans="2:23" s="217" customFormat="1">
      <c r="B110" s="218"/>
      <c r="C110" s="233" t="s">
        <v>135</v>
      </c>
      <c r="D110" s="224" t="s">
        <v>66</v>
      </c>
      <c r="E110" s="225">
        <v>2</v>
      </c>
      <c r="F110" s="229">
        <v>0</v>
      </c>
      <c r="G110" s="230">
        <f t="shared" si="7"/>
        <v>0</v>
      </c>
      <c r="H110" s="8"/>
      <c r="I110" s="8"/>
      <c r="J110" s="8"/>
      <c r="K110" s="8"/>
      <c r="L110" s="8"/>
      <c r="M110" s="8"/>
      <c r="N110" s="8"/>
      <c r="O110" s="8"/>
      <c r="P110" s="8"/>
      <c r="Q110" s="8"/>
      <c r="R110" s="8"/>
      <c r="S110" s="8"/>
      <c r="T110" s="8"/>
      <c r="U110" s="8"/>
      <c r="V110" s="8"/>
      <c r="W110" s="8"/>
    </row>
    <row r="111" spans="2:23" s="217" customFormat="1">
      <c r="B111" s="201" t="s">
        <v>136</v>
      </c>
      <c r="C111" s="212" t="s">
        <v>152</v>
      </c>
      <c r="D111" s="213"/>
      <c r="E111" s="214"/>
      <c r="F111" s="215"/>
      <c r="G111" s="216"/>
      <c r="H111" s="8"/>
      <c r="I111" s="8"/>
      <c r="J111" s="8"/>
      <c r="K111" s="8"/>
      <c r="L111" s="8"/>
      <c r="M111" s="8"/>
      <c r="N111" s="8"/>
      <c r="O111" s="8"/>
      <c r="P111" s="8"/>
      <c r="Q111" s="8"/>
      <c r="R111" s="8"/>
      <c r="S111" s="8"/>
      <c r="T111" s="8"/>
      <c r="U111" s="8"/>
      <c r="V111" s="8"/>
      <c r="W111" s="8"/>
    </row>
    <row r="112" spans="2:23" s="217" customFormat="1">
      <c r="B112" s="218"/>
      <c r="C112" s="212" t="s">
        <v>153</v>
      </c>
      <c r="D112" s="213"/>
      <c r="E112" s="214"/>
      <c r="F112" s="215"/>
      <c r="G112" s="216"/>
      <c r="H112" s="8"/>
      <c r="I112" s="8"/>
      <c r="J112" s="8"/>
      <c r="K112" s="8"/>
      <c r="L112" s="8"/>
      <c r="M112" s="8"/>
      <c r="N112" s="8"/>
      <c r="O112" s="8"/>
      <c r="P112" s="8"/>
      <c r="Q112" s="8"/>
      <c r="R112" s="8"/>
      <c r="S112" s="8"/>
      <c r="T112" s="8"/>
      <c r="U112" s="8"/>
      <c r="V112" s="8"/>
      <c r="W112" s="8"/>
    </row>
    <row r="113" spans="2:23" s="217" customFormat="1">
      <c r="B113" s="218"/>
      <c r="C113" s="219" t="s">
        <v>129</v>
      </c>
      <c r="D113" s="213" t="s">
        <v>66</v>
      </c>
      <c r="E113" s="214">
        <v>5</v>
      </c>
      <c r="F113" s="220">
        <v>0</v>
      </c>
      <c r="G113" s="221">
        <f t="shared" ref="G113:G123" si="8">E113*F113</f>
        <v>0</v>
      </c>
      <c r="H113" s="8"/>
      <c r="I113" s="8"/>
      <c r="J113" s="8"/>
      <c r="K113" s="8"/>
      <c r="L113" s="8"/>
      <c r="M113" s="8"/>
      <c r="N113" s="8"/>
      <c r="O113" s="8"/>
      <c r="P113" s="8"/>
      <c r="Q113" s="8"/>
      <c r="R113" s="8"/>
      <c r="S113" s="8"/>
      <c r="T113" s="8"/>
      <c r="U113" s="8"/>
      <c r="V113" s="8"/>
      <c r="W113" s="8"/>
    </row>
    <row r="114" spans="2:23" s="217" customFormat="1" ht="24.75" customHeight="1">
      <c r="B114" s="218"/>
      <c r="C114" s="222" t="s">
        <v>154</v>
      </c>
      <c r="D114" s="213" t="s">
        <v>66</v>
      </c>
      <c r="E114" s="214">
        <v>6</v>
      </c>
      <c r="F114" s="220">
        <v>0</v>
      </c>
      <c r="G114" s="221">
        <f t="shared" si="8"/>
        <v>0</v>
      </c>
      <c r="H114" s="8"/>
      <c r="I114" s="8"/>
      <c r="J114" s="8"/>
      <c r="K114" s="8"/>
      <c r="L114" s="8"/>
      <c r="M114" s="8"/>
      <c r="N114" s="8"/>
      <c r="O114" s="8"/>
      <c r="P114" s="8"/>
      <c r="Q114" s="8"/>
      <c r="R114" s="8"/>
      <c r="S114" s="8"/>
      <c r="T114" s="8"/>
      <c r="U114" s="8"/>
      <c r="V114" s="8"/>
      <c r="W114" s="8"/>
    </row>
    <row r="115" spans="2:23" s="217" customFormat="1">
      <c r="B115" s="218"/>
      <c r="C115" s="222" t="s">
        <v>155</v>
      </c>
      <c r="D115" s="213" t="s">
        <v>66</v>
      </c>
      <c r="E115" s="214">
        <v>5</v>
      </c>
      <c r="F115" s="220">
        <v>0</v>
      </c>
      <c r="G115" s="221">
        <f t="shared" si="8"/>
        <v>0</v>
      </c>
      <c r="H115" s="8"/>
      <c r="I115" s="8"/>
      <c r="J115" s="8"/>
      <c r="K115" s="8"/>
      <c r="L115" s="8"/>
      <c r="M115" s="8"/>
      <c r="N115" s="8"/>
      <c r="O115" s="8"/>
      <c r="P115" s="8"/>
      <c r="Q115" s="8"/>
      <c r="R115" s="8"/>
      <c r="S115" s="8"/>
      <c r="T115" s="8"/>
      <c r="U115" s="8"/>
      <c r="V115" s="8"/>
      <c r="W115" s="8"/>
    </row>
    <row r="116" spans="2:23" s="217" customFormat="1">
      <c r="B116" s="218"/>
      <c r="C116" s="222" t="s">
        <v>156</v>
      </c>
      <c r="D116" s="213" t="s">
        <v>66</v>
      </c>
      <c r="E116" s="214">
        <v>5</v>
      </c>
      <c r="F116" s="220">
        <v>0</v>
      </c>
      <c r="G116" s="221">
        <f t="shared" si="8"/>
        <v>0</v>
      </c>
      <c r="H116" s="8"/>
      <c r="I116" s="8"/>
      <c r="J116" s="8"/>
      <c r="K116" s="8"/>
      <c r="L116" s="8"/>
      <c r="M116" s="8"/>
      <c r="N116" s="8"/>
      <c r="O116" s="8"/>
      <c r="P116" s="8"/>
      <c r="Q116" s="8"/>
      <c r="R116" s="8"/>
      <c r="S116" s="8"/>
      <c r="T116" s="8"/>
      <c r="U116" s="8"/>
      <c r="V116" s="8"/>
      <c r="W116" s="8"/>
    </row>
    <row r="117" spans="2:23" s="217" customFormat="1">
      <c r="B117" s="218"/>
      <c r="C117" s="222" t="s">
        <v>157</v>
      </c>
      <c r="D117" s="213" t="s">
        <v>66</v>
      </c>
      <c r="E117" s="214">
        <v>5</v>
      </c>
      <c r="F117" s="220">
        <v>0</v>
      </c>
      <c r="G117" s="221">
        <f t="shared" si="8"/>
        <v>0</v>
      </c>
      <c r="H117" s="8"/>
      <c r="I117" s="8"/>
      <c r="J117" s="8"/>
      <c r="K117" s="8"/>
      <c r="L117" s="8"/>
      <c r="M117" s="8"/>
      <c r="N117" s="8"/>
      <c r="O117" s="8"/>
      <c r="P117" s="8"/>
      <c r="Q117" s="8"/>
      <c r="R117" s="8"/>
      <c r="S117" s="8"/>
      <c r="T117" s="8"/>
      <c r="U117" s="8"/>
      <c r="V117" s="8"/>
      <c r="W117" s="8"/>
    </row>
    <row r="118" spans="2:23" s="217" customFormat="1">
      <c r="B118" s="218"/>
      <c r="C118" s="234" t="s">
        <v>158</v>
      </c>
      <c r="D118" s="213" t="s">
        <v>66</v>
      </c>
      <c r="E118" s="214">
        <v>4</v>
      </c>
      <c r="F118" s="220">
        <v>0</v>
      </c>
      <c r="G118" s="221">
        <f t="shared" si="8"/>
        <v>0</v>
      </c>
      <c r="H118" s="8"/>
      <c r="I118" s="8"/>
      <c r="J118" s="8"/>
      <c r="K118" s="8"/>
      <c r="L118" s="8"/>
      <c r="M118" s="8"/>
      <c r="N118" s="8"/>
      <c r="O118" s="8"/>
      <c r="P118" s="8"/>
      <c r="Q118" s="8"/>
      <c r="R118" s="8"/>
      <c r="S118" s="8"/>
      <c r="T118" s="8"/>
      <c r="U118" s="8"/>
      <c r="V118" s="8"/>
      <c r="W118" s="8"/>
    </row>
    <row r="119" spans="2:23" s="217" customFormat="1">
      <c r="B119" s="218"/>
      <c r="C119" s="234" t="s">
        <v>190</v>
      </c>
      <c r="D119" s="213" t="s">
        <v>66</v>
      </c>
      <c r="E119" s="214">
        <v>2</v>
      </c>
      <c r="F119" s="220">
        <v>0</v>
      </c>
      <c r="G119" s="221">
        <f t="shared" si="8"/>
        <v>0</v>
      </c>
      <c r="H119" s="8"/>
      <c r="I119" s="8"/>
      <c r="J119" s="8"/>
      <c r="K119" s="8"/>
      <c r="L119" s="8"/>
      <c r="M119" s="8"/>
      <c r="N119" s="8"/>
      <c r="O119" s="8"/>
      <c r="P119" s="8"/>
      <c r="Q119" s="8"/>
      <c r="R119" s="8"/>
      <c r="S119" s="8"/>
      <c r="T119" s="8"/>
      <c r="U119" s="8"/>
      <c r="V119" s="8"/>
      <c r="W119" s="8"/>
    </row>
    <row r="120" spans="2:23" s="217" customFormat="1">
      <c r="B120" s="218"/>
      <c r="C120" s="234" t="s">
        <v>132</v>
      </c>
      <c r="D120" s="213" t="s">
        <v>66</v>
      </c>
      <c r="E120" s="214">
        <v>10</v>
      </c>
      <c r="F120" s="220">
        <v>0</v>
      </c>
      <c r="G120" s="221">
        <f t="shared" si="8"/>
        <v>0</v>
      </c>
      <c r="H120" s="8"/>
      <c r="I120" s="8"/>
      <c r="J120" s="8"/>
      <c r="K120" s="8"/>
      <c r="L120" s="8"/>
      <c r="M120" s="8"/>
      <c r="N120" s="8"/>
      <c r="O120" s="8"/>
      <c r="P120" s="8"/>
      <c r="Q120" s="8"/>
      <c r="R120" s="8"/>
      <c r="S120" s="8"/>
      <c r="T120" s="8"/>
      <c r="U120" s="8"/>
      <c r="V120" s="8"/>
      <c r="W120" s="8"/>
    </row>
    <row r="121" spans="2:23" s="217" customFormat="1">
      <c r="B121" s="218"/>
      <c r="C121" s="234" t="s">
        <v>148</v>
      </c>
      <c r="D121" s="213" t="s">
        <v>66</v>
      </c>
      <c r="E121" s="214">
        <v>10</v>
      </c>
      <c r="F121" s="220">
        <v>0</v>
      </c>
      <c r="G121" s="221">
        <f t="shared" si="8"/>
        <v>0</v>
      </c>
      <c r="H121" s="8"/>
      <c r="I121" s="8"/>
      <c r="J121" s="8"/>
      <c r="K121" s="8"/>
      <c r="L121" s="8"/>
      <c r="M121" s="8"/>
      <c r="N121" s="8"/>
      <c r="O121" s="8"/>
      <c r="P121" s="8"/>
      <c r="Q121" s="8"/>
      <c r="R121" s="8"/>
      <c r="S121" s="8"/>
      <c r="T121" s="8"/>
      <c r="U121" s="8"/>
      <c r="V121" s="8"/>
      <c r="W121" s="8"/>
    </row>
    <row r="122" spans="2:23" s="217" customFormat="1">
      <c r="B122" s="218"/>
      <c r="C122" s="234" t="s">
        <v>150</v>
      </c>
      <c r="D122" s="213" t="s">
        <v>66</v>
      </c>
      <c r="E122" s="214">
        <v>6</v>
      </c>
      <c r="F122" s="220">
        <v>0</v>
      </c>
      <c r="G122" s="221">
        <f t="shared" si="8"/>
        <v>0</v>
      </c>
      <c r="H122" s="8"/>
      <c r="I122" s="8"/>
      <c r="J122" s="8"/>
      <c r="K122" s="8"/>
      <c r="L122" s="8"/>
      <c r="M122" s="8"/>
      <c r="N122" s="8"/>
      <c r="O122" s="8"/>
      <c r="P122" s="8"/>
      <c r="Q122" s="8"/>
      <c r="R122" s="8"/>
      <c r="S122" s="8"/>
      <c r="T122" s="8"/>
      <c r="U122" s="8"/>
      <c r="V122" s="8"/>
      <c r="W122" s="8"/>
    </row>
    <row r="123" spans="2:23" s="217" customFormat="1">
      <c r="B123" s="218"/>
      <c r="C123" s="235" t="s">
        <v>135</v>
      </c>
      <c r="D123" s="213" t="s">
        <v>66</v>
      </c>
      <c r="E123" s="214">
        <v>6</v>
      </c>
      <c r="F123" s="220">
        <v>0</v>
      </c>
      <c r="G123" s="221">
        <f t="shared" si="8"/>
        <v>0</v>
      </c>
      <c r="H123" s="8"/>
      <c r="I123" s="8"/>
      <c r="J123" s="8"/>
      <c r="K123" s="8"/>
      <c r="L123" s="8"/>
      <c r="M123" s="8"/>
      <c r="N123" s="8"/>
      <c r="O123" s="8"/>
      <c r="P123" s="8"/>
      <c r="Q123" s="8"/>
      <c r="R123" s="8"/>
      <c r="S123" s="8"/>
      <c r="T123" s="8"/>
      <c r="U123" s="8"/>
      <c r="V123" s="8"/>
      <c r="W123" s="8"/>
    </row>
    <row r="124" spans="2:23" s="217" customFormat="1">
      <c r="B124" s="201" t="s">
        <v>151</v>
      </c>
      <c r="C124" s="223" t="s">
        <v>160</v>
      </c>
      <c r="D124" s="224"/>
      <c r="E124" s="225"/>
      <c r="F124" s="226"/>
      <c r="G124" s="227"/>
      <c r="H124" s="8"/>
      <c r="I124" s="8"/>
      <c r="J124" s="8"/>
      <c r="K124" s="8"/>
      <c r="L124" s="8"/>
      <c r="M124" s="8"/>
      <c r="N124" s="8"/>
      <c r="O124" s="8"/>
      <c r="P124" s="8"/>
      <c r="Q124" s="8"/>
      <c r="R124" s="8"/>
      <c r="S124" s="8"/>
      <c r="T124" s="8"/>
      <c r="U124" s="8"/>
      <c r="V124" s="8"/>
      <c r="W124" s="8"/>
    </row>
    <row r="125" spans="2:23" s="217" customFormat="1">
      <c r="B125" s="201"/>
      <c r="C125" s="223" t="s">
        <v>228</v>
      </c>
      <c r="D125" s="224"/>
      <c r="E125" s="225"/>
      <c r="F125" s="226"/>
      <c r="G125" s="227"/>
      <c r="H125" s="8"/>
      <c r="I125" s="8"/>
      <c r="J125" s="8"/>
      <c r="K125" s="8"/>
      <c r="L125" s="8"/>
      <c r="M125" s="8"/>
      <c r="N125" s="8"/>
      <c r="O125" s="8"/>
      <c r="P125" s="8"/>
      <c r="Q125" s="8"/>
      <c r="R125" s="8"/>
      <c r="S125" s="8"/>
      <c r="T125" s="8"/>
      <c r="U125" s="8"/>
      <c r="V125" s="8"/>
      <c r="W125" s="8"/>
    </row>
    <row r="126" spans="2:23" s="217" customFormat="1" ht="24">
      <c r="B126" s="201"/>
      <c r="C126" s="228" t="s">
        <v>2066</v>
      </c>
      <c r="D126" s="224" t="s">
        <v>66</v>
      </c>
      <c r="E126" s="225">
        <v>2</v>
      </c>
      <c r="F126" s="229">
        <v>0</v>
      </c>
      <c r="G126" s="230">
        <f>E126*F126</f>
        <v>0</v>
      </c>
      <c r="H126" s="8"/>
      <c r="I126" s="8"/>
      <c r="J126" s="8"/>
      <c r="K126" s="8"/>
      <c r="L126" s="8"/>
      <c r="M126" s="8"/>
      <c r="N126" s="8"/>
      <c r="O126" s="8"/>
      <c r="P126" s="8"/>
      <c r="Q126" s="8"/>
      <c r="R126" s="8"/>
      <c r="S126" s="8"/>
      <c r="T126" s="8"/>
      <c r="U126" s="8"/>
      <c r="V126" s="8"/>
      <c r="W126" s="8"/>
    </row>
    <row r="127" spans="2:23" s="217" customFormat="1">
      <c r="B127" s="201"/>
      <c r="C127" s="232" t="s">
        <v>132</v>
      </c>
      <c r="D127" s="224" t="s">
        <v>66</v>
      </c>
      <c r="E127" s="225">
        <v>4</v>
      </c>
      <c r="F127" s="229">
        <v>0</v>
      </c>
      <c r="G127" s="230">
        <f t="shared" ref="G127:G144" si="9">E127*F127</f>
        <v>0</v>
      </c>
      <c r="H127" s="8"/>
      <c r="I127" s="8"/>
      <c r="J127" s="8"/>
      <c r="K127" s="8"/>
      <c r="L127" s="8"/>
      <c r="M127" s="8"/>
      <c r="N127" s="8"/>
      <c r="O127" s="8"/>
      <c r="P127" s="8"/>
      <c r="Q127" s="8"/>
      <c r="R127" s="8"/>
      <c r="S127" s="8"/>
      <c r="T127" s="8"/>
      <c r="U127" s="8"/>
      <c r="V127" s="8"/>
      <c r="W127" s="8"/>
    </row>
    <row r="128" spans="2:23" s="217" customFormat="1">
      <c r="B128" s="201"/>
      <c r="C128" s="232" t="s">
        <v>166</v>
      </c>
      <c r="D128" s="224" t="s">
        <v>66</v>
      </c>
      <c r="E128" s="225">
        <v>2</v>
      </c>
      <c r="F128" s="229">
        <v>0</v>
      </c>
      <c r="G128" s="230">
        <f t="shared" si="9"/>
        <v>0</v>
      </c>
      <c r="H128" s="8"/>
      <c r="I128" s="8"/>
      <c r="J128" s="8"/>
      <c r="K128" s="8"/>
      <c r="L128" s="8"/>
      <c r="M128" s="8"/>
      <c r="N128" s="8"/>
      <c r="O128" s="8"/>
      <c r="P128" s="8"/>
      <c r="Q128" s="8"/>
      <c r="R128" s="8"/>
      <c r="S128" s="8"/>
      <c r="T128" s="8"/>
      <c r="U128" s="8"/>
      <c r="V128" s="8"/>
      <c r="W128" s="8"/>
    </row>
    <row r="129" spans="2:23" s="217" customFormat="1">
      <c r="B129" s="201"/>
      <c r="C129" s="232" t="s">
        <v>148</v>
      </c>
      <c r="D129" s="224" t="s">
        <v>66</v>
      </c>
      <c r="E129" s="225">
        <v>4</v>
      </c>
      <c r="F129" s="229">
        <v>0</v>
      </c>
      <c r="G129" s="230">
        <f t="shared" si="9"/>
        <v>0</v>
      </c>
      <c r="H129" s="8"/>
      <c r="I129" s="8"/>
      <c r="J129" s="8"/>
      <c r="K129" s="8"/>
      <c r="L129" s="8"/>
      <c r="M129" s="8"/>
      <c r="N129" s="8"/>
      <c r="O129" s="8"/>
      <c r="P129" s="8"/>
      <c r="Q129" s="8"/>
      <c r="R129" s="8"/>
      <c r="S129" s="8"/>
      <c r="T129" s="8"/>
      <c r="U129" s="8"/>
      <c r="V129" s="8"/>
      <c r="W129" s="8"/>
    </row>
    <row r="130" spans="2:23" s="217" customFormat="1">
      <c r="B130" s="201"/>
      <c r="C130" s="232" t="s">
        <v>167</v>
      </c>
      <c r="D130" s="224" t="s">
        <v>66</v>
      </c>
      <c r="E130" s="225">
        <v>2</v>
      </c>
      <c r="F130" s="229">
        <v>0</v>
      </c>
      <c r="G130" s="230">
        <f t="shared" si="9"/>
        <v>0</v>
      </c>
      <c r="H130" s="8"/>
      <c r="I130" s="8"/>
      <c r="J130" s="8"/>
      <c r="K130" s="8"/>
      <c r="L130" s="8"/>
      <c r="M130" s="8"/>
      <c r="N130" s="8"/>
      <c r="O130" s="8"/>
      <c r="P130" s="8"/>
      <c r="Q130" s="8"/>
      <c r="R130" s="8"/>
      <c r="S130" s="8"/>
      <c r="T130" s="8"/>
      <c r="U130" s="8"/>
      <c r="V130" s="8"/>
      <c r="W130" s="8"/>
    </row>
    <row r="131" spans="2:23" s="217" customFormat="1">
      <c r="B131" s="201"/>
      <c r="C131" s="232" t="s">
        <v>229</v>
      </c>
      <c r="D131" s="224" t="s">
        <v>66</v>
      </c>
      <c r="E131" s="225">
        <v>2</v>
      </c>
      <c r="F131" s="229">
        <v>0</v>
      </c>
      <c r="G131" s="230">
        <f t="shared" si="9"/>
        <v>0</v>
      </c>
      <c r="H131" s="8"/>
      <c r="I131" s="8"/>
      <c r="J131" s="8"/>
      <c r="K131" s="8"/>
      <c r="L131" s="8"/>
      <c r="M131" s="8"/>
      <c r="N131" s="8"/>
      <c r="O131" s="8"/>
      <c r="P131" s="8"/>
      <c r="Q131" s="8"/>
      <c r="R131" s="8"/>
      <c r="S131" s="8"/>
      <c r="T131" s="8"/>
      <c r="U131" s="8"/>
      <c r="V131" s="8"/>
      <c r="W131" s="8"/>
    </row>
    <row r="132" spans="2:23" s="217" customFormat="1">
      <c r="B132" s="201"/>
      <c r="C132" s="232" t="s">
        <v>230</v>
      </c>
      <c r="D132" s="224" t="s">
        <v>66</v>
      </c>
      <c r="E132" s="225">
        <v>2</v>
      </c>
      <c r="F132" s="229">
        <v>0</v>
      </c>
      <c r="G132" s="230">
        <f t="shared" si="9"/>
        <v>0</v>
      </c>
      <c r="H132" s="8"/>
      <c r="I132" s="8"/>
      <c r="J132" s="8"/>
      <c r="K132" s="8"/>
      <c r="L132" s="8"/>
      <c r="M132" s="8"/>
      <c r="N132" s="8"/>
      <c r="O132" s="8"/>
      <c r="P132" s="8"/>
      <c r="Q132" s="8"/>
      <c r="R132" s="8"/>
      <c r="S132" s="8"/>
      <c r="T132" s="8"/>
      <c r="U132" s="8"/>
      <c r="V132" s="8"/>
      <c r="W132" s="8"/>
    </row>
    <row r="133" spans="2:23" s="217" customFormat="1">
      <c r="B133" s="201"/>
      <c r="C133" s="232" t="s">
        <v>150</v>
      </c>
      <c r="D133" s="224" t="s">
        <v>66</v>
      </c>
      <c r="E133" s="225">
        <v>2</v>
      </c>
      <c r="F133" s="229">
        <v>0</v>
      </c>
      <c r="G133" s="230">
        <f t="shared" si="9"/>
        <v>0</v>
      </c>
      <c r="H133" s="8"/>
      <c r="I133" s="8"/>
      <c r="J133" s="8"/>
      <c r="K133" s="8"/>
      <c r="L133" s="8"/>
      <c r="M133" s="8"/>
      <c r="N133" s="8"/>
      <c r="O133" s="8"/>
      <c r="P133" s="8"/>
      <c r="Q133" s="8"/>
      <c r="R133" s="8"/>
      <c r="S133" s="8"/>
      <c r="T133" s="8"/>
      <c r="U133" s="8"/>
      <c r="V133" s="8"/>
      <c r="W133" s="8"/>
    </row>
    <row r="134" spans="2:23" s="217" customFormat="1">
      <c r="B134" s="201"/>
      <c r="C134" s="233" t="s">
        <v>135</v>
      </c>
      <c r="D134" s="224" t="s">
        <v>66</v>
      </c>
      <c r="E134" s="225">
        <v>2</v>
      </c>
      <c r="F134" s="229">
        <v>0</v>
      </c>
      <c r="G134" s="230">
        <f t="shared" si="9"/>
        <v>0</v>
      </c>
      <c r="H134" s="8"/>
      <c r="I134" s="8"/>
      <c r="J134" s="8"/>
      <c r="K134" s="8"/>
      <c r="L134" s="8"/>
      <c r="M134" s="8"/>
      <c r="N134" s="8"/>
      <c r="O134" s="8"/>
      <c r="P134" s="8"/>
      <c r="Q134" s="8"/>
      <c r="R134" s="8"/>
      <c r="S134" s="8"/>
      <c r="T134" s="8"/>
      <c r="U134" s="8"/>
      <c r="V134" s="8"/>
      <c r="W134" s="8"/>
    </row>
    <row r="135" spans="2:23" s="217" customFormat="1">
      <c r="B135" s="201"/>
      <c r="C135" s="223" t="s">
        <v>200</v>
      </c>
      <c r="D135" s="224"/>
      <c r="E135" s="225"/>
      <c r="F135" s="226"/>
      <c r="G135" s="230"/>
      <c r="H135" s="8"/>
      <c r="I135" s="8"/>
      <c r="J135" s="8"/>
      <c r="K135" s="8"/>
      <c r="L135" s="8"/>
      <c r="M135" s="8"/>
      <c r="N135" s="8"/>
      <c r="O135" s="8"/>
      <c r="P135" s="8"/>
      <c r="Q135" s="8"/>
      <c r="R135" s="8"/>
      <c r="S135" s="8"/>
      <c r="T135" s="8"/>
      <c r="U135" s="8"/>
      <c r="V135" s="8"/>
      <c r="W135" s="8"/>
    </row>
    <row r="136" spans="2:23" s="217" customFormat="1" ht="24">
      <c r="B136" s="201"/>
      <c r="C136" s="228" t="s">
        <v>2066</v>
      </c>
      <c r="D136" s="224" t="s">
        <v>66</v>
      </c>
      <c r="E136" s="225">
        <v>1</v>
      </c>
      <c r="F136" s="229">
        <v>0</v>
      </c>
      <c r="G136" s="230">
        <f t="shared" si="9"/>
        <v>0</v>
      </c>
      <c r="H136" s="8"/>
      <c r="I136" s="8"/>
      <c r="J136" s="8"/>
      <c r="K136" s="8"/>
      <c r="L136" s="8"/>
      <c r="M136" s="8"/>
      <c r="N136" s="8"/>
      <c r="O136" s="8"/>
      <c r="P136" s="8"/>
      <c r="Q136" s="8"/>
      <c r="R136" s="8"/>
      <c r="S136" s="8"/>
      <c r="T136" s="8"/>
      <c r="U136" s="8"/>
      <c r="V136" s="8"/>
      <c r="W136" s="8"/>
    </row>
    <row r="137" spans="2:23" s="217" customFormat="1">
      <c r="B137" s="201"/>
      <c r="C137" s="232" t="s">
        <v>132</v>
      </c>
      <c r="D137" s="224" t="s">
        <v>66</v>
      </c>
      <c r="E137" s="225">
        <v>2</v>
      </c>
      <c r="F137" s="229">
        <v>0</v>
      </c>
      <c r="G137" s="230">
        <f t="shared" si="9"/>
        <v>0</v>
      </c>
      <c r="H137" s="8"/>
      <c r="I137" s="8"/>
      <c r="J137" s="8"/>
      <c r="K137" s="8"/>
      <c r="L137" s="8"/>
      <c r="M137" s="8"/>
      <c r="N137" s="8"/>
      <c r="O137" s="8"/>
      <c r="P137" s="8"/>
      <c r="Q137" s="8"/>
      <c r="R137" s="8"/>
      <c r="S137" s="8"/>
      <c r="T137" s="8"/>
      <c r="U137" s="8"/>
      <c r="V137" s="8"/>
      <c r="W137" s="8"/>
    </row>
    <row r="138" spans="2:23" s="217" customFormat="1">
      <c r="B138" s="201"/>
      <c r="C138" s="232" t="s">
        <v>166</v>
      </c>
      <c r="D138" s="224" t="s">
        <v>66</v>
      </c>
      <c r="E138" s="225">
        <v>1</v>
      </c>
      <c r="F138" s="229">
        <v>0</v>
      </c>
      <c r="G138" s="230">
        <f t="shared" si="9"/>
        <v>0</v>
      </c>
      <c r="H138" s="8"/>
      <c r="I138" s="8"/>
      <c r="J138" s="8"/>
      <c r="K138" s="8"/>
      <c r="L138" s="8"/>
      <c r="M138" s="8"/>
      <c r="N138" s="8"/>
      <c r="O138" s="8"/>
      <c r="P138" s="8"/>
      <c r="Q138" s="8"/>
      <c r="R138" s="8"/>
      <c r="S138" s="8"/>
      <c r="T138" s="8"/>
      <c r="U138" s="8"/>
      <c r="V138" s="8"/>
      <c r="W138" s="8"/>
    </row>
    <row r="139" spans="2:23" s="217" customFormat="1">
      <c r="B139" s="201"/>
      <c r="C139" s="232" t="s">
        <v>148</v>
      </c>
      <c r="D139" s="224" t="s">
        <v>66</v>
      </c>
      <c r="E139" s="225">
        <v>2</v>
      </c>
      <c r="F139" s="229">
        <v>0</v>
      </c>
      <c r="G139" s="230">
        <f t="shared" si="9"/>
        <v>0</v>
      </c>
      <c r="H139" s="8"/>
      <c r="I139" s="8"/>
      <c r="J139" s="8"/>
      <c r="K139" s="8"/>
      <c r="L139" s="8"/>
      <c r="M139" s="8"/>
      <c r="N139" s="8"/>
      <c r="O139" s="8"/>
      <c r="P139" s="8"/>
      <c r="Q139" s="8"/>
      <c r="R139" s="8"/>
      <c r="S139" s="8"/>
      <c r="T139" s="8"/>
      <c r="U139" s="8"/>
      <c r="V139" s="8"/>
      <c r="W139" s="8"/>
    </row>
    <row r="140" spans="2:23" s="217" customFormat="1">
      <c r="B140" s="201"/>
      <c r="C140" s="232" t="s">
        <v>167</v>
      </c>
      <c r="D140" s="224" t="s">
        <v>66</v>
      </c>
      <c r="E140" s="225">
        <v>1</v>
      </c>
      <c r="F140" s="229">
        <v>0</v>
      </c>
      <c r="G140" s="230">
        <f t="shared" si="9"/>
        <v>0</v>
      </c>
      <c r="H140" s="8"/>
      <c r="I140" s="8"/>
      <c r="J140" s="8"/>
      <c r="K140" s="8"/>
      <c r="L140" s="8"/>
      <c r="M140" s="8"/>
      <c r="N140" s="8"/>
      <c r="O140" s="8"/>
      <c r="P140" s="8"/>
      <c r="Q140" s="8"/>
      <c r="R140" s="8"/>
      <c r="S140" s="8"/>
      <c r="T140" s="8"/>
      <c r="U140" s="8"/>
      <c r="V140" s="8"/>
      <c r="W140" s="8"/>
    </row>
    <row r="141" spans="2:23" s="217" customFormat="1">
      <c r="B141" s="201"/>
      <c r="C141" s="232" t="s">
        <v>231</v>
      </c>
      <c r="D141" s="224" t="s">
        <v>66</v>
      </c>
      <c r="E141" s="225">
        <v>1</v>
      </c>
      <c r="F141" s="229">
        <v>0</v>
      </c>
      <c r="G141" s="230">
        <f t="shared" si="9"/>
        <v>0</v>
      </c>
      <c r="H141" s="8"/>
      <c r="I141" s="8"/>
      <c r="J141" s="8"/>
      <c r="K141" s="8"/>
      <c r="L141" s="8"/>
      <c r="M141" s="8"/>
      <c r="N141" s="8"/>
      <c r="O141" s="8"/>
      <c r="P141" s="8"/>
      <c r="Q141" s="8"/>
      <c r="R141" s="8"/>
      <c r="S141" s="8"/>
      <c r="T141" s="8"/>
      <c r="U141" s="8"/>
      <c r="V141" s="8"/>
      <c r="W141" s="8"/>
    </row>
    <row r="142" spans="2:23" s="217" customFormat="1">
      <c r="B142" s="201"/>
      <c r="C142" s="232" t="s">
        <v>232</v>
      </c>
      <c r="D142" s="224" t="s">
        <v>66</v>
      </c>
      <c r="E142" s="225">
        <v>1</v>
      </c>
      <c r="F142" s="229">
        <v>0</v>
      </c>
      <c r="G142" s="230">
        <f t="shared" si="9"/>
        <v>0</v>
      </c>
      <c r="H142" s="8"/>
      <c r="I142" s="8"/>
      <c r="J142" s="8"/>
      <c r="K142" s="8"/>
      <c r="L142" s="8"/>
      <c r="M142" s="8"/>
      <c r="N142" s="8"/>
      <c r="O142" s="8"/>
      <c r="P142" s="8"/>
      <c r="Q142" s="8"/>
      <c r="R142" s="8"/>
      <c r="S142" s="8"/>
      <c r="T142" s="8"/>
      <c r="U142" s="8"/>
      <c r="V142" s="8"/>
      <c r="W142" s="8"/>
    </row>
    <row r="143" spans="2:23" s="217" customFormat="1">
      <c r="B143" s="201"/>
      <c r="C143" s="232" t="s">
        <v>150</v>
      </c>
      <c r="D143" s="224" t="s">
        <v>66</v>
      </c>
      <c r="E143" s="225">
        <v>1</v>
      </c>
      <c r="F143" s="229">
        <v>0</v>
      </c>
      <c r="G143" s="230">
        <f t="shared" si="9"/>
        <v>0</v>
      </c>
      <c r="H143" s="8"/>
      <c r="I143" s="8"/>
      <c r="J143" s="8"/>
      <c r="K143" s="8"/>
      <c r="L143" s="8"/>
      <c r="M143" s="8"/>
      <c r="N143" s="8"/>
      <c r="O143" s="8"/>
      <c r="P143" s="8"/>
      <c r="Q143" s="8"/>
      <c r="R143" s="8"/>
      <c r="S143" s="8"/>
      <c r="T143" s="8"/>
      <c r="U143" s="8"/>
      <c r="V143" s="8"/>
      <c r="W143" s="8"/>
    </row>
    <row r="144" spans="2:23" s="217" customFormat="1">
      <c r="B144" s="201"/>
      <c r="C144" s="233" t="s">
        <v>135</v>
      </c>
      <c r="D144" s="224" t="s">
        <v>66</v>
      </c>
      <c r="E144" s="225">
        <v>1</v>
      </c>
      <c r="F144" s="229">
        <v>0</v>
      </c>
      <c r="G144" s="230">
        <f t="shared" si="9"/>
        <v>0</v>
      </c>
      <c r="H144" s="8"/>
      <c r="I144" s="8"/>
      <c r="J144" s="8"/>
      <c r="K144" s="8"/>
      <c r="L144" s="8"/>
      <c r="M144" s="8"/>
      <c r="N144" s="8"/>
      <c r="O144" s="8"/>
      <c r="P144" s="8"/>
      <c r="Q144" s="8"/>
      <c r="R144" s="8"/>
      <c r="S144" s="8"/>
      <c r="T144" s="8"/>
      <c r="U144" s="8"/>
      <c r="V144" s="8"/>
      <c r="W144" s="8"/>
    </row>
    <row r="145" spans="2:23" s="217" customFormat="1">
      <c r="B145" s="201"/>
      <c r="C145" s="223" t="s">
        <v>233</v>
      </c>
      <c r="D145" s="224"/>
      <c r="E145" s="225"/>
      <c r="F145" s="226"/>
      <c r="G145" s="227"/>
      <c r="H145" s="8"/>
      <c r="I145" s="8"/>
      <c r="J145" s="8"/>
      <c r="K145" s="8"/>
      <c r="L145" s="8"/>
      <c r="M145" s="8"/>
      <c r="N145" s="8"/>
      <c r="O145" s="8"/>
      <c r="P145" s="8"/>
      <c r="Q145" s="8"/>
      <c r="R145" s="8"/>
      <c r="S145" s="8"/>
      <c r="T145" s="8"/>
      <c r="U145" s="8"/>
      <c r="V145" s="8"/>
      <c r="W145" s="8"/>
    </row>
    <row r="146" spans="2:23" s="217" customFormat="1" ht="27" customHeight="1">
      <c r="B146" s="201"/>
      <c r="C146" s="228" t="s">
        <v>2066</v>
      </c>
      <c r="D146" s="224" t="s">
        <v>66</v>
      </c>
      <c r="E146" s="225">
        <v>2</v>
      </c>
      <c r="F146" s="229">
        <v>0</v>
      </c>
      <c r="G146" s="230">
        <f>E146*F146</f>
        <v>0</v>
      </c>
      <c r="H146" s="8"/>
      <c r="I146" s="8"/>
      <c r="J146" s="8"/>
      <c r="K146" s="8"/>
      <c r="L146" s="8"/>
      <c r="M146" s="8"/>
      <c r="N146" s="8"/>
      <c r="O146" s="8"/>
      <c r="P146" s="8"/>
      <c r="Q146" s="8"/>
      <c r="R146" s="8"/>
      <c r="S146" s="8"/>
      <c r="T146" s="8"/>
      <c r="U146" s="8"/>
      <c r="V146" s="8"/>
      <c r="W146" s="8"/>
    </row>
    <row r="147" spans="2:23" s="217" customFormat="1">
      <c r="B147" s="201"/>
      <c r="C147" s="232" t="s">
        <v>132</v>
      </c>
      <c r="D147" s="224" t="s">
        <v>66</v>
      </c>
      <c r="E147" s="225">
        <v>3</v>
      </c>
      <c r="F147" s="229">
        <v>0</v>
      </c>
      <c r="G147" s="230">
        <f t="shared" ref="G147:G154" si="10">E147*F147</f>
        <v>0</v>
      </c>
      <c r="H147" s="8"/>
      <c r="I147" s="8"/>
      <c r="J147" s="8"/>
      <c r="K147" s="8"/>
      <c r="L147" s="8"/>
      <c r="M147" s="8"/>
      <c r="N147" s="8"/>
      <c r="O147" s="8"/>
      <c r="P147" s="8"/>
      <c r="Q147" s="8"/>
      <c r="R147" s="8"/>
      <c r="S147" s="8"/>
      <c r="T147" s="8"/>
      <c r="U147" s="8"/>
      <c r="V147" s="8"/>
      <c r="W147" s="8"/>
    </row>
    <row r="148" spans="2:23" s="217" customFormat="1">
      <c r="B148" s="201"/>
      <c r="C148" s="232" t="s">
        <v>166</v>
      </c>
      <c r="D148" s="224" t="s">
        <v>66</v>
      </c>
      <c r="E148" s="225">
        <v>2</v>
      </c>
      <c r="F148" s="229">
        <v>0</v>
      </c>
      <c r="G148" s="230">
        <f t="shared" si="10"/>
        <v>0</v>
      </c>
      <c r="H148" s="8"/>
      <c r="I148" s="8"/>
      <c r="J148" s="8"/>
      <c r="K148" s="8"/>
      <c r="L148" s="8"/>
      <c r="M148" s="8"/>
      <c r="N148" s="8"/>
      <c r="O148" s="8"/>
      <c r="P148" s="8"/>
      <c r="Q148" s="8"/>
      <c r="R148" s="8"/>
      <c r="S148" s="8"/>
      <c r="T148" s="8"/>
      <c r="U148" s="8"/>
      <c r="V148" s="8"/>
      <c r="W148" s="8"/>
    </row>
    <row r="149" spans="2:23" s="217" customFormat="1">
      <c r="B149" s="201"/>
      <c r="C149" s="232" t="s">
        <v>148</v>
      </c>
      <c r="D149" s="224" t="s">
        <v>66</v>
      </c>
      <c r="E149" s="225">
        <v>3</v>
      </c>
      <c r="F149" s="229">
        <v>0</v>
      </c>
      <c r="G149" s="230">
        <f t="shared" si="10"/>
        <v>0</v>
      </c>
      <c r="H149" s="8"/>
      <c r="I149" s="8"/>
      <c r="J149" s="8"/>
      <c r="K149" s="8"/>
      <c r="L149" s="8"/>
      <c r="M149" s="8"/>
      <c r="N149" s="8"/>
      <c r="O149" s="8"/>
      <c r="P149" s="8"/>
      <c r="Q149" s="8"/>
      <c r="R149" s="8"/>
      <c r="S149" s="8"/>
      <c r="T149" s="8"/>
      <c r="U149" s="8"/>
      <c r="V149" s="8"/>
      <c r="W149" s="8"/>
    </row>
    <row r="150" spans="2:23" s="217" customFormat="1">
      <c r="B150" s="201"/>
      <c r="C150" s="232" t="s">
        <v>167</v>
      </c>
      <c r="D150" s="224" t="s">
        <v>66</v>
      </c>
      <c r="E150" s="225">
        <v>2</v>
      </c>
      <c r="F150" s="229">
        <v>0</v>
      </c>
      <c r="G150" s="230">
        <f t="shared" si="10"/>
        <v>0</v>
      </c>
      <c r="H150" s="8"/>
      <c r="I150" s="8"/>
      <c r="J150" s="8"/>
      <c r="K150" s="8"/>
      <c r="L150" s="8"/>
      <c r="M150" s="8"/>
      <c r="N150" s="8"/>
      <c r="O150" s="8"/>
      <c r="P150" s="8"/>
      <c r="Q150" s="8"/>
      <c r="R150" s="8"/>
      <c r="S150" s="8"/>
      <c r="T150" s="8"/>
      <c r="U150" s="8"/>
      <c r="V150" s="8"/>
      <c r="W150" s="8"/>
    </row>
    <row r="151" spans="2:23" s="217" customFormat="1">
      <c r="B151" s="201"/>
      <c r="C151" s="232" t="s">
        <v>229</v>
      </c>
      <c r="D151" s="224" t="s">
        <v>66</v>
      </c>
      <c r="E151" s="225">
        <v>1</v>
      </c>
      <c r="F151" s="229">
        <v>0</v>
      </c>
      <c r="G151" s="230">
        <f t="shared" si="10"/>
        <v>0</v>
      </c>
      <c r="H151" s="8"/>
      <c r="I151" s="8"/>
      <c r="J151" s="8"/>
      <c r="K151" s="8"/>
      <c r="L151" s="8"/>
      <c r="M151" s="8"/>
      <c r="N151" s="8"/>
      <c r="O151" s="8"/>
      <c r="P151" s="8"/>
      <c r="Q151" s="8"/>
      <c r="R151" s="8"/>
      <c r="S151" s="8"/>
      <c r="T151" s="8"/>
      <c r="U151" s="8"/>
      <c r="V151" s="8"/>
      <c r="W151" s="8"/>
    </row>
    <row r="152" spans="2:23" s="217" customFormat="1">
      <c r="B152" s="201"/>
      <c r="C152" s="232" t="s">
        <v>230</v>
      </c>
      <c r="D152" s="224" t="s">
        <v>66</v>
      </c>
      <c r="E152" s="225">
        <v>1</v>
      </c>
      <c r="F152" s="229">
        <v>0</v>
      </c>
      <c r="G152" s="230">
        <f t="shared" si="10"/>
        <v>0</v>
      </c>
      <c r="H152" s="8"/>
      <c r="I152" s="8"/>
      <c r="J152" s="8"/>
      <c r="K152" s="8"/>
      <c r="L152" s="8"/>
      <c r="M152" s="8"/>
      <c r="N152" s="8"/>
      <c r="O152" s="8"/>
      <c r="P152" s="8"/>
      <c r="Q152" s="8"/>
      <c r="R152" s="8"/>
      <c r="S152" s="8"/>
      <c r="T152" s="8"/>
      <c r="U152" s="8"/>
      <c r="V152" s="8"/>
      <c r="W152" s="8"/>
    </row>
    <row r="153" spans="2:23" s="217" customFormat="1">
      <c r="B153" s="201"/>
      <c r="C153" s="232" t="s">
        <v>150</v>
      </c>
      <c r="D153" s="224" t="s">
        <v>66</v>
      </c>
      <c r="E153" s="225">
        <v>2</v>
      </c>
      <c r="F153" s="229">
        <v>0</v>
      </c>
      <c r="G153" s="230">
        <f t="shared" si="10"/>
        <v>0</v>
      </c>
      <c r="H153" s="8"/>
      <c r="I153" s="8"/>
      <c r="J153" s="8"/>
      <c r="K153" s="8"/>
      <c r="L153" s="8"/>
      <c r="M153" s="8"/>
      <c r="N153" s="8"/>
      <c r="O153" s="8"/>
      <c r="P153" s="8"/>
      <c r="Q153" s="8"/>
      <c r="R153" s="8"/>
      <c r="S153" s="8"/>
      <c r="T153" s="8"/>
      <c r="U153" s="8"/>
      <c r="V153" s="8"/>
      <c r="W153" s="8"/>
    </row>
    <row r="154" spans="2:23" s="217" customFormat="1">
      <c r="B154" s="201"/>
      <c r="C154" s="233" t="s">
        <v>135</v>
      </c>
      <c r="D154" s="224" t="s">
        <v>66</v>
      </c>
      <c r="E154" s="225">
        <v>2</v>
      </c>
      <c r="F154" s="229">
        <v>0</v>
      </c>
      <c r="G154" s="230">
        <f t="shared" si="10"/>
        <v>0</v>
      </c>
      <c r="H154" s="8"/>
      <c r="I154" s="8"/>
      <c r="J154" s="8"/>
      <c r="K154" s="8"/>
      <c r="L154" s="8"/>
      <c r="M154" s="8"/>
      <c r="N154" s="8"/>
      <c r="O154" s="8"/>
      <c r="P154" s="8"/>
      <c r="Q154" s="8"/>
      <c r="R154" s="8"/>
      <c r="S154" s="8"/>
      <c r="T154" s="8"/>
      <c r="U154" s="8"/>
      <c r="V154" s="8"/>
      <c r="W154" s="8"/>
    </row>
    <row r="155" spans="2:23" s="217" customFormat="1">
      <c r="B155" s="218"/>
      <c r="C155" s="223" t="s">
        <v>228</v>
      </c>
      <c r="D155" s="224"/>
      <c r="E155" s="225"/>
      <c r="F155" s="226"/>
      <c r="G155" s="227"/>
      <c r="H155" s="8"/>
      <c r="I155" s="8"/>
      <c r="J155" s="8"/>
      <c r="K155" s="8"/>
      <c r="L155" s="8"/>
      <c r="M155" s="8"/>
      <c r="N155" s="8"/>
      <c r="O155" s="8"/>
      <c r="P155" s="8"/>
      <c r="Q155" s="8"/>
      <c r="R155" s="8"/>
      <c r="S155" s="8"/>
      <c r="T155" s="8"/>
      <c r="U155" s="8"/>
      <c r="V155" s="8"/>
      <c r="W155" s="8"/>
    </row>
    <row r="156" spans="2:23" s="217" customFormat="1" ht="26.25" customHeight="1">
      <c r="B156" s="218"/>
      <c r="C156" s="228" t="s">
        <v>2066</v>
      </c>
      <c r="D156" s="224" t="s">
        <v>66</v>
      </c>
      <c r="E156" s="225">
        <v>1</v>
      </c>
      <c r="F156" s="229">
        <v>0</v>
      </c>
      <c r="G156" s="230">
        <f t="shared" ref="G156:G165" si="11">E156*F156</f>
        <v>0</v>
      </c>
      <c r="H156" s="8"/>
      <c r="I156" s="8"/>
      <c r="J156" s="8"/>
      <c r="K156" s="8"/>
      <c r="L156" s="8"/>
      <c r="M156" s="8"/>
      <c r="N156" s="8"/>
      <c r="O156" s="8"/>
      <c r="P156" s="8"/>
      <c r="Q156" s="8"/>
      <c r="R156" s="8"/>
      <c r="S156" s="8"/>
      <c r="T156" s="8"/>
      <c r="U156" s="8"/>
      <c r="V156" s="8"/>
      <c r="W156" s="8"/>
    </row>
    <row r="157" spans="2:23" s="217" customFormat="1">
      <c r="B157" s="218"/>
      <c r="C157" s="232" t="s">
        <v>132</v>
      </c>
      <c r="D157" s="224" t="s">
        <v>66</v>
      </c>
      <c r="E157" s="225">
        <v>1</v>
      </c>
      <c r="F157" s="229">
        <v>0</v>
      </c>
      <c r="G157" s="230">
        <f t="shared" si="11"/>
        <v>0</v>
      </c>
      <c r="H157" s="8"/>
      <c r="I157" s="8"/>
      <c r="J157" s="8"/>
      <c r="K157" s="8"/>
      <c r="L157" s="8"/>
      <c r="M157" s="8"/>
      <c r="N157" s="8"/>
      <c r="O157" s="8"/>
      <c r="P157" s="8"/>
      <c r="Q157" s="8"/>
      <c r="R157" s="8"/>
      <c r="S157" s="8"/>
      <c r="T157" s="8"/>
      <c r="U157" s="8"/>
      <c r="V157" s="8"/>
      <c r="W157" s="8"/>
    </row>
    <row r="158" spans="2:23" s="217" customFormat="1">
      <c r="B158" s="218"/>
      <c r="C158" s="232" t="s">
        <v>166</v>
      </c>
      <c r="D158" s="224" t="s">
        <v>66</v>
      </c>
      <c r="E158" s="225">
        <v>1</v>
      </c>
      <c r="F158" s="229">
        <v>0</v>
      </c>
      <c r="G158" s="230">
        <f t="shared" si="11"/>
        <v>0</v>
      </c>
      <c r="H158" s="8"/>
      <c r="I158" s="8"/>
      <c r="J158" s="8"/>
      <c r="K158" s="8"/>
      <c r="L158" s="8"/>
      <c r="M158" s="8"/>
      <c r="N158" s="8"/>
      <c r="O158" s="8"/>
      <c r="P158" s="8"/>
      <c r="Q158" s="8"/>
      <c r="R158" s="8"/>
      <c r="S158" s="8"/>
      <c r="T158" s="8"/>
      <c r="U158" s="8"/>
      <c r="V158" s="8"/>
      <c r="W158" s="8"/>
    </row>
    <row r="159" spans="2:23" s="217" customFormat="1">
      <c r="B159" s="218"/>
      <c r="C159" s="232" t="s">
        <v>148</v>
      </c>
      <c r="D159" s="224" t="s">
        <v>66</v>
      </c>
      <c r="E159" s="225">
        <v>1</v>
      </c>
      <c r="F159" s="229">
        <v>0</v>
      </c>
      <c r="G159" s="230">
        <f t="shared" si="11"/>
        <v>0</v>
      </c>
      <c r="H159" s="8"/>
      <c r="I159" s="8"/>
      <c r="J159" s="8"/>
      <c r="K159" s="8"/>
      <c r="L159" s="8"/>
      <c r="M159" s="8"/>
      <c r="N159" s="8"/>
      <c r="O159" s="8"/>
      <c r="P159" s="8"/>
      <c r="Q159" s="8"/>
      <c r="R159" s="8"/>
      <c r="S159" s="8"/>
      <c r="T159" s="8"/>
      <c r="U159" s="8"/>
      <c r="V159" s="8"/>
      <c r="W159" s="8"/>
    </row>
    <row r="160" spans="2:23" s="217" customFormat="1">
      <c r="B160" s="218"/>
      <c r="C160" s="232" t="s">
        <v>167</v>
      </c>
      <c r="D160" s="224" t="s">
        <v>66</v>
      </c>
      <c r="E160" s="225">
        <v>1</v>
      </c>
      <c r="F160" s="229">
        <v>0</v>
      </c>
      <c r="G160" s="230">
        <f t="shared" si="11"/>
        <v>0</v>
      </c>
      <c r="H160" s="8"/>
      <c r="I160" s="8"/>
      <c r="J160" s="8"/>
      <c r="K160" s="8"/>
      <c r="L160" s="8"/>
      <c r="M160" s="8"/>
      <c r="N160" s="8"/>
      <c r="O160" s="8"/>
      <c r="P160" s="8"/>
      <c r="Q160" s="8"/>
      <c r="R160" s="8"/>
      <c r="S160" s="8"/>
      <c r="T160" s="8"/>
      <c r="U160" s="8"/>
      <c r="V160" s="8"/>
      <c r="W160" s="8"/>
    </row>
    <row r="161" spans="2:23" s="217" customFormat="1">
      <c r="B161" s="218"/>
      <c r="C161" s="232" t="s">
        <v>231</v>
      </c>
      <c r="D161" s="224" t="s">
        <v>66</v>
      </c>
      <c r="E161" s="225">
        <v>1</v>
      </c>
      <c r="F161" s="229">
        <v>0</v>
      </c>
      <c r="G161" s="230">
        <f t="shared" si="11"/>
        <v>0</v>
      </c>
      <c r="H161" s="8"/>
      <c r="I161" s="8"/>
      <c r="J161" s="8"/>
      <c r="K161" s="8"/>
      <c r="L161" s="8"/>
      <c r="M161" s="8"/>
      <c r="N161" s="8"/>
      <c r="O161" s="8"/>
      <c r="P161" s="8"/>
      <c r="Q161" s="8"/>
      <c r="R161" s="8"/>
      <c r="S161" s="8"/>
      <c r="T161" s="8"/>
      <c r="U161" s="8"/>
      <c r="V161" s="8"/>
      <c r="W161" s="8"/>
    </row>
    <row r="162" spans="2:23" s="217" customFormat="1">
      <c r="B162" s="218"/>
      <c r="C162" s="232" t="s">
        <v>232</v>
      </c>
      <c r="D162" s="224" t="s">
        <v>66</v>
      </c>
      <c r="E162" s="225">
        <v>1</v>
      </c>
      <c r="F162" s="229">
        <v>0</v>
      </c>
      <c r="G162" s="230">
        <f t="shared" si="11"/>
        <v>0</v>
      </c>
      <c r="H162" s="8"/>
      <c r="I162" s="8"/>
      <c r="J162" s="8"/>
      <c r="K162" s="8"/>
      <c r="L162" s="8"/>
      <c r="M162" s="8"/>
      <c r="N162" s="8"/>
      <c r="O162" s="8"/>
      <c r="P162" s="8"/>
      <c r="Q162" s="8"/>
      <c r="R162" s="8"/>
      <c r="S162" s="8"/>
      <c r="T162" s="8"/>
      <c r="U162" s="8"/>
      <c r="V162" s="8"/>
      <c r="W162" s="8"/>
    </row>
    <row r="163" spans="2:23" s="217" customFormat="1">
      <c r="B163" s="218"/>
      <c r="C163" s="232" t="s">
        <v>223</v>
      </c>
      <c r="D163" s="224" t="s">
        <v>66</v>
      </c>
      <c r="E163" s="225">
        <v>1</v>
      </c>
      <c r="F163" s="229">
        <v>0</v>
      </c>
      <c r="G163" s="230">
        <f t="shared" si="11"/>
        <v>0</v>
      </c>
      <c r="H163" s="8"/>
      <c r="I163" s="8"/>
      <c r="J163" s="8"/>
      <c r="K163" s="8"/>
      <c r="L163" s="8"/>
      <c r="M163" s="8"/>
      <c r="N163" s="8"/>
      <c r="O163" s="8"/>
      <c r="P163" s="8"/>
      <c r="Q163" s="8"/>
      <c r="R163" s="8"/>
      <c r="S163" s="8"/>
      <c r="T163" s="8"/>
      <c r="U163" s="8"/>
      <c r="V163" s="8"/>
      <c r="W163" s="8"/>
    </row>
    <row r="164" spans="2:23" s="217" customFormat="1">
      <c r="B164" s="218"/>
      <c r="C164" s="232" t="s">
        <v>150</v>
      </c>
      <c r="D164" s="224" t="s">
        <v>66</v>
      </c>
      <c r="E164" s="225">
        <v>1</v>
      </c>
      <c r="F164" s="229">
        <v>0</v>
      </c>
      <c r="G164" s="230">
        <f t="shared" si="11"/>
        <v>0</v>
      </c>
      <c r="H164" s="8"/>
      <c r="I164" s="8"/>
      <c r="J164" s="8"/>
      <c r="K164" s="8"/>
      <c r="L164" s="8"/>
      <c r="M164" s="8"/>
      <c r="N164" s="8"/>
      <c r="O164" s="8"/>
      <c r="P164" s="8"/>
      <c r="Q164" s="8"/>
      <c r="R164" s="8"/>
      <c r="S164" s="8"/>
      <c r="T164" s="8"/>
      <c r="U164" s="8"/>
      <c r="V164" s="8"/>
      <c r="W164" s="8"/>
    </row>
    <row r="165" spans="2:23" s="217" customFormat="1">
      <c r="B165" s="218"/>
      <c r="C165" s="233" t="s">
        <v>135</v>
      </c>
      <c r="D165" s="224" t="s">
        <v>66</v>
      </c>
      <c r="E165" s="225">
        <v>1</v>
      </c>
      <c r="F165" s="229">
        <v>0</v>
      </c>
      <c r="G165" s="230">
        <f t="shared" si="11"/>
        <v>0</v>
      </c>
      <c r="H165" s="8"/>
      <c r="I165" s="8"/>
      <c r="J165" s="8"/>
      <c r="K165" s="8"/>
      <c r="L165" s="8"/>
      <c r="M165" s="8"/>
      <c r="N165" s="8"/>
      <c r="O165" s="8"/>
      <c r="P165" s="8"/>
      <c r="Q165" s="8"/>
      <c r="R165" s="8"/>
      <c r="S165" s="8"/>
      <c r="T165" s="8"/>
      <c r="U165" s="8"/>
      <c r="V165" s="8"/>
      <c r="W165" s="8"/>
    </row>
    <row r="166" spans="2:23" s="217" customFormat="1">
      <c r="B166" s="201" t="s">
        <v>159</v>
      </c>
      <c r="C166" s="238" t="s">
        <v>169</v>
      </c>
      <c r="D166" s="239"/>
      <c r="E166" s="240"/>
      <c r="F166" s="241"/>
      <c r="G166" s="242"/>
      <c r="H166" s="8"/>
      <c r="I166" s="8"/>
      <c r="J166" s="8"/>
      <c r="K166" s="8"/>
      <c r="L166" s="8"/>
      <c r="M166" s="8"/>
      <c r="N166" s="8"/>
      <c r="O166" s="8"/>
      <c r="P166" s="8"/>
      <c r="Q166" s="8"/>
      <c r="R166" s="8"/>
      <c r="S166" s="8"/>
      <c r="T166" s="8"/>
      <c r="U166" s="8"/>
      <c r="V166" s="8"/>
      <c r="W166" s="8"/>
    </row>
    <row r="167" spans="2:23" s="217" customFormat="1">
      <c r="B167" s="218"/>
      <c r="C167" s="238" t="s">
        <v>234</v>
      </c>
      <c r="D167" s="239"/>
      <c r="E167" s="240"/>
      <c r="F167" s="241"/>
      <c r="G167" s="242"/>
      <c r="H167" s="8"/>
      <c r="I167" s="8"/>
      <c r="J167" s="8"/>
      <c r="K167" s="8"/>
      <c r="L167" s="8"/>
      <c r="M167" s="8"/>
      <c r="N167" s="8"/>
      <c r="O167" s="8"/>
      <c r="P167" s="8"/>
      <c r="Q167" s="8"/>
      <c r="R167" s="8"/>
      <c r="S167" s="8"/>
      <c r="T167" s="8"/>
      <c r="U167" s="8"/>
      <c r="V167" s="8"/>
      <c r="W167" s="8"/>
    </row>
    <row r="168" spans="2:23" s="217" customFormat="1" ht="36">
      <c r="B168" s="218"/>
      <c r="C168" s="243" t="s">
        <v>2074</v>
      </c>
      <c r="D168" s="239" t="s">
        <v>66</v>
      </c>
      <c r="E168" s="240">
        <v>13</v>
      </c>
      <c r="F168" s="244">
        <v>0</v>
      </c>
      <c r="G168" s="245">
        <f t="shared" ref="G168:G170" si="12">E168*F168</f>
        <v>0</v>
      </c>
      <c r="H168" s="8"/>
      <c r="I168" s="8"/>
      <c r="J168" s="8"/>
      <c r="K168" s="8"/>
      <c r="L168" s="8"/>
      <c r="M168" s="8"/>
      <c r="N168" s="8"/>
      <c r="O168" s="8"/>
      <c r="P168" s="8"/>
      <c r="Q168" s="8"/>
      <c r="R168" s="8"/>
      <c r="S168" s="8"/>
      <c r="T168" s="8"/>
      <c r="U168" s="8"/>
      <c r="V168" s="8"/>
      <c r="W168" s="8"/>
    </row>
    <row r="169" spans="2:23" s="217" customFormat="1">
      <c r="B169" s="218"/>
      <c r="C169" s="246" t="s">
        <v>171</v>
      </c>
      <c r="D169" s="239" t="s">
        <v>66</v>
      </c>
      <c r="E169" s="240">
        <v>13</v>
      </c>
      <c r="F169" s="244">
        <v>0</v>
      </c>
      <c r="G169" s="245">
        <f t="shared" si="12"/>
        <v>0</v>
      </c>
      <c r="H169" s="8"/>
      <c r="I169" s="8"/>
      <c r="J169" s="8"/>
      <c r="K169" s="8"/>
      <c r="L169" s="8"/>
      <c r="M169" s="8"/>
      <c r="N169" s="8"/>
      <c r="O169" s="8"/>
      <c r="P169" s="8"/>
      <c r="Q169" s="8"/>
      <c r="R169" s="8"/>
      <c r="S169" s="8"/>
      <c r="T169" s="8"/>
      <c r="U169" s="8"/>
      <c r="V169" s="8"/>
      <c r="W169" s="8"/>
    </row>
    <row r="170" spans="2:23" s="217" customFormat="1">
      <c r="B170" s="218"/>
      <c r="C170" s="247" t="s">
        <v>135</v>
      </c>
      <c r="D170" s="239" t="s">
        <v>66</v>
      </c>
      <c r="E170" s="240">
        <v>13</v>
      </c>
      <c r="F170" s="244">
        <v>0</v>
      </c>
      <c r="G170" s="245">
        <f t="shared" si="12"/>
        <v>0</v>
      </c>
      <c r="H170" s="8"/>
      <c r="I170" s="8"/>
      <c r="J170" s="8"/>
      <c r="K170" s="8"/>
      <c r="L170" s="8"/>
      <c r="M170" s="8"/>
      <c r="N170" s="8"/>
      <c r="O170" s="8"/>
      <c r="P170" s="8"/>
      <c r="Q170" s="8"/>
      <c r="R170" s="8"/>
      <c r="S170" s="8"/>
      <c r="T170" s="8"/>
      <c r="U170" s="8"/>
      <c r="V170" s="8"/>
      <c r="W170" s="8"/>
    </row>
    <row r="171" spans="2:23" s="217" customFormat="1">
      <c r="B171" s="218"/>
      <c r="C171" s="238" t="s">
        <v>170</v>
      </c>
      <c r="D171" s="239"/>
      <c r="E171" s="240"/>
      <c r="F171" s="241"/>
      <c r="G171" s="242"/>
      <c r="H171" s="8"/>
      <c r="I171" s="8"/>
      <c r="J171" s="8"/>
      <c r="K171" s="8"/>
      <c r="L171" s="8"/>
      <c r="M171" s="8"/>
      <c r="N171" s="8"/>
      <c r="O171" s="8"/>
      <c r="P171" s="8"/>
      <c r="Q171" s="8"/>
      <c r="R171" s="8"/>
      <c r="S171" s="8"/>
      <c r="T171" s="8"/>
      <c r="U171" s="8"/>
      <c r="V171" s="8"/>
      <c r="W171" s="8"/>
    </row>
    <row r="172" spans="2:23" s="217" customFormat="1" ht="36">
      <c r="B172" s="218"/>
      <c r="C172" s="243" t="s">
        <v>2063</v>
      </c>
      <c r="D172" s="239" t="s">
        <v>66</v>
      </c>
      <c r="E172" s="240">
        <v>16</v>
      </c>
      <c r="F172" s="244">
        <v>0</v>
      </c>
      <c r="G172" s="245">
        <f t="shared" ref="G172:G174" si="13">E172*F172</f>
        <v>0</v>
      </c>
      <c r="H172" s="8"/>
      <c r="I172" s="8"/>
      <c r="J172" s="8"/>
      <c r="K172" s="8"/>
      <c r="L172" s="8"/>
      <c r="M172" s="8"/>
      <c r="N172" s="8"/>
      <c r="O172" s="8"/>
      <c r="P172" s="8"/>
      <c r="Q172" s="8"/>
      <c r="R172" s="8"/>
      <c r="S172" s="8"/>
      <c r="T172" s="8"/>
      <c r="U172" s="8"/>
      <c r="V172" s="8"/>
      <c r="W172" s="8"/>
    </row>
    <row r="173" spans="2:23" s="217" customFormat="1">
      <c r="B173" s="218"/>
      <c r="C173" s="246" t="s">
        <v>171</v>
      </c>
      <c r="D173" s="239" t="s">
        <v>66</v>
      </c>
      <c r="E173" s="240">
        <v>16</v>
      </c>
      <c r="F173" s="244">
        <v>0</v>
      </c>
      <c r="G173" s="245">
        <f t="shared" si="13"/>
        <v>0</v>
      </c>
      <c r="H173" s="8"/>
      <c r="I173" s="8"/>
      <c r="J173" s="8"/>
      <c r="K173" s="8"/>
      <c r="L173" s="8"/>
      <c r="M173" s="8"/>
      <c r="N173" s="8"/>
      <c r="O173" s="8"/>
      <c r="P173" s="8"/>
      <c r="Q173" s="8"/>
      <c r="R173" s="8"/>
      <c r="S173" s="8"/>
      <c r="T173" s="8"/>
      <c r="U173" s="8"/>
      <c r="V173" s="8"/>
      <c r="W173" s="8"/>
    </row>
    <row r="174" spans="2:23" s="217" customFormat="1">
      <c r="B174" s="218"/>
      <c r="C174" s="247" t="s">
        <v>135</v>
      </c>
      <c r="D174" s="239" t="s">
        <v>66</v>
      </c>
      <c r="E174" s="240">
        <v>16</v>
      </c>
      <c r="F174" s="244">
        <v>0</v>
      </c>
      <c r="G174" s="245">
        <f t="shared" si="13"/>
        <v>0</v>
      </c>
      <c r="H174" s="8"/>
      <c r="I174" s="8"/>
      <c r="J174" s="8"/>
      <c r="K174" s="8"/>
      <c r="L174" s="8"/>
      <c r="M174" s="8"/>
      <c r="N174" s="8"/>
      <c r="O174" s="8"/>
      <c r="P174" s="8"/>
      <c r="Q174" s="8"/>
      <c r="R174" s="8"/>
      <c r="S174" s="8"/>
      <c r="T174" s="8"/>
      <c r="U174" s="8"/>
      <c r="V174" s="8"/>
      <c r="W174" s="8"/>
    </row>
    <row r="175" spans="2:23">
      <c r="B175" s="201" t="s">
        <v>168</v>
      </c>
      <c r="C175" s="248" t="s">
        <v>173</v>
      </c>
      <c r="D175" s="249"/>
      <c r="E175" s="250"/>
      <c r="F175" s="251"/>
      <c r="G175" s="252"/>
      <c r="I175" s="8"/>
      <c r="J175" s="8"/>
      <c r="K175" s="8"/>
      <c r="L175" s="8"/>
      <c r="M175" s="8"/>
      <c r="N175" s="8"/>
      <c r="O175" s="8"/>
      <c r="P175" s="8"/>
      <c r="Q175" s="8"/>
      <c r="R175" s="8"/>
      <c r="S175" s="8"/>
      <c r="T175" s="8"/>
      <c r="U175" s="8"/>
      <c r="V175" s="8"/>
      <c r="W175" s="8"/>
    </row>
    <row r="176" spans="2:23" s="217" customFormat="1" ht="63" customHeight="1">
      <c r="B176" s="218"/>
      <c r="C176" s="253" t="s">
        <v>174</v>
      </c>
      <c r="D176" s="254" t="s">
        <v>66</v>
      </c>
      <c r="E176" s="255">
        <v>1</v>
      </c>
      <c r="F176" s="256">
        <v>0</v>
      </c>
      <c r="G176" s="257">
        <f t="shared" ref="G176" si="14">E176*F176</f>
        <v>0</v>
      </c>
      <c r="H176" s="8"/>
      <c r="I176" s="8"/>
      <c r="J176" s="8"/>
      <c r="K176" s="8"/>
      <c r="L176" s="8"/>
      <c r="M176" s="8"/>
      <c r="N176" s="8"/>
      <c r="O176" s="8"/>
      <c r="P176" s="8"/>
      <c r="Q176" s="8"/>
      <c r="R176" s="8"/>
      <c r="S176" s="8"/>
      <c r="T176" s="8"/>
      <c r="U176" s="8"/>
      <c r="V176" s="8"/>
      <c r="W176" s="8"/>
    </row>
    <row r="177" spans="2:23" s="179" customFormat="1" ht="16.5" customHeight="1">
      <c r="B177" s="258" t="s">
        <v>47</v>
      </c>
      <c r="C177" s="259" t="s">
        <v>175</v>
      </c>
      <c r="D177" s="260"/>
      <c r="E177" s="261"/>
      <c r="F177" s="262"/>
      <c r="G177" s="263">
        <f>SUM(G80:G176)</f>
        <v>0</v>
      </c>
      <c r="H177" s="8"/>
      <c r="I177" s="8"/>
      <c r="J177" s="8"/>
      <c r="K177" s="8"/>
      <c r="L177" s="8"/>
      <c r="M177" s="8"/>
      <c r="N177" s="8"/>
      <c r="O177" s="8"/>
      <c r="P177" s="8"/>
      <c r="Q177" s="8"/>
      <c r="R177" s="8"/>
      <c r="S177" s="8"/>
      <c r="T177" s="8"/>
      <c r="U177" s="8"/>
      <c r="V177" s="8"/>
      <c r="W177" s="8"/>
    </row>
    <row r="178" spans="2:23">
      <c r="H178" s="143"/>
    </row>
    <row r="179" spans="2:23">
      <c r="H179" s="143"/>
    </row>
    <row r="180" spans="2:23">
      <c r="H180" s="143"/>
    </row>
    <row r="181" spans="2:23">
      <c r="H181" s="143"/>
    </row>
    <row r="182" spans="2:23">
      <c r="H182" s="143"/>
    </row>
    <row r="183" spans="2:23">
      <c r="H183" s="143"/>
    </row>
    <row r="184" spans="2:23">
      <c r="H184" s="143"/>
    </row>
    <row r="185" spans="2:23">
      <c r="H185" s="143"/>
    </row>
  </sheetData>
  <mergeCells count="6">
    <mergeCell ref="B87:B88"/>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6" manualBreakCount="6">
    <brk id="18" max="16383" man="1"/>
    <brk id="37" max="16383" man="1"/>
    <brk id="54" min="1" max="6" man="1"/>
    <brk id="69" max="16383" man="1"/>
    <brk id="110" min="1" max="6" man="1"/>
    <brk id="165" min="1"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1892-0B0C-4271-831B-C58ABCD495BA}">
  <sheetPr>
    <tabColor theme="9" tint="-0.249977111117893"/>
  </sheetPr>
  <dimension ref="A2:I23"/>
  <sheetViews>
    <sheetView showZeros="0" zoomScale="115" zoomScaleNormal="115" workbookViewId="0">
      <selection activeCell="G25" sqref="G25"/>
    </sheetView>
  </sheetViews>
  <sheetFormatPr defaultColWidth="10.42578125" defaultRowHeight="12.75"/>
  <cols>
    <col min="1" max="1" width="4.42578125" style="1" customWidth="1"/>
    <col min="2" max="2" width="9.28515625" style="67" customWidth="1"/>
    <col min="3" max="3" width="42.85546875" style="68" customWidth="1"/>
    <col min="4" max="4" width="2.7109375" style="69" customWidth="1"/>
    <col min="5" max="5" width="9.28515625" style="70" hidden="1" customWidth="1"/>
    <col min="6" max="6" width="8.7109375" style="71" customWidth="1"/>
    <col min="7" max="7" width="17.7109375" style="66" customWidth="1"/>
    <col min="8"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c r="B2" s="2"/>
      <c r="C2" s="3" t="s">
        <v>0</v>
      </c>
      <c r="D2" s="4"/>
      <c r="E2" s="5"/>
      <c r="F2" s="6"/>
      <c r="G2" s="7"/>
    </row>
    <row r="4" spans="1:9" s="14" customFormat="1" ht="18" customHeight="1">
      <c r="A4" s="9"/>
      <c r="B4" s="10" t="s">
        <v>2</v>
      </c>
      <c r="C4" s="11"/>
      <c r="D4" s="12"/>
      <c r="E4" s="12"/>
      <c r="F4" s="12"/>
      <c r="G4" s="13"/>
    </row>
    <row r="5" spans="1:9" s="14" customFormat="1" ht="18" customHeight="1">
      <c r="A5" s="15"/>
      <c r="B5" s="16" t="s">
        <v>3</v>
      </c>
      <c r="C5" s="17"/>
      <c r="D5" s="18"/>
      <c r="E5" s="19"/>
      <c r="F5" s="19"/>
      <c r="G5" s="18"/>
    </row>
    <row r="6" spans="1:9" s="14" customFormat="1" ht="18" customHeight="1">
      <c r="A6" s="9"/>
      <c r="B6" s="10" t="s">
        <v>4</v>
      </c>
      <c r="C6" s="11"/>
      <c r="D6" s="12"/>
      <c r="E6" s="12"/>
      <c r="F6" s="12"/>
      <c r="G6" s="13"/>
    </row>
    <row r="7" spans="1:9" s="14" customFormat="1" ht="18" customHeight="1">
      <c r="A7" s="15"/>
      <c r="B7" s="16" t="s">
        <v>5</v>
      </c>
      <c r="C7" s="17"/>
      <c r="D7" s="19"/>
      <c r="E7" s="19"/>
      <c r="F7" s="19"/>
      <c r="G7" s="18"/>
    </row>
    <row r="8" spans="1:9" s="20" customFormat="1" ht="14.25">
      <c r="B8" s="21"/>
      <c r="C8" s="22"/>
      <c r="D8" s="23"/>
      <c r="E8" s="24"/>
      <c r="F8" s="25"/>
      <c r="G8" s="26"/>
      <c r="H8" s="28"/>
      <c r="I8" s="28"/>
    </row>
    <row r="9" spans="1:9" s="20" customFormat="1" ht="25.5" customHeight="1">
      <c r="B9" s="2287"/>
      <c r="C9" s="2288" t="s">
        <v>6</v>
      </c>
      <c r="D9" s="47"/>
      <c r="E9" s="48"/>
      <c r="F9" s="49"/>
      <c r="G9" s="2289" t="s">
        <v>10</v>
      </c>
      <c r="H9" s="28"/>
      <c r="I9" s="28"/>
    </row>
    <row r="10" spans="1:9" s="14" customFormat="1" ht="23.25" customHeight="1">
      <c r="B10" s="34" t="s">
        <v>7</v>
      </c>
      <c r="C10" s="35" t="s">
        <v>8</v>
      </c>
      <c r="D10" s="2390"/>
      <c r="E10" s="2390"/>
      <c r="F10" s="2391"/>
      <c r="G10" s="1539" t="s">
        <v>2268</v>
      </c>
    </row>
    <row r="11" spans="1:9" s="14" customFormat="1" ht="23.25" customHeight="1">
      <c r="B11" s="1538"/>
      <c r="C11" s="35" t="s">
        <v>2012</v>
      </c>
      <c r="D11" s="1534"/>
      <c r="E11" s="1534"/>
      <c r="F11" s="1535"/>
      <c r="G11" s="1539"/>
    </row>
    <row r="12" spans="1:9" s="14" customFormat="1" ht="18.75" customHeight="1">
      <c r="B12" s="38" t="s">
        <v>11</v>
      </c>
      <c r="C12" s="39" t="s">
        <v>1803</v>
      </c>
      <c r="D12" s="40"/>
      <c r="E12" s="41"/>
      <c r="F12" s="42"/>
      <c r="G12" s="1556">
        <f>'M.Sobota_VMS-V1-1'!G17</f>
        <v>0</v>
      </c>
    </row>
    <row r="13" spans="1:9" s="14" customFormat="1" ht="18.75" customHeight="1">
      <c r="B13" s="38" t="s">
        <v>13</v>
      </c>
      <c r="C13" s="39" t="s">
        <v>1805</v>
      </c>
      <c r="D13" s="40"/>
      <c r="E13" s="41"/>
      <c r="F13" s="42"/>
      <c r="G13" s="1556">
        <f>'M.Sobota_VMS-V1-3'!G17</f>
        <v>0</v>
      </c>
    </row>
    <row r="14" spans="1:9" s="14" customFormat="1" ht="18.75" customHeight="1">
      <c r="B14" s="38" t="s">
        <v>15</v>
      </c>
      <c r="C14" s="39" t="s">
        <v>1806</v>
      </c>
      <c r="D14" s="40"/>
      <c r="E14" s="41"/>
      <c r="F14" s="42"/>
      <c r="G14" s="1556">
        <f>'M.Sobota_VMS-V1-2'!G17</f>
        <v>0</v>
      </c>
    </row>
    <row r="15" spans="1:9" s="14" customFormat="1" ht="18.75" customHeight="1">
      <c r="B15" s="38" t="s">
        <v>17</v>
      </c>
      <c r="C15" s="39" t="s">
        <v>1807</v>
      </c>
      <c r="D15" s="40"/>
      <c r="E15" s="41"/>
      <c r="F15" s="42"/>
      <c r="G15" s="1556">
        <f>'M.Sobota_VMP-1'!G17</f>
        <v>0</v>
      </c>
    </row>
    <row r="16" spans="1:9" s="14" customFormat="1" ht="18.75" customHeight="1">
      <c r="B16" s="38" t="s">
        <v>19</v>
      </c>
      <c r="C16" s="39" t="s">
        <v>1808</v>
      </c>
      <c r="D16" s="40"/>
      <c r="E16" s="41"/>
      <c r="F16" s="42"/>
      <c r="G16" s="1556">
        <f>M.Sobota_VPP!G17</f>
        <v>0</v>
      </c>
    </row>
    <row r="17" spans="2:7" s="14" customFormat="1" ht="18.75" customHeight="1">
      <c r="B17" s="38" t="s">
        <v>21</v>
      </c>
      <c r="C17" s="39" t="s">
        <v>1810</v>
      </c>
      <c r="D17" s="40"/>
      <c r="E17" s="40"/>
      <c r="F17" s="1391"/>
      <c r="G17" s="1556">
        <f>'M.Sobota_VMS-V7'!G21</f>
        <v>0</v>
      </c>
    </row>
    <row r="18" spans="2:7" s="14" customFormat="1" ht="18.75" customHeight="1">
      <c r="B18" s="1538"/>
      <c r="C18" s="2393" t="s">
        <v>2025</v>
      </c>
      <c r="D18" s="2394"/>
      <c r="E18" s="2394"/>
      <c r="F18" s="2395"/>
      <c r="G18" s="1555">
        <f>SUM(G12:G17)</f>
        <v>0</v>
      </c>
    </row>
    <row r="19" spans="2:7" s="14" customFormat="1" ht="18.75" customHeight="1">
      <c r="B19" s="1538"/>
      <c r="C19" s="35" t="s">
        <v>2011</v>
      </c>
      <c r="D19" s="1534"/>
      <c r="E19" s="1534"/>
      <c r="F19" s="1535"/>
      <c r="G19" s="1555"/>
    </row>
    <row r="20" spans="2:7" s="14" customFormat="1" ht="18.75" customHeight="1">
      <c r="B20" s="38" t="s">
        <v>11</v>
      </c>
      <c r="C20" s="39" t="s">
        <v>1804</v>
      </c>
      <c r="D20" s="40"/>
      <c r="E20" s="41"/>
      <c r="F20" s="42"/>
      <c r="G20" s="1556">
        <f>'M.Sobota_VMS-V1-1.1'!G17</f>
        <v>0</v>
      </c>
    </row>
    <row r="21" spans="2:7" s="14" customFormat="1" ht="18.75" customHeight="1">
      <c r="B21" s="38" t="s">
        <v>13</v>
      </c>
      <c r="C21" s="39" t="s">
        <v>1809</v>
      </c>
      <c r="D21" s="40"/>
      <c r="E21" s="41"/>
      <c r="F21" s="42"/>
      <c r="G21" s="1556">
        <f>'M.Sobota_SMS-2'!G17</f>
        <v>0</v>
      </c>
    </row>
    <row r="22" spans="2:7" s="14" customFormat="1" ht="18.75" customHeight="1">
      <c r="B22" s="1538"/>
      <c r="C22" s="2393" t="s">
        <v>2025</v>
      </c>
      <c r="D22" s="2394"/>
      <c r="E22" s="2394"/>
      <c r="F22" s="2395"/>
      <c r="G22" s="1555">
        <f>SUM(G20:G21)</f>
        <v>0</v>
      </c>
    </row>
    <row r="23" spans="2:7" s="14" customFormat="1" ht="18.75" customHeight="1">
      <c r="B23" s="45"/>
      <c r="C23" s="46" t="s">
        <v>27</v>
      </c>
      <c r="D23" s="47"/>
      <c r="E23" s="48"/>
      <c r="F23" s="49"/>
      <c r="G23" s="1554">
        <f>+G22+G18</f>
        <v>0</v>
      </c>
    </row>
  </sheetData>
  <mergeCells count="3">
    <mergeCell ref="D10:F10"/>
    <mergeCell ref="C18:F18"/>
    <mergeCell ref="C22:F22"/>
  </mergeCells>
  <phoneticPr fontId="131" type="noConversion"/>
  <pageMargins left="0.70866141732283472" right="0.70866141732283472" top="0.74803149606299213" bottom="0.74803149606299213" header="0.31496062992125984" footer="0.31496062992125984"/>
  <pageSetup paperSize="9" scale="70" orientation="portrait" r:id="rId1"/>
  <headerFooter alignWithMargins="0">
    <oddFooter>&amp;C&amp;8&amp;P/&amp;N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A589-FBE9-49BE-B60F-0F2DA5BE27F3}">
  <sheetPr>
    <tabColor theme="9" tint="-0.249977111117893"/>
  </sheetPr>
  <dimension ref="A1:BH360"/>
  <sheetViews>
    <sheetView showZeros="0" topLeftCell="A25" workbookViewId="0">
      <selection activeCell="B27" sqref="B27:B35"/>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28515625" style="66" customWidth="1"/>
    <col min="9" max="9" width="13.5703125" style="8" customWidth="1"/>
    <col min="10" max="10" width="8.42578125" style="1" customWidth="1"/>
    <col min="11" max="11" width="7.140625" style="1" customWidth="1"/>
    <col min="12" max="12" width="9" style="1" customWidth="1"/>
    <col min="13" max="14" width="9.85546875" style="1" customWidth="1"/>
    <col min="15" max="15" width="7" style="1" customWidth="1"/>
    <col min="16" max="16" width="8.140625" style="1" customWidth="1"/>
    <col min="17" max="17" width="8.7109375" style="1" customWidth="1"/>
    <col min="18" max="18" width="6.42578125" style="1" customWidth="1"/>
    <col min="19" max="19" width="9.85546875" style="1" customWidth="1"/>
    <col min="20" max="20" width="7.7109375" style="1" customWidth="1"/>
    <col min="21" max="21" width="9.5703125" style="1" customWidth="1"/>
    <col min="22" max="22" width="8.140625" style="1" customWidth="1"/>
    <col min="23" max="23" width="10.7109375" style="1" customWidth="1"/>
    <col min="24" max="24" width="8.85546875" style="1" customWidth="1"/>
    <col min="25" max="25" width="9.85546875" style="1" customWidth="1"/>
    <col min="26" max="26" width="10.28515625" style="1" customWidth="1"/>
    <col min="27" max="27" width="12" style="1" customWidth="1"/>
    <col min="28" max="28" width="9.85546875" style="1" customWidth="1"/>
    <col min="29" max="29" width="9" style="1" customWidth="1"/>
    <col min="30" max="30" width="8.28515625" style="1" customWidth="1"/>
    <col min="31" max="31" width="9.42578125" style="1" customWidth="1"/>
    <col min="32" max="32" width="6.42578125" style="1" customWidth="1"/>
    <col min="33" max="33" width="10.7109375" style="1" customWidth="1"/>
    <col min="34" max="34" width="11.28515625" style="1" customWidth="1"/>
    <col min="35" max="35" width="8.140625" style="1" customWidth="1"/>
    <col min="36" max="36" width="8.7109375" style="1" customWidth="1"/>
    <col min="37" max="37" width="7" style="1" customWidth="1"/>
    <col min="38" max="38" width="8.85546875" style="1" customWidth="1"/>
    <col min="39" max="39" width="9" style="1" customWidth="1"/>
    <col min="40" max="41" width="10.42578125" style="1"/>
    <col min="42" max="42" width="9.28515625" style="1" customWidth="1"/>
    <col min="43" max="45" width="10.42578125" style="1"/>
    <col min="46" max="46" width="10.42578125" style="1" customWidth="1"/>
    <col min="47" max="260" width="10.42578125" style="1"/>
    <col min="261" max="261" width="7.42578125" style="1" customWidth="1"/>
    <col min="262" max="262" width="37.42578125" style="1" customWidth="1"/>
    <col min="263" max="263" width="10.42578125" style="1"/>
    <col min="264" max="264" width="9.28515625" style="1" customWidth="1"/>
    <col min="265" max="266" width="12.140625" style="1" customWidth="1"/>
    <col min="267" max="267" width="16" style="1" customWidth="1"/>
    <col min="268" max="268" width="26.28515625" style="1" customWidth="1"/>
    <col min="269" max="516" width="10.42578125" style="1"/>
    <col min="517" max="517" width="7.42578125" style="1" customWidth="1"/>
    <col min="518" max="518" width="37.42578125" style="1" customWidth="1"/>
    <col min="519" max="519" width="10.42578125" style="1"/>
    <col min="520" max="520" width="9.28515625" style="1" customWidth="1"/>
    <col min="521" max="522" width="12.140625" style="1" customWidth="1"/>
    <col min="523" max="523" width="16" style="1" customWidth="1"/>
    <col min="524" max="524" width="26.28515625" style="1" customWidth="1"/>
    <col min="525" max="772" width="10.42578125" style="1"/>
    <col min="773" max="773" width="7.42578125" style="1" customWidth="1"/>
    <col min="774" max="774" width="37.42578125" style="1" customWidth="1"/>
    <col min="775" max="775" width="10.42578125" style="1"/>
    <col min="776" max="776" width="9.28515625" style="1" customWidth="1"/>
    <col min="777" max="778" width="12.140625" style="1" customWidth="1"/>
    <col min="779" max="779" width="16" style="1" customWidth="1"/>
    <col min="780" max="780" width="26.28515625" style="1" customWidth="1"/>
    <col min="781" max="1028" width="10.42578125" style="1"/>
    <col min="1029" max="1029" width="7.42578125" style="1" customWidth="1"/>
    <col min="1030" max="1030" width="37.42578125" style="1" customWidth="1"/>
    <col min="1031" max="1031" width="10.42578125" style="1"/>
    <col min="1032" max="1032" width="9.28515625" style="1" customWidth="1"/>
    <col min="1033" max="1034" width="12.140625" style="1" customWidth="1"/>
    <col min="1035" max="1035" width="16" style="1" customWidth="1"/>
    <col min="1036" max="1036" width="26.28515625" style="1" customWidth="1"/>
    <col min="1037" max="1284" width="10.42578125" style="1"/>
    <col min="1285" max="1285" width="7.42578125" style="1" customWidth="1"/>
    <col min="1286" max="1286" width="37.42578125" style="1" customWidth="1"/>
    <col min="1287" max="1287" width="10.42578125" style="1"/>
    <col min="1288" max="1288" width="9.28515625" style="1" customWidth="1"/>
    <col min="1289" max="1290" width="12.140625" style="1" customWidth="1"/>
    <col min="1291" max="1291" width="16" style="1" customWidth="1"/>
    <col min="1292" max="1292" width="26.28515625" style="1" customWidth="1"/>
    <col min="1293" max="1540" width="10.42578125" style="1"/>
    <col min="1541" max="1541" width="7.42578125" style="1" customWidth="1"/>
    <col min="1542" max="1542" width="37.42578125" style="1" customWidth="1"/>
    <col min="1543" max="1543" width="10.42578125" style="1"/>
    <col min="1544" max="1544" width="9.28515625" style="1" customWidth="1"/>
    <col min="1545" max="1546" width="12.140625" style="1" customWidth="1"/>
    <col min="1547" max="1547" width="16" style="1" customWidth="1"/>
    <col min="1548" max="1548" width="26.28515625" style="1" customWidth="1"/>
    <col min="1549" max="1796" width="10.42578125" style="1"/>
    <col min="1797" max="1797" width="7.42578125" style="1" customWidth="1"/>
    <col min="1798" max="1798" width="37.42578125" style="1" customWidth="1"/>
    <col min="1799" max="1799" width="10.42578125" style="1"/>
    <col min="1800" max="1800" width="9.28515625" style="1" customWidth="1"/>
    <col min="1801" max="1802" width="12.140625" style="1" customWidth="1"/>
    <col min="1803" max="1803" width="16" style="1" customWidth="1"/>
    <col min="1804" max="1804" width="26.28515625" style="1" customWidth="1"/>
    <col min="1805" max="2052" width="10.42578125" style="1"/>
    <col min="2053" max="2053" width="7.42578125" style="1" customWidth="1"/>
    <col min="2054" max="2054" width="37.42578125" style="1" customWidth="1"/>
    <col min="2055" max="2055" width="10.42578125" style="1"/>
    <col min="2056" max="2056" width="9.28515625" style="1" customWidth="1"/>
    <col min="2057" max="2058" width="12.140625" style="1" customWidth="1"/>
    <col min="2059" max="2059" width="16" style="1" customWidth="1"/>
    <col min="2060" max="2060" width="26.28515625" style="1" customWidth="1"/>
    <col min="2061" max="2308" width="10.42578125" style="1"/>
    <col min="2309" max="2309" width="7.42578125" style="1" customWidth="1"/>
    <col min="2310" max="2310" width="37.42578125" style="1" customWidth="1"/>
    <col min="2311" max="2311" width="10.42578125" style="1"/>
    <col min="2312" max="2312" width="9.28515625" style="1" customWidth="1"/>
    <col min="2313" max="2314" width="12.140625" style="1" customWidth="1"/>
    <col min="2315" max="2315" width="16" style="1" customWidth="1"/>
    <col min="2316" max="2316" width="26.28515625" style="1" customWidth="1"/>
    <col min="2317" max="2564" width="10.42578125" style="1"/>
    <col min="2565" max="2565" width="7.42578125" style="1" customWidth="1"/>
    <col min="2566" max="2566" width="37.42578125" style="1" customWidth="1"/>
    <col min="2567" max="2567" width="10.42578125" style="1"/>
    <col min="2568" max="2568" width="9.28515625" style="1" customWidth="1"/>
    <col min="2569" max="2570" width="12.140625" style="1" customWidth="1"/>
    <col min="2571" max="2571" width="16" style="1" customWidth="1"/>
    <col min="2572" max="2572" width="26.28515625" style="1" customWidth="1"/>
    <col min="2573" max="2820" width="10.42578125" style="1"/>
    <col min="2821" max="2821" width="7.42578125" style="1" customWidth="1"/>
    <col min="2822" max="2822" width="37.42578125" style="1" customWidth="1"/>
    <col min="2823" max="2823" width="10.42578125" style="1"/>
    <col min="2824" max="2824" width="9.28515625" style="1" customWidth="1"/>
    <col min="2825" max="2826" width="12.140625" style="1" customWidth="1"/>
    <col min="2827" max="2827" width="16" style="1" customWidth="1"/>
    <col min="2828" max="2828" width="26.28515625" style="1" customWidth="1"/>
    <col min="2829" max="3076" width="10.42578125" style="1"/>
    <col min="3077" max="3077" width="7.42578125" style="1" customWidth="1"/>
    <col min="3078" max="3078" width="37.42578125" style="1" customWidth="1"/>
    <col min="3079" max="3079" width="10.42578125" style="1"/>
    <col min="3080" max="3080" width="9.28515625" style="1" customWidth="1"/>
    <col min="3081" max="3082" width="12.140625" style="1" customWidth="1"/>
    <col min="3083" max="3083" width="16" style="1" customWidth="1"/>
    <col min="3084" max="3084" width="26.28515625" style="1" customWidth="1"/>
    <col min="3085" max="3332" width="10.42578125" style="1"/>
    <col min="3333" max="3333" width="7.42578125" style="1" customWidth="1"/>
    <col min="3334" max="3334" width="37.42578125" style="1" customWidth="1"/>
    <col min="3335" max="3335" width="10.42578125" style="1"/>
    <col min="3336" max="3336" width="9.28515625" style="1" customWidth="1"/>
    <col min="3337" max="3338" width="12.140625" style="1" customWidth="1"/>
    <col min="3339" max="3339" width="16" style="1" customWidth="1"/>
    <col min="3340" max="3340" width="26.28515625" style="1" customWidth="1"/>
    <col min="3341" max="3588" width="10.42578125" style="1"/>
    <col min="3589" max="3589" width="7.42578125" style="1" customWidth="1"/>
    <col min="3590" max="3590" width="37.42578125" style="1" customWidth="1"/>
    <col min="3591" max="3591" width="10.42578125" style="1"/>
    <col min="3592" max="3592" width="9.28515625" style="1" customWidth="1"/>
    <col min="3593" max="3594" width="12.140625" style="1" customWidth="1"/>
    <col min="3595" max="3595" width="16" style="1" customWidth="1"/>
    <col min="3596" max="3596" width="26.28515625" style="1" customWidth="1"/>
    <col min="3597" max="3844" width="10.42578125" style="1"/>
    <col min="3845" max="3845" width="7.42578125" style="1" customWidth="1"/>
    <col min="3846" max="3846" width="37.42578125" style="1" customWidth="1"/>
    <col min="3847" max="3847" width="10.42578125" style="1"/>
    <col min="3848" max="3848" width="9.28515625" style="1" customWidth="1"/>
    <col min="3849" max="3850" width="12.140625" style="1" customWidth="1"/>
    <col min="3851" max="3851" width="16" style="1" customWidth="1"/>
    <col min="3852" max="3852" width="26.28515625" style="1" customWidth="1"/>
    <col min="3853" max="4100" width="10.42578125" style="1"/>
    <col min="4101" max="4101" width="7.42578125" style="1" customWidth="1"/>
    <col min="4102" max="4102" width="37.42578125" style="1" customWidth="1"/>
    <col min="4103" max="4103" width="10.42578125" style="1"/>
    <col min="4104" max="4104" width="9.28515625" style="1" customWidth="1"/>
    <col min="4105" max="4106" width="12.140625" style="1" customWidth="1"/>
    <col min="4107" max="4107" width="16" style="1" customWidth="1"/>
    <col min="4108" max="4108" width="26.28515625" style="1" customWidth="1"/>
    <col min="4109" max="4356" width="10.42578125" style="1"/>
    <col min="4357" max="4357" width="7.42578125" style="1" customWidth="1"/>
    <col min="4358" max="4358" width="37.42578125" style="1" customWidth="1"/>
    <col min="4359" max="4359" width="10.42578125" style="1"/>
    <col min="4360" max="4360" width="9.28515625" style="1" customWidth="1"/>
    <col min="4361" max="4362" width="12.140625" style="1" customWidth="1"/>
    <col min="4363" max="4363" width="16" style="1" customWidth="1"/>
    <col min="4364" max="4364" width="26.28515625" style="1" customWidth="1"/>
    <col min="4365" max="4612" width="10.42578125" style="1"/>
    <col min="4613" max="4613" width="7.42578125" style="1" customWidth="1"/>
    <col min="4614" max="4614" width="37.42578125" style="1" customWidth="1"/>
    <col min="4615" max="4615" width="10.42578125" style="1"/>
    <col min="4616" max="4616" width="9.28515625" style="1" customWidth="1"/>
    <col min="4617" max="4618" width="12.140625" style="1" customWidth="1"/>
    <col min="4619" max="4619" width="16" style="1" customWidth="1"/>
    <col min="4620" max="4620" width="26.28515625" style="1" customWidth="1"/>
    <col min="4621" max="4868" width="10.42578125" style="1"/>
    <col min="4869" max="4869" width="7.42578125" style="1" customWidth="1"/>
    <col min="4870" max="4870" width="37.42578125" style="1" customWidth="1"/>
    <col min="4871" max="4871" width="10.42578125" style="1"/>
    <col min="4872" max="4872" width="9.28515625" style="1" customWidth="1"/>
    <col min="4873" max="4874" width="12.140625" style="1" customWidth="1"/>
    <col min="4875" max="4875" width="16" style="1" customWidth="1"/>
    <col min="4876" max="4876" width="26.28515625" style="1" customWidth="1"/>
    <col min="4877" max="5124" width="10.42578125" style="1"/>
    <col min="5125" max="5125" width="7.42578125" style="1" customWidth="1"/>
    <col min="5126" max="5126" width="37.42578125" style="1" customWidth="1"/>
    <col min="5127" max="5127" width="10.42578125" style="1"/>
    <col min="5128" max="5128" width="9.28515625" style="1" customWidth="1"/>
    <col min="5129" max="5130" width="12.140625" style="1" customWidth="1"/>
    <col min="5131" max="5131" width="16" style="1" customWidth="1"/>
    <col min="5132" max="5132" width="26.28515625" style="1" customWidth="1"/>
    <col min="5133" max="5380" width="10.42578125" style="1"/>
    <col min="5381" max="5381" width="7.42578125" style="1" customWidth="1"/>
    <col min="5382" max="5382" width="37.42578125" style="1" customWidth="1"/>
    <col min="5383" max="5383" width="10.42578125" style="1"/>
    <col min="5384" max="5384" width="9.28515625" style="1" customWidth="1"/>
    <col min="5385" max="5386" width="12.140625" style="1" customWidth="1"/>
    <col min="5387" max="5387" width="16" style="1" customWidth="1"/>
    <col min="5388" max="5388" width="26.28515625" style="1" customWidth="1"/>
    <col min="5389" max="5636" width="10.42578125" style="1"/>
    <col min="5637" max="5637" width="7.42578125" style="1" customWidth="1"/>
    <col min="5638" max="5638" width="37.42578125" style="1" customWidth="1"/>
    <col min="5639" max="5639" width="10.42578125" style="1"/>
    <col min="5640" max="5640" width="9.28515625" style="1" customWidth="1"/>
    <col min="5641" max="5642" width="12.140625" style="1" customWidth="1"/>
    <col min="5643" max="5643" width="16" style="1" customWidth="1"/>
    <col min="5644" max="5644" width="26.28515625" style="1" customWidth="1"/>
    <col min="5645" max="5892" width="10.42578125" style="1"/>
    <col min="5893" max="5893" width="7.42578125" style="1" customWidth="1"/>
    <col min="5894" max="5894" width="37.42578125" style="1" customWidth="1"/>
    <col min="5895" max="5895" width="10.42578125" style="1"/>
    <col min="5896" max="5896" width="9.28515625" style="1" customWidth="1"/>
    <col min="5897" max="5898" width="12.140625" style="1" customWidth="1"/>
    <col min="5899" max="5899" width="16" style="1" customWidth="1"/>
    <col min="5900" max="5900" width="26.28515625" style="1" customWidth="1"/>
    <col min="5901" max="6148" width="10.42578125" style="1"/>
    <col min="6149" max="6149" width="7.42578125" style="1" customWidth="1"/>
    <col min="6150" max="6150" width="37.42578125" style="1" customWidth="1"/>
    <col min="6151" max="6151" width="10.42578125" style="1"/>
    <col min="6152" max="6152" width="9.28515625" style="1" customWidth="1"/>
    <col min="6153" max="6154" width="12.140625" style="1" customWidth="1"/>
    <col min="6155" max="6155" width="16" style="1" customWidth="1"/>
    <col min="6156" max="6156" width="26.28515625" style="1" customWidth="1"/>
    <col min="6157" max="6404" width="10.42578125" style="1"/>
    <col min="6405" max="6405" width="7.42578125" style="1" customWidth="1"/>
    <col min="6406" max="6406" width="37.42578125" style="1" customWidth="1"/>
    <col min="6407" max="6407" width="10.42578125" style="1"/>
    <col min="6408" max="6408" width="9.28515625" style="1" customWidth="1"/>
    <col min="6409" max="6410" width="12.140625" style="1" customWidth="1"/>
    <col min="6411" max="6411" width="16" style="1" customWidth="1"/>
    <col min="6412" max="6412" width="26.28515625" style="1" customWidth="1"/>
    <col min="6413" max="6660" width="10.42578125" style="1"/>
    <col min="6661" max="6661" width="7.42578125" style="1" customWidth="1"/>
    <col min="6662" max="6662" width="37.42578125" style="1" customWidth="1"/>
    <col min="6663" max="6663" width="10.42578125" style="1"/>
    <col min="6664" max="6664" width="9.28515625" style="1" customWidth="1"/>
    <col min="6665" max="6666" width="12.140625" style="1" customWidth="1"/>
    <col min="6667" max="6667" width="16" style="1" customWidth="1"/>
    <col min="6668" max="6668" width="26.28515625" style="1" customWidth="1"/>
    <col min="6669" max="6916" width="10.42578125" style="1"/>
    <col min="6917" max="6917" width="7.42578125" style="1" customWidth="1"/>
    <col min="6918" max="6918" width="37.42578125" style="1" customWidth="1"/>
    <col min="6919" max="6919" width="10.42578125" style="1"/>
    <col min="6920" max="6920" width="9.28515625" style="1" customWidth="1"/>
    <col min="6921" max="6922" width="12.140625" style="1" customWidth="1"/>
    <col min="6923" max="6923" width="16" style="1" customWidth="1"/>
    <col min="6924" max="6924" width="26.28515625" style="1" customWidth="1"/>
    <col min="6925" max="7172" width="10.42578125" style="1"/>
    <col min="7173" max="7173" width="7.42578125" style="1" customWidth="1"/>
    <col min="7174" max="7174" width="37.42578125" style="1" customWidth="1"/>
    <col min="7175" max="7175" width="10.42578125" style="1"/>
    <col min="7176" max="7176" width="9.28515625" style="1" customWidth="1"/>
    <col min="7177" max="7178" width="12.140625" style="1" customWidth="1"/>
    <col min="7179" max="7179" width="16" style="1" customWidth="1"/>
    <col min="7180" max="7180" width="26.28515625" style="1" customWidth="1"/>
    <col min="7181" max="7428" width="10.42578125" style="1"/>
    <col min="7429" max="7429" width="7.42578125" style="1" customWidth="1"/>
    <col min="7430" max="7430" width="37.42578125" style="1" customWidth="1"/>
    <col min="7431" max="7431" width="10.42578125" style="1"/>
    <col min="7432" max="7432" width="9.28515625" style="1" customWidth="1"/>
    <col min="7433" max="7434" width="12.140625" style="1" customWidth="1"/>
    <col min="7435" max="7435" width="16" style="1" customWidth="1"/>
    <col min="7436" max="7436" width="26.28515625" style="1" customWidth="1"/>
    <col min="7437" max="7684" width="10.42578125" style="1"/>
    <col min="7685" max="7685" width="7.42578125" style="1" customWidth="1"/>
    <col min="7686" max="7686" width="37.42578125" style="1" customWidth="1"/>
    <col min="7687" max="7687" width="10.42578125" style="1"/>
    <col min="7688" max="7688" width="9.28515625" style="1" customWidth="1"/>
    <col min="7689" max="7690" width="12.140625" style="1" customWidth="1"/>
    <col min="7691" max="7691" width="16" style="1" customWidth="1"/>
    <col min="7692" max="7692" width="26.28515625" style="1" customWidth="1"/>
    <col min="7693" max="7940" width="10.42578125" style="1"/>
    <col min="7941" max="7941" width="7.42578125" style="1" customWidth="1"/>
    <col min="7942" max="7942" width="37.42578125" style="1" customWidth="1"/>
    <col min="7943" max="7943" width="10.42578125" style="1"/>
    <col min="7944" max="7944" width="9.28515625" style="1" customWidth="1"/>
    <col min="7945" max="7946" width="12.140625" style="1" customWidth="1"/>
    <col min="7947" max="7947" width="16" style="1" customWidth="1"/>
    <col min="7948" max="7948" width="26.28515625" style="1" customWidth="1"/>
    <col min="7949" max="8196" width="10.42578125" style="1"/>
    <col min="8197" max="8197" width="7.42578125" style="1" customWidth="1"/>
    <col min="8198" max="8198" width="37.42578125" style="1" customWidth="1"/>
    <col min="8199" max="8199" width="10.42578125" style="1"/>
    <col min="8200" max="8200" width="9.28515625" style="1" customWidth="1"/>
    <col min="8201" max="8202" width="12.140625" style="1" customWidth="1"/>
    <col min="8203" max="8203" width="16" style="1" customWidth="1"/>
    <col min="8204" max="8204" width="26.28515625" style="1" customWidth="1"/>
    <col min="8205" max="8452" width="10.42578125" style="1"/>
    <col min="8453" max="8453" width="7.42578125" style="1" customWidth="1"/>
    <col min="8454" max="8454" width="37.42578125" style="1" customWidth="1"/>
    <col min="8455" max="8455" width="10.42578125" style="1"/>
    <col min="8456" max="8456" width="9.28515625" style="1" customWidth="1"/>
    <col min="8457" max="8458" width="12.140625" style="1" customWidth="1"/>
    <col min="8459" max="8459" width="16" style="1" customWidth="1"/>
    <col min="8460" max="8460" width="26.28515625" style="1" customWidth="1"/>
    <col min="8461" max="8708" width="10.42578125" style="1"/>
    <col min="8709" max="8709" width="7.42578125" style="1" customWidth="1"/>
    <col min="8710" max="8710" width="37.42578125" style="1" customWidth="1"/>
    <col min="8711" max="8711" width="10.42578125" style="1"/>
    <col min="8712" max="8712" width="9.28515625" style="1" customWidth="1"/>
    <col min="8713" max="8714" width="12.140625" style="1" customWidth="1"/>
    <col min="8715" max="8715" width="16" style="1" customWidth="1"/>
    <col min="8716" max="8716" width="26.28515625" style="1" customWidth="1"/>
    <col min="8717" max="8964" width="10.42578125" style="1"/>
    <col min="8965" max="8965" width="7.42578125" style="1" customWidth="1"/>
    <col min="8966" max="8966" width="37.42578125" style="1" customWidth="1"/>
    <col min="8967" max="8967" width="10.42578125" style="1"/>
    <col min="8968" max="8968" width="9.28515625" style="1" customWidth="1"/>
    <col min="8969" max="8970" width="12.140625" style="1" customWidth="1"/>
    <col min="8971" max="8971" width="16" style="1" customWidth="1"/>
    <col min="8972" max="8972" width="26.28515625" style="1" customWidth="1"/>
    <col min="8973" max="9220" width="10.42578125" style="1"/>
    <col min="9221" max="9221" width="7.42578125" style="1" customWidth="1"/>
    <col min="9222" max="9222" width="37.42578125" style="1" customWidth="1"/>
    <col min="9223" max="9223" width="10.42578125" style="1"/>
    <col min="9224" max="9224" width="9.28515625" style="1" customWidth="1"/>
    <col min="9225" max="9226" width="12.140625" style="1" customWidth="1"/>
    <col min="9227" max="9227" width="16" style="1" customWidth="1"/>
    <col min="9228" max="9228" width="26.28515625" style="1" customWidth="1"/>
    <col min="9229" max="9476" width="10.42578125" style="1"/>
    <col min="9477" max="9477" width="7.42578125" style="1" customWidth="1"/>
    <col min="9478" max="9478" width="37.42578125" style="1" customWidth="1"/>
    <col min="9479" max="9479" width="10.42578125" style="1"/>
    <col min="9480" max="9480" width="9.28515625" style="1" customWidth="1"/>
    <col min="9481" max="9482" width="12.140625" style="1" customWidth="1"/>
    <col min="9483" max="9483" width="16" style="1" customWidth="1"/>
    <col min="9484" max="9484" width="26.28515625" style="1" customWidth="1"/>
    <col min="9485" max="9732" width="10.42578125" style="1"/>
    <col min="9733" max="9733" width="7.42578125" style="1" customWidth="1"/>
    <col min="9734" max="9734" width="37.42578125" style="1" customWidth="1"/>
    <col min="9735" max="9735" width="10.42578125" style="1"/>
    <col min="9736" max="9736" width="9.28515625" style="1" customWidth="1"/>
    <col min="9737" max="9738" width="12.140625" style="1" customWidth="1"/>
    <col min="9739" max="9739" width="16" style="1" customWidth="1"/>
    <col min="9740" max="9740" width="26.28515625" style="1" customWidth="1"/>
    <col min="9741" max="9988" width="10.42578125" style="1"/>
    <col min="9989" max="9989" width="7.42578125" style="1" customWidth="1"/>
    <col min="9990" max="9990" width="37.42578125" style="1" customWidth="1"/>
    <col min="9991" max="9991" width="10.42578125" style="1"/>
    <col min="9992" max="9992" width="9.28515625" style="1" customWidth="1"/>
    <col min="9993" max="9994" width="12.140625" style="1" customWidth="1"/>
    <col min="9995" max="9995" width="16" style="1" customWidth="1"/>
    <col min="9996" max="9996" width="26.28515625" style="1" customWidth="1"/>
    <col min="9997" max="10244" width="10.42578125" style="1"/>
    <col min="10245" max="10245" width="7.42578125" style="1" customWidth="1"/>
    <col min="10246" max="10246" width="37.42578125" style="1" customWidth="1"/>
    <col min="10247" max="10247" width="10.42578125" style="1"/>
    <col min="10248" max="10248" width="9.28515625" style="1" customWidth="1"/>
    <col min="10249" max="10250" width="12.140625" style="1" customWidth="1"/>
    <col min="10251" max="10251" width="16" style="1" customWidth="1"/>
    <col min="10252" max="10252" width="26.28515625" style="1" customWidth="1"/>
    <col min="10253" max="10500" width="10.42578125" style="1"/>
    <col min="10501" max="10501" width="7.42578125" style="1" customWidth="1"/>
    <col min="10502" max="10502" width="37.42578125" style="1" customWidth="1"/>
    <col min="10503" max="10503" width="10.42578125" style="1"/>
    <col min="10504" max="10504" width="9.28515625" style="1" customWidth="1"/>
    <col min="10505" max="10506" width="12.140625" style="1" customWidth="1"/>
    <col min="10507" max="10507" width="16" style="1" customWidth="1"/>
    <col min="10508" max="10508" width="26.28515625" style="1" customWidth="1"/>
    <col min="10509" max="10756" width="10.42578125" style="1"/>
    <col min="10757" max="10757" width="7.42578125" style="1" customWidth="1"/>
    <col min="10758" max="10758" width="37.42578125" style="1" customWidth="1"/>
    <col min="10759" max="10759" width="10.42578125" style="1"/>
    <col min="10760" max="10760" width="9.28515625" style="1" customWidth="1"/>
    <col min="10761" max="10762" width="12.140625" style="1" customWidth="1"/>
    <col min="10763" max="10763" width="16" style="1" customWidth="1"/>
    <col min="10764" max="10764" width="26.28515625" style="1" customWidth="1"/>
    <col min="10765" max="11012" width="10.42578125" style="1"/>
    <col min="11013" max="11013" width="7.42578125" style="1" customWidth="1"/>
    <col min="11014" max="11014" width="37.42578125" style="1" customWidth="1"/>
    <col min="11015" max="11015" width="10.42578125" style="1"/>
    <col min="11016" max="11016" width="9.28515625" style="1" customWidth="1"/>
    <col min="11017" max="11018" width="12.140625" style="1" customWidth="1"/>
    <col min="11019" max="11019" width="16" style="1" customWidth="1"/>
    <col min="11020" max="11020" width="26.28515625" style="1" customWidth="1"/>
    <col min="11021" max="11268" width="10.42578125" style="1"/>
    <col min="11269" max="11269" width="7.42578125" style="1" customWidth="1"/>
    <col min="11270" max="11270" width="37.42578125" style="1" customWidth="1"/>
    <col min="11271" max="11271" width="10.42578125" style="1"/>
    <col min="11272" max="11272" width="9.28515625" style="1" customWidth="1"/>
    <col min="11273" max="11274" width="12.140625" style="1" customWidth="1"/>
    <col min="11275" max="11275" width="16" style="1" customWidth="1"/>
    <col min="11276" max="11276" width="26.28515625" style="1" customWidth="1"/>
    <col min="11277" max="11524" width="10.42578125" style="1"/>
    <col min="11525" max="11525" width="7.42578125" style="1" customWidth="1"/>
    <col min="11526" max="11526" width="37.42578125" style="1" customWidth="1"/>
    <col min="11527" max="11527" width="10.42578125" style="1"/>
    <col min="11528" max="11528" width="9.28515625" style="1" customWidth="1"/>
    <col min="11529" max="11530" width="12.140625" style="1" customWidth="1"/>
    <col min="11531" max="11531" width="16" style="1" customWidth="1"/>
    <col min="11532" max="11532" width="26.28515625" style="1" customWidth="1"/>
    <col min="11533" max="11780" width="10.42578125" style="1"/>
    <col min="11781" max="11781" width="7.42578125" style="1" customWidth="1"/>
    <col min="11782" max="11782" width="37.42578125" style="1" customWidth="1"/>
    <col min="11783" max="11783" width="10.42578125" style="1"/>
    <col min="11784" max="11784" width="9.28515625" style="1" customWidth="1"/>
    <col min="11785" max="11786" width="12.140625" style="1" customWidth="1"/>
    <col min="11787" max="11787" width="16" style="1" customWidth="1"/>
    <col min="11788" max="11788" width="26.28515625" style="1" customWidth="1"/>
    <col min="11789" max="12036" width="10.42578125" style="1"/>
    <col min="12037" max="12037" width="7.42578125" style="1" customWidth="1"/>
    <col min="12038" max="12038" width="37.42578125" style="1" customWidth="1"/>
    <col min="12039" max="12039" width="10.42578125" style="1"/>
    <col min="12040" max="12040" width="9.28515625" style="1" customWidth="1"/>
    <col min="12041" max="12042" width="12.140625" style="1" customWidth="1"/>
    <col min="12043" max="12043" width="16" style="1" customWidth="1"/>
    <col min="12044" max="12044" width="26.28515625" style="1" customWidth="1"/>
    <col min="12045" max="12292" width="10.42578125" style="1"/>
    <col min="12293" max="12293" width="7.42578125" style="1" customWidth="1"/>
    <col min="12294" max="12294" width="37.42578125" style="1" customWidth="1"/>
    <col min="12295" max="12295" width="10.42578125" style="1"/>
    <col min="12296" max="12296" width="9.28515625" style="1" customWidth="1"/>
    <col min="12297" max="12298" width="12.140625" style="1" customWidth="1"/>
    <col min="12299" max="12299" width="16" style="1" customWidth="1"/>
    <col min="12300" max="12300" width="26.28515625" style="1" customWidth="1"/>
    <col min="12301" max="12548" width="10.42578125" style="1"/>
    <col min="12549" max="12549" width="7.42578125" style="1" customWidth="1"/>
    <col min="12550" max="12550" width="37.42578125" style="1" customWidth="1"/>
    <col min="12551" max="12551" width="10.42578125" style="1"/>
    <col min="12552" max="12552" width="9.28515625" style="1" customWidth="1"/>
    <col min="12553" max="12554" width="12.140625" style="1" customWidth="1"/>
    <col min="12555" max="12555" width="16" style="1" customWidth="1"/>
    <col min="12556" max="12556" width="26.28515625" style="1" customWidth="1"/>
    <col min="12557" max="12804" width="10.42578125" style="1"/>
    <col min="12805" max="12805" width="7.42578125" style="1" customWidth="1"/>
    <col min="12806" max="12806" width="37.42578125" style="1" customWidth="1"/>
    <col min="12807" max="12807" width="10.42578125" style="1"/>
    <col min="12808" max="12808" width="9.28515625" style="1" customWidth="1"/>
    <col min="12809" max="12810" width="12.140625" style="1" customWidth="1"/>
    <col min="12811" max="12811" width="16" style="1" customWidth="1"/>
    <col min="12812" max="12812" width="26.28515625" style="1" customWidth="1"/>
    <col min="12813" max="13060" width="10.42578125" style="1"/>
    <col min="13061" max="13061" width="7.42578125" style="1" customWidth="1"/>
    <col min="13062" max="13062" width="37.42578125" style="1" customWidth="1"/>
    <col min="13063" max="13063" width="10.42578125" style="1"/>
    <col min="13064" max="13064" width="9.28515625" style="1" customWidth="1"/>
    <col min="13065" max="13066" width="12.140625" style="1" customWidth="1"/>
    <col min="13067" max="13067" width="16" style="1" customWidth="1"/>
    <col min="13068" max="13068" width="26.28515625" style="1" customWidth="1"/>
    <col min="13069" max="13316" width="10.42578125" style="1"/>
    <col min="13317" max="13317" width="7.42578125" style="1" customWidth="1"/>
    <col min="13318" max="13318" width="37.42578125" style="1" customWidth="1"/>
    <col min="13319" max="13319" width="10.42578125" style="1"/>
    <col min="13320" max="13320" width="9.28515625" style="1" customWidth="1"/>
    <col min="13321" max="13322" width="12.140625" style="1" customWidth="1"/>
    <col min="13323" max="13323" width="16" style="1" customWidth="1"/>
    <col min="13324" max="13324" width="26.28515625" style="1" customWidth="1"/>
    <col min="13325" max="13572" width="10.42578125" style="1"/>
    <col min="13573" max="13573" width="7.42578125" style="1" customWidth="1"/>
    <col min="13574" max="13574" width="37.42578125" style="1" customWidth="1"/>
    <col min="13575" max="13575" width="10.42578125" style="1"/>
    <col min="13576" max="13576" width="9.28515625" style="1" customWidth="1"/>
    <col min="13577" max="13578" width="12.140625" style="1" customWidth="1"/>
    <col min="13579" max="13579" width="16" style="1" customWidth="1"/>
    <col min="13580" max="13580" width="26.28515625" style="1" customWidth="1"/>
    <col min="13581" max="13828" width="10.42578125" style="1"/>
    <col min="13829" max="13829" width="7.42578125" style="1" customWidth="1"/>
    <col min="13830" max="13830" width="37.42578125" style="1" customWidth="1"/>
    <col min="13831" max="13831" width="10.42578125" style="1"/>
    <col min="13832" max="13832" width="9.28515625" style="1" customWidth="1"/>
    <col min="13833" max="13834" width="12.140625" style="1" customWidth="1"/>
    <col min="13835" max="13835" width="16" style="1" customWidth="1"/>
    <col min="13836" max="13836" width="26.28515625" style="1" customWidth="1"/>
    <col min="13837" max="14084" width="10.42578125" style="1"/>
    <col min="14085" max="14085" width="7.42578125" style="1" customWidth="1"/>
    <col min="14086" max="14086" width="37.42578125" style="1" customWidth="1"/>
    <col min="14087" max="14087" width="10.42578125" style="1"/>
    <col min="14088" max="14088" width="9.28515625" style="1" customWidth="1"/>
    <col min="14089" max="14090" width="12.140625" style="1" customWidth="1"/>
    <col min="14091" max="14091" width="16" style="1" customWidth="1"/>
    <col min="14092" max="14092" width="26.28515625" style="1" customWidth="1"/>
    <col min="14093" max="14340" width="10.42578125" style="1"/>
    <col min="14341" max="14341" width="7.42578125" style="1" customWidth="1"/>
    <col min="14342" max="14342" width="37.42578125" style="1" customWidth="1"/>
    <col min="14343" max="14343" width="10.42578125" style="1"/>
    <col min="14344" max="14344" width="9.28515625" style="1" customWidth="1"/>
    <col min="14345" max="14346" width="12.140625" style="1" customWidth="1"/>
    <col min="14347" max="14347" width="16" style="1" customWidth="1"/>
    <col min="14348" max="14348" width="26.28515625" style="1" customWidth="1"/>
    <col min="14349" max="14596" width="10.42578125" style="1"/>
    <col min="14597" max="14597" width="7.42578125" style="1" customWidth="1"/>
    <col min="14598" max="14598" width="37.42578125" style="1" customWidth="1"/>
    <col min="14599" max="14599" width="10.42578125" style="1"/>
    <col min="14600" max="14600" width="9.28515625" style="1" customWidth="1"/>
    <col min="14601" max="14602" width="12.140625" style="1" customWidth="1"/>
    <col min="14603" max="14603" width="16" style="1" customWidth="1"/>
    <col min="14604" max="14604" width="26.28515625" style="1" customWidth="1"/>
    <col min="14605" max="14852" width="10.42578125" style="1"/>
    <col min="14853" max="14853" width="7.42578125" style="1" customWidth="1"/>
    <col min="14854" max="14854" width="37.42578125" style="1" customWidth="1"/>
    <col min="14855" max="14855" width="10.42578125" style="1"/>
    <col min="14856" max="14856" width="9.28515625" style="1" customWidth="1"/>
    <col min="14857" max="14858" width="12.140625" style="1" customWidth="1"/>
    <col min="14859" max="14859" width="16" style="1" customWidth="1"/>
    <col min="14860" max="14860" width="26.28515625" style="1" customWidth="1"/>
    <col min="14861" max="15108" width="10.42578125" style="1"/>
    <col min="15109" max="15109" width="7.42578125" style="1" customWidth="1"/>
    <col min="15110" max="15110" width="37.42578125" style="1" customWidth="1"/>
    <col min="15111" max="15111" width="10.42578125" style="1"/>
    <col min="15112" max="15112" width="9.28515625" style="1" customWidth="1"/>
    <col min="15113" max="15114" width="12.140625" style="1" customWidth="1"/>
    <col min="15115" max="15115" width="16" style="1" customWidth="1"/>
    <col min="15116" max="15116" width="26.28515625" style="1" customWidth="1"/>
    <col min="15117" max="15364" width="10.42578125" style="1"/>
    <col min="15365" max="15365" width="7.42578125" style="1" customWidth="1"/>
    <col min="15366" max="15366" width="37.42578125" style="1" customWidth="1"/>
    <col min="15367" max="15367" width="10.42578125" style="1"/>
    <col min="15368" max="15368" width="9.28515625" style="1" customWidth="1"/>
    <col min="15369" max="15370" width="12.140625" style="1" customWidth="1"/>
    <col min="15371" max="15371" width="16" style="1" customWidth="1"/>
    <col min="15372" max="15372" width="26.28515625" style="1" customWidth="1"/>
    <col min="15373" max="15620" width="10.42578125" style="1"/>
    <col min="15621" max="15621" width="7.42578125" style="1" customWidth="1"/>
    <col min="15622" max="15622" width="37.42578125" style="1" customWidth="1"/>
    <col min="15623" max="15623" width="10.42578125" style="1"/>
    <col min="15624" max="15624" width="9.28515625" style="1" customWidth="1"/>
    <col min="15625" max="15626" width="12.140625" style="1" customWidth="1"/>
    <col min="15627" max="15627" width="16" style="1" customWidth="1"/>
    <col min="15628" max="15628" width="26.28515625" style="1" customWidth="1"/>
    <col min="15629" max="15876" width="10.42578125" style="1"/>
    <col min="15877" max="15877" width="7.42578125" style="1" customWidth="1"/>
    <col min="15878" max="15878" width="37.42578125" style="1" customWidth="1"/>
    <col min="15879" max="15879" width="10.42578125" style="1"/>
    <col min="15880" max="15880" width="9.28515625" style="1" customWidth="1"/>
    <col min="15881" max="15882" width="12.140625" style="1" customWidth="1"/>
    <col min="15883" max="15883" width="16" style="1" customWidth="1"/>
    <col min="15884" max="15884" width="26.28515625" style="1" customWidth="1"/>
    <col min="15885" max="16132" width="10.42578125" style="1"/>
    <col min="16133" max="16133" width="7.42578125" style="1" customWidth="1"/>
    <col min="16134" max="16134" width="37.42578125" style="1" customWidth="1"/>
    <col min="16135" max="16135" width="10.42578125" style="1"/>
    <col min="16136" max="16136" width="9.28515625" style="1" customWidth="1"/>
    <col min="16137" max="16138" width="12.140625" style="1" customWidth="1"/>
    <col min="16139" max="16139" width="16" style="1" customWidth="1"/>
    <col min="16140" max="16140" width="26.28515625" style="1" customWidth="1"/>
    <col min="16141" max="16384" width="10.42578125" style="1"/>
  </cols>
  <sheetData>
    <row r="1" spans="1:32" ht="16.5" customHeight="1">
      <c r="B1" s="2"/>
      <c r="C1" s="3" t="s">
        <v>0</v>
      </c>
      <c r="D1" s="4"/>
      <c r="E1" s="5"/>
      <c r="F1" s="6"/>
      <c r="G1" s="672" t="s">
        <v>1</v>
      </c>
      <c r="H1" s="938"/>
      <c r="I1" s="1"/>
    </row>
    <row r="3" spans="1:32" s="73" customFormat="1" ht="15">
      <c r="B3" s="74" t="s">
        <v>35</v>
      </c>
      <c r="C3" s="75" t="s">
        <v>9</v>
      </c>
      <c r="D3" s="1175"/>
      <c r="E3" s="77"/>
      <c r="F3" s="78"/>
      <c r="G3" s="79"/>
      <c r="H3" s="85"/>
      <c r="I3" s="37"/>
    </row>
    <row r="4" spans="1:32" s="73" customFormat="1" ht="12" customHeight="1">
      <c r="B4" s="80"/>
      <c r="C4" s="81"/>
      <c r="D4" s="1176"/>
      <c r="E4" s="83"/>
      <c r="F4" s="84"/>
      <c r="G4" s="85"/>
      <c r="H4" s="85"/>
      <c r="I4" s="37"/>
    </row>
    <row r="5" spans="1:32" s="86" customFormat="1" ht="14.25">
      <c r="B5" s="74" t="s">
        <v>37</v>
      </c>
      <c r="C5" s="75" t="s">
        <v>1498</v>
      </c>
      <c r="D5" s="1175"/>
      <c r="E5" s="77"/>
      <c r="F5" s="78"/>
      <c r="G5" s="79"/>
      <c r="H5" s="85"/>
      <c r="I5" s="27"/>
      <c r="J5" s="87"/>
      <c r="K5" s="87"/>
      <c r="L5" s="87"/>
      <c r="M5" s="87"/>
      <c r="N5" s="87"/>
    </row>
    <row r="6" spans="1:32" s="86" customFormat="1" ht="14.25">
      <c r="B6" s="80"/>
      <c r="C6" s="81"/>
      <c r="D6" s="1176"/>
      <c r="E6" s="83"/>
      <c r="F6" s="84"/>
      <c r="G6" s="88"/>
      <c r="H6" s="85"/>
      <c r="I6" s="27"/>
      <c r="J6" s="87"/>
      <c r="K6" s="87"/>
      <c r="L6" s="87"/>
      <c r="M6" s="87"/>
      <c r="N6" s="87"/>
    </row>
    <row r="7" spans="1:32" s="14" customFormat="1" ht="18" customHeight="1">
      <c r="A7" s="9"/>
      <c r="B7" s="10" t="s">
        <v>38</v>
      </c>
      <c r="C7" s="11"/>
      <c r="D7" s="1177"/>
      <c r="E7" s="12"/>
      <c r="F7" s="12"/>
      <c r="G7" s="13"/>
      <c r="H7" s="1178"/>
    </row>
    <row r="8" spans="1:32" s="14" customFormat="1" ht="18" customHeight="1">
      <c r="A8" s="15"/>
      <c r="B8" s="16" t="s">
        <v>39</v>
      </c>
      <c r="C8" s="17"/>
      <c r="D8" s="1179"/>
      <c r="E8" s="19"/>
      <c r="F8" s="19"/>
      <c r="G8" s="18"/>
      <c r="H8" s="1178"/>
    </row>
    <row r="9" spans="1:32" s="14" customFormat="1" ht="18" customHeight="1">
      <c r="A9" s="9"/>
      <c r="B9" s="10" t="s">
        <v>4</v>
      </c>
      <c r="C9" s="11"/>
      <c r="D9" s="1180"/>
      <c r="E9" s="12"/>
      <c r="F9" s="12"/>
      <c r="G9" s="13"/>
      <c r="H9" s="1178"/>
    </row>
    <row r="10" spans="1:32" s="14" customFormat="1" ht="18" customHeight="1">
      <c r="A10" s="15"/>
      <c r="B10" s="16" t="s">
        <v>5</v>
      </c>
      <c r="C10" s="17"/>
      <c r="D10" s="1181"/>
      <c r="E10" s="19"/>
      <c r="F10" s="19"/>
      <c r="G10" s="18"/>
      <c r="H10" s="1178"/>
    </row>
    <row r="11" spans="1:32" s="86" customFormat="1" ht="14.25">
      <c r="B11" s="89"/>
      <c r="C11" s="90"/>
      <c r="D11" s="1182"/>
      <c r="E11" s="92"/>
      <c r="F11" s="93"/>
      <c r="G11" s="94"/>
      <c r="H11" s="85"/>
      <c r="I11" s="27"/>
      <c r="J11" s="87"/>
      <c r="K11" s="87"/>
      <c r="L11" s="87"/>
      <c r="M11" s="87"/>
      <c r="N11" s="87"/>
    </row>
    <row r="12" spans="1:32" s="86" customFormat="1" ht="14.25">
      <c r="B12" s="95"/>
      <c r="C12" s="96" t="s">
        <v>40</v>
      </c>
      <c r="D12" s="1183"/>
      <c r="E12" s="98"/>
      <c r="F12" s="99"/>
      <c r="G12" s="100"/>
      <c r="H12" s="85"/>
      <c r="I12" s="27"/>
      <c r="J12" s="87"/>
      <c r="K12" s="87"/>
      <c r="L12" s="87"/>
      <c r="M12" s="87"/>
      <c r="N12" s="87"/>
    </row>
    <row r="13" spans="1:32" s="101" customFormat="1" ht="15">
      <c r="B13" s="95" t="s">
        <v>41</v>
      </c>
      <c r="C13" s="102" t="s">
        <v>42</v>
      </c>
      <c r="D13" s="1183"/>
      <c r="E13" s="104"/>
      <c r="F13" s="105"/>
      <c r="G13" s="106" t="s">
        <v>10</v>
      </c>
      <c r="H13" s="1184"/>
      <c r="I13" s="37"/>
      <c r="J13" s="73"/>
      <c r="K13" s="73"/>
      <c r="L13" s="73"/>
      <c r="M13" s="73"/>
      <c r="N13" s="73"/>
      <c r="O13" s="73"/>
      <c r="P13" s="73"/>
      <c r="Q13" s="73"/>
      <c r="R13" s="73"/>
      <c r="S13" s="73"/>
      <c r="T13" s="73"/>
      <c r="U13" s="73"/>
      <c r="V13" s="73"/>
      <c r="W13" s="73"/>
      <c r="X13" s="73"/>
      <c r="Y13" s="73"/>
      <c r="Z13" s="73"/>
      <c r="AA13" s="73"/>
      <c r="AB13" s="73"/>
      <c r="AC13" s="73"/>
      <c r="AD13" s="73"/>
      <c r="AE13" s="73"/>
      <c r="AF13" s="73"/>
    </row>
    <row r="14" spans="1:32" s="101" customFormat="1" ht="15">
      <c r="B14" s="107" t="s">
        <v>43</v>
      </c>
      <c r="C14" s="108" t="s">
        <v>44</v>
      </c>
      <c r="D14" s="1185"/>
      <c r="E14" s="110"/>
      <c r="F14" s="111"/>
      <c r="G14" s="112">
        <f>G36</f>
        <v>0</v>
      </c>
      <c r="H14" s="1186"/>
      <c r="I14" s="37"/>
      <c r="J14" s="73"/>
      <c r="K14" s="73"/>
      <c r="L14" s="73"/>
      <c r="M14" s="73"/>
      <c r="N14" s="73"/>
      <c r="O14" s="73"/>
      <c r="P14" s="73"/>
      <c r="Q14" s="73"/>
      <c r="R14" s="73"/>
      <c r="S14" s="73"/>
      <c r="T14" s="73"/>
      <c r="U14" s="73"/>
      <c r="V14" s="73"/>
      <c r="W14" s="73"/>
      <c r="X14" s="73"/>
      <c r="Y14" s="73"/>
      <c r="Z14" s="73"/>
      <c r="AA14" s="73"/>
      <c r="AB14" s="73"/>
      <c r="AC14" s="73"/>
      <c r="AD14" s="73"/>
      <c r="AE14" s="73"/>
      <c r="AF14" s="73"/>
    </row>
    <row r="15" spans="1:32" s="101" customFormat="1" ht="15">
      <c r="B15" s="107" t="s">
        <v>45</v>
      </c>
      <c r="C15" s="108" t="s">
        <v>46</v>
      </c>
      <c r="D15" s="1185"/>
      <c r="E15" s="110"/>
      <c r="F15" s="111"/>
      <c r="G15" s="112">
        <f>G87</f>
        <v>0</v>
      </c>
      <c r="H15" s="1186"/>
      <c r="I15" s="37"/>
      <c r="J15" s="73"/>
      <c r="K15" s="73"/>
      <c r="L15" s="73"/>
      <c r="M15" s="73"/>
      <c r="N15" s="73"/>
      <c r="O15" s="73"/>
      <c r="P15" s="73"/>
      <c r="Q15" s="73"/>
      <c r="R15" s="73"/>
      <c r="S15" s="73"/>
      <c r="T15" s="73"/>
      <c r="U15" s="73"/>
      <c r="V15" s="73"/>
      <c r="W15" s="73"/>
      <c r="X15" s="73"/>
      <c r="Y15" s="73"/>
      <c r="Z15" s="73"/>
      <c r="AA15" s="73"/>
      <c r="AB15" s="73"/>
      <c r="AC15" s="73"/>
      <c r="AD15" s="73"/>
      <c r="AE15" s="73"/>
      <c r="AF15" s="73"/>
    </row>
    <row r="16" spans="1:32" s="101" customFormat="1" ht="15">
      <c r="B16" s="107" t="s">
        <v>47</v>
      </c>
      <c r="C16" s="108" t="s">
        <v>48</v>
      </c>
      <c r="D16" s="1185"/>
      <c r="E16" s="110"/>
      <c r="F16" s="111"/>
      <c r="G16" s="112">
        <f>G356</f>
        <v>0</v>
      </c>
      <c r="H16" s="1186"/>
      <c r="I16" s="37"/>
      <c r="J16" s="73"/>
      <c r="K16" s="73"/>
      <c r="L16" s="73"/>
      <c r="M16" s="73"/>
      <c r="N16" s="73"/>
      <c r="O16" s="73"/>
      <c r="P16" s="73"/>
      <c r="Q16" s="73"/>
      <c r="R16" s="73"/>
      <c r="S16" s="73"/>
      <c r="T16" s="73"/>
      <c r="U16" s="73"/>
      <c r="V16" s="73"/>
      <c r="W16" s="73"/>
      <c r="X16" s="73"/>
      <c r="Y16" s="73"/>
      <c r="Z16" s="73"/>
      <c r="AA16" s="73"/>
      <c r="AB16" s="73"/>
      <c r="AC16" s="73"/>
      <c r="AD16" s="73"/>
      <c r="AE16" s="73"/>
      <c r="AF16" s="73"/>
    </row>
    <row r="17" spans="2:32" s="101" customFormat="1" ht="15">
      <c r="B17" s="113"/>
      <c r="C17" s="114" t="s">
        <v>49</v>
      </c>
      <c r="D17" s="1187"/>
      <c r="E17" s="116"/>
      <c r="F17" s="117"/>
      <c r="G17" s="50">
        <f>SUM(G14:G16)</f>
        <v>0</v>
      </c>
      <c r="H17" s="1186"/>
      <c r="I17" s="37"/>
      <c r="J17" s="73"/>
      <c r="K17" s="73"/>
      <c r="L17" s="73"/>
      <c r="M17" s="73"/>
      <c r="N17" s="73"/>
      <c r="O17" s="73"/>
      <c r="P17" s="73"/>
      <c r="Q17" s="73"/>
      <c r="R17" s="73"/>
      <c r="S17" s="73"/>
      <c r="T17" s="73"/>
      <c r="U17" s="73"/>
      <c r="V17" s="73"/>
      <c r="W17" s="73"/>
      <c r="X17" s="73"/>
      <c r="Y17" s="73"/>
      <c r="Z17" s="73"/>
      <c r="AA17" s="73"/>
      <c r="AB17" s="73"/>
      <c r="AC17" s="73"/>
      <c r="AD17" s="73"/>
      <c r="AE17" s="73"/>
      <c r="AF17" s="73"/>
    </row>
    <row r="18" spans="2:32">
      <c r="B18" s="61"/>
      <c r="C18" s="62"/>
      <c r="D18" s="63"/>
      <c r="E18" s="64"/>
      <c r="F18" s="65"/>
    </row>
    <row r="19" spans="2:32">
      <c r="G19" s="118"/>
      <c r="H19" s="118"/>
    </row>
    <row r="20" spans="2:32" ht="12.75" customHeight="1">
      <c r="B20" s="119" t="s">
        <v>50</v>
      </c>
      <c r="C20" s="120" t="s">
        <v>51</v>
      </c>
      <c r="D20" s="120" t="s">
        <v>52</v>
      </c>
      <c r="E20" s="122" t="s">
        <v>53</v>
      </c>
      <c r="F20" s="123" t="s">
        <v>54</v>
      </c>
      <c r="G20" s="124" t="s">
        <v>55</v>
      </c>
      <c r="H20" s="1189"/>
    </row>
    <row r="21" spans="2:32">
      <c r="B21" s="125"/>
      <c r="C21" s="126"/>
      <c r="D21" s="140"/>
      <c r="E21" s="128"/>
      <c r="F21" s="129"/>
      <c r="G21" s="130"/>
      <c r="H21" s="118"/>
    </row>
    <row r="22" spans="2:32" s="138" customFormat="1" ht="20.25">
      <c r="B22" s="131" t="s">
        <v>43</v>
      </c>
      <c r="C22" s="132" t="s">
        <v>44</v>
      </c>
      <c r="D22" s="165"/>
      <c r="E22" s="134"/>
      <c r="F22" s="135"/>
      <c r="G22" s="136"/>
      <c r="H22" s="1190"/>
      <c r="I22" s="137"/>
    </row>
    <row r="23" spans="2:32" ht="24">
      <c r="B23" s="125">
        <v>1</v>
      </c>
      <c r="C23" s="139" t="s">
        <v>56</v>
      </c>
      <c r="D23" s="140" t="s">
        <v>57</v>
      </c>
      <c r="E23" s="198">
        <v>3390</v>
      </c>
      <c r="F23" s="1191">
        <v>0</v>
      </c>
      <c r="G23" s="1083">
        <f t="shared" ref="G23" si="0">E23*F23</f>
        <v>0</v>
      </c>
      <c r="H23" s="1192"/>
    </row>
    <row r="24" spans="2:32">
      <c r="B24" s="125">
        <v>2</v>
      </c>
      <c r="C24" s="139" t="s">
        <v>58</v>
      </c>
      <c r="D24" s="140" t="s">
        <v>57</v>
      </c>
      <c r="E24" s="198">
        <v>3390</v>
      </c>
      <c r="F24" s="1191">
        <v>0</v>
      </c>
      <c r="G24" s="1083">
        <f>E24*F24</f>
        <v>0</v>
      </c>
      <c r="H24" s="1192"/>
    </row>
    <row r="25" spans="2:32" ht="48">
      <c r="B25" s="125">
        <v>3</v>
      </c>
      <c r="C25" s="139" t="s">
        <v>59</v>
      </c>
      <c r="D25" s="140" t="s">
        <v>60</v>
      </c>
      <c r="E25" s="198">
        <v>4</v>
      </c>
      <c r="F25" s="1191">
        <v>0</v>
      </c>
      <c r="G25" s="1083">
        <f t="shared" ref="G25:G35" si="1">E25*F25</f>
        <v>0</v>
      </c>
      <c r="H25" s="1192"/>
      <c r="I25" s="143"/>
    </row>
    <row r="26" spans="2:32" ht="132">
      <c r="B26" s="125">
        <v>4</v>
      </c>
      <c r="C26" s="1193" t="s">
        <v>61</v>
      </c>
      <c r="D26" s="172" t="s">
        <v>60</v>
      </c>
      <c r="E26" s="198">
        <v>1</v>
      </c>
      <c r="F26" s="1191">
        <v>0</v>
      </c>
      <c r="G26" s="1194">
        <f t="shared" si="1"/>
        <v>0</v>
      </c>
      <c r="H26" s="1195"/>
    </row>
    <row r="27" spans="2:32" ht="24">
      <c r="B27" s="125">
        <v>5</v>
      </c>
      <c r="C27" s="144" t="s">
        <v>62</v>
      </c>
      <c r="D27" s="146" t="s">
        <v>60</v>
      </c>
      <c r="E27" s="198">
        <v>1</v>
      </c>
      <c r="F27" s="1191">
        <v>0</v>
      </c>
      <c r="G27" s="1083">
        <f t="shared" si="1"/>
        <v>0</v>
      </c>
      <c r="H27" s="1192"/>
    </row>
    <row r="28" spans="2:32" ht="27" customHeight="1">
      <c r="B28" s="125">
        <v>6</v>
      </c>
      <c r="C28" s="147" t="s">
        <v>63</v>
      </c>
      <c r="D28" s="140" t="s">
        <v>57</v>
      </c>
      <c r="E28" s="198">
        <v>3390</v>
      </c>
      <c r="F28" s="1191">
        <v>0</v>
      </c>
      <c r="G28" s="1083">
        <f t="shared" si="1"/>
        <v>0</v>
      </c>
      <c r="H28" s="1192"/>
    </row>
    <row r="29" spans="2:32" ht="52.5" customHeight="1">
      <c r="B29" s="125">
        <v>7</v>
      </c>
      <c r="C29" s="147" t="s">
        <v>64</v>
      </c>
      <c r="D29" s="146" t="s">
        <v>60</v>
      </c>
      <c r="E29" s="198">
        <v>1</v>
      </c>
      <c r="F29" s="1191">
        <v>0</v>
      </c>
      <c r="G29" s="1083">
        <f t="shared" si="1"/>
        <v>0</v>
      </c>
      <c r="H29" s="1192"/>
    </row>
    <row r="30" spans="2:32" ht="48">
      <c r="B30" s="125">
        <v>8</v>
      </c>
      <c r="C30" s="1080" t="s">
        <v>2292</v>
      </c>
      <c r="D30" s="275" t="s">
        <v>66</v>
      </c>
      <c r="E30" s="173">
        <v>83</v>
      </c>
      <c r="F30" s="1191">
        <v>0</v>
      </c>
      <c r="G30" s="175">
        <f t="shared" si="1"/>
        <v>0</v>
      </c>
      <c r="H30" s="1197"/>
      <c r="I30" s="1198"/>
    </row>
    <row r="31" spans="2:32" ht="38.25" customHeight="1">
      <c r="B31" s="125">
        <v>9</v>
      </c>
      <c r="C31" s="1080" t="s">
        <v>2294</v>
      </c>
      <c r="D31" s="146" t="s">
        <v>57</v>
      </c>
      <c r="E31" s="198">
        <v>4259</v>
      </c>
      <c r="F31" s="1191">
        <v>0</v>
      </c>
      <c r="G31" s="1083">
        <f t="shared" si="1"/>
        <v>0</v>
      </c>
      <c r="H31" s="1192"/>
      <c r="I31" s="143"/>
    </row>
    <row r="32" spans="2:32" ht="24">
      <c r="B32" s="125">
        <v>10</v>
      </c>
      <c r="C32" s="1080" t="s">
        <v>2293</v>
      </c>
      <c r="D32" s="146" t="s">
        <v>57</v>
      </c>
      <c r="E32" s="198">
        <f>E31</f>
        <v>4259</v>
      </c>
      <c r="F32" s="1191">
        <v>0</v>
      </c>
      <c r="G32" s="1083">
        <f t="shared" si="1"/>
        <v>0</v>
      </c>
      <c r="H32" s="1192"/>
    </row>
    <row r="33" spans="2:14">
      <c r="B33" s="125">
        <v>11</v>
      </c>
      <c r="C33" s="147" t="s">
        <v>67</v>
      </c>
      <c r="D33" s="146" t="s">
        <v>60</v>
      </c>
      <c r="E33" s="198">
        <v>1</v>
      </c>
      <c r="F33" s="1191">
        <v>0</v>
      </c>
      <c r="G33" s="1083">
        <f t="shared" si="1"/>
        <v>0</v>
      </c>
      <c r="H33" s="1192"/>
    </row>
    <row r="34" spans="2:14" ht="36">
      <c r="B34" s="125">
        <v>12</v>
      </c>
      <c r="C34" s="148" t="s">
        <v>68</v>
      </c>
      <c r="D34" s="146" t="s">
        <v>60</v>
      </c>
      <c r="E34" s="1199">
        <v>1</v>
      </c>
      <c r="F34" s="1191">
        <v>0</v>
      </c>
      <c r="G34" s="1083">
        <f t="shared" si="1"/>
        <v>0</v>
      </c>
      <c r="H34" s="1192"/>
    </row>
    <row r="35" spans="2:14" ht="39.75" customHeight="1">
      <c r="B35" s="125">
        <v>13</v>
      </c>
      <c r="C35" s="150" t="s">
        <v>69</v>
      </c>
      <c r="D35" s="146" t="s">
        <v>60</v>
      </c>
      <c r="E35" s="1200">
        <v>3</v>
      </c>
      <c r="F35" s="1191">
        <v>0</v>
      </c>
      <c r="G35" s="1083">
        <f t="shared" si="1"/>
        <v>0</v>
      </c>
      <c r="H35" s="1192"/>
      <c r="I35" s="143"/>
    </row>
    <row r="36" spans="2:14">
      <c r="B36" s="151" t="s">
        <v>43</v>
      </c>
      <c r="C36" s="152" t="s">
        <v>70</v>
      </c>
      <c r="D36" s="185"/>
      <c r="E36" s="741"/>
      <c r="F36" s="1122"/>
      <c r="G36" s="263">
        <f>SUM(G23:G35)</f>
        <v>0</v>
      </c>
      <c r="H36" s="1201"/>
    </row>
    <row r="37" spans="2:14">
      <c r="B37" s="125"/>
      <c r="C37" s="126"/>
      <c r="D37" s="140"/>
      <c r="E37" s="128"/>
      <c r="F37" s="129"/>
      <c r="G37" s="130"/>
      <c r="H37" s="118"/>
    </row>
    <row r="38" spans="2:14">
      <c r="B38" s="1202" t="s">
        <v>50</v>
      </c>
      <c r="C38" s="1203" t="s">
        <v>51</v>
      </c>
      <c r="D38" s="1203" t="s">
        <v>52</v>
      </c>
      <c r="E38" s="1204" t="s">
        <v>53</v>
      </c>
      <c r="F38" s="1205" t="s">
        <v>54</v>
      </c>
      <c r="G38" s="1206" t="s">
        <v>55</v>
      </c>
      <c r="H38" s="1189"/>
    </row>
    <row r="39" spans="2:14">
      <c r="B39" s="125"/>
      <c r="C39" s="163"/>
      <c r="D39" s="140"/>
      <c r="E39" s="128"/>
      <c r="F39" s="129"/>
      <c r="G39" s="130"/>
      <c r="H39" s="118"/>
    </row>
    <row r="40" spans="2:14" s="138" customFormat="1" ht="20.25">
      <c r="B40" s="131" t="s">
        <v>45</v>
      </c>
      <c r="C40" s="164" t="s">
        <v>71</v>
      </c>
      <c r="D40" s="165"/>
      <c r="E40" s="134"/>
      <c r="F40" s="135"/>
      <c r="G40" s="136"/>
      <c r="H40" s="1190"/>
      <c r="I40" s="137"/>
    </row>
    <row r="41" spans="2:14" s="166" customFormat="1" ht="71.25" customHeight="1">
      <c r="B41" s="2399" t="s">
        <v>72</v>
      </c>
      <c r="C41" s="2400"/>
      <c r="D41" s="2400"/>
      <c r="E41" s="2400"/>
      <c r="F41" s="2400"/>
      <c r="G41" s="2401"/>
      <c r="H41" s="1207"/>
      <c r="I41" s="8"/>
    </row>
    <row r="42" spans="2:14" ht="36">
      <c r="B42" s="167">
        <v>1</v>
      </c>
      <c r="C42" s="139" t="s">
        <v>1499</v>
      </c>
      <c r="D42" s="145" t="s">
        <v>74</v>
      </c>
      <c r="E42" s="128">
        <v>125</v>
      </c>
      <c r="F42" s="141">
        <v>0</v>
      </c>
      <c r="G42" s="142">
        <f t="shared" ref="G42:G54" si="2">E42*F42</f>
        <v>0</v>
      </c>
      <c r="H42" s="1192"/>
      <c r="J42" s="266"/>
    </row>
    <row r="43" spans="2:14" ht="36">
      <c r="B43" s="167">
        <v>2</v>
      </c>
      <c r="C43" s="139" t="s">
        <v>1500</v>
      </c>
      <c r="D43" s="145" t="s">
        <v>74</v>
      </c>
      <c r="E43" s="128">
        <v>4890</v>
      </c>
      <c r="F43" s="141">
        <v>0</v>
      </c>
      <c r="G43" s="142">
        <f t="shared" si="2"/>
        <v>0</v>
      </c>
      <c r="H43" s="1192"/>
      <c r="J43" s="266"/>
    </row>
    <row r="44" spans="2:14" ht="24">
      <c r="B44" s="167">
        <v>3</v>
      </c>
      <c r="C44" s="716" t="s">
        <v>77</v>
      </c>
      <c r="D44" s="1208" t="s">
        <v>78</v>
      </c>
      <c r="E44" s="1199">
        <v>10300</v>
      </c>
      <c r="F44" s="141">
        <v>0</v>
      </c>
      <c r="G44" s="142">
        <f t="shared" si="2"/>
        <v>0</v>
      </c>
      <c r="H44" s="1192"/>
      <c r="J44" s="1209"/>
      <c r="M44" s="270"/>
      <c r="N44" s="270"/>
    </row>
    <row r="45" spans="2:14" ht="36">
      <c r="B45" s="167">
        <v>4</v>
      </c>
      <c r="C45" s="139" t="s">
        <v>79</v>
      </c>
      <c r="D45" s="145" t="s">
        <v>78</v>
      </c>
      <c r="E45" s="128">
        <v>3010</v>
      </c>
      <c r="F45" s="141">
        <v>0</v>
      </c>
      <c r="G45" s="142">
        <f t="shared" si="2"/>
        <v>0</v>
      </c>
      <c r="H45" s="1192"/>
      <c r="J45" s="1209"/>
    </row>
    <row r="46" spans="2:14" ht="24">
      <c r="B46" s="167">
        <v>5</v>
      </c>
      <c r="C46" s="139" t="s">
        <v>80</v>
      </c>
      <c r="D46" s="145" t="s">
        <v>74</v>
      </c>
      <c r="E46" s="128">
        <v>1130</v>
      </c>
      <c r="F46" s="141">
        <v>0</v>
      </c>
      <c r="G46" s="142">
        <f t="shared" si="2"/>
        <v>0</v>
      </c>
      <c r="H46" s="1192"/>
      <c r="J46" s="266"/>
    </row>
    <row r="47" spans="2:14" ht="36">
      <c r="B47" s="167">
        <v>6</v>
      </c>
      <c r="C47" s="144" t="s">
        <v>248</v>
      </c>
      <c r="D47" s="145" t="s">
        <v>74</v>
      </c>
      <c r="E47" s="128">
        <v>4300</v>
      </c>
      <c r="F47" s="141">
        <v>0</v>
      </c>
      <c r="G47" s="142">
        <f t="shared" si="2"/>
        <v>0</v>
      </c>
      <c r="H47" s="1192"/>
      <c r="J47" s="266"/>
    </row>
    <row r="48" spans="2:14" ht="36">
      <c r="B48" s="167">
        <v>7</v>
      </c>
      <c r="C48" s="397" t="s">
        <v>249</v>
      </c>
      <c r="D48" s="146" t="s">
        <v>74</v>
      </c>
      <c r="E48" s="128">
        <v>710</v>
      </c>
      <c r="F48" s="141">
        <v>0</v>
      </c>
      <c r="G48" s="142">
        <f t="shared" si="2"/>
        <v>0</v>
      </c>
      <c r="H48" s="1192"/>
      <c r="J48" s="1209"/>
    </row>
    <row r="49" spans="2:10" ht="36">
      <c r="B49" s="715" t="s">
        <v>25</v>
      </c>
      <c r="C49" s="397" t="s">
        <v>251</v>
      </c>
      <c r="D49" s="146" t="s">
        <v>74</v>
      </c>
      <c r="E49" s="128">
        <v>390</v>
      </c>
      <c r="F49" s="141">
        <v>0</v>
      </c>
      <c r="G49" s="142">
        <f t="shared" si="2"/>
        <v>0</v>
      </c>
      <c r="H49" s="1192"/>
      <c r="J49" s="270"/>
    </row>
    <row r="50" spans="2:10" ht="24">
      <c r="B50" s="167">
        <v>9</v>
      </c>
      <c r="C50" s="139" t="s">
        <v>85</v>
      </c>
      <c r="D50" s="145" t="s">
        <v>57</v>
      </c>
      <c r="E50" s="128">
        <v>6750</v>
      </c>
      <c r="F50" s="141">
        <v>0</v>
      </c>
      <c r="G50" s="142">
        <f t="shared" si="2"/>
        <v>0</v>
      </c>
      <c r="H50" s="1192"/>
    </row>
    <row r="51" spans="2:10" s="166" customFormat="1" ht="24">
      <c r="B51" s="167">
        <v>10</v>
      </c>
      <c r="C51" s="139" t="s">
        <v>86</v>
      </c>
      <c r="D51" s="140" t="s">
        <v>78</v>
      </c>
      <c r="E51" s="128">
        <v>10530</v>
      </c>
      <c r="F51" s="141">
        <v>0</v>
      </c>
      <c r="G51" s="142">
        <f t="shared" si="2"/>
        <v>0</v>
      </c>
      <c r="H51" s="1192"/>
      <c r="I51" s="8"/>
    </row>
    <row r="52" spans="2:10" s="166" customFormat="1" ht="48">
      <c r="B52" s="167">
        <v>11</v>
      </c>
      <c r="C52" s="139" t="s">
        <v>87</v>
      </c>
      <c r="D52" s="140" t="s">
        <v>78</v>
      </c>
      <c r="E52" s="128">
        <f>E51</f>
        <v>10530</v>
      </c>
      <c r="F52" s="141">
        <v>0</v>
      </c>
      <c r="G52" s="142">
        <f t="shared" si="2"/>
        <v>0</v>
      </c>
      <c r="H52" s="1192"/>
      <c r="I52" s="8"/>
    </row>
    <row r="53" spans="2:10" s="179" customFormat="1" ht="48">
      <c r="B53" s="728" t="s">
        <v>1232</v>
      </c>
      <c r="C53" s="1193" t="s">
        <v>1501</v>
      </c>
      <c r="D53" s="172" t="s">
        <v>78</v>
      </c>
      <c r="E53" s="173">
        <v>7510</v>
      </c>
      <c r="F53" s="141">
        <v>0</v>
      </c>
      <c r="G53" s="175">
        <f t="shared" si="2"/>
        <v>0</v>
      </c>
      <c r="H53" s="1192"/>
      <c r="I53" s="269"/>
    </row>
    <row r="54" spans="2:10" s="179" customFormat="1" ht="60">
      <c r="B54" s="728" t="s">
        <v>1502</v>
      </c>
      <c r="C54" s="1193" t="s">
        <v>1503</v>
      </c>
      <c r="D54" s="172" t="s">
        <v>78</v>
      </c>
      <c r="E54" s="173">
        <v>7510</v>
      </c>
      <c r="F54" s="141">
        <v>0</v>
      </c>
      <c r="G54" s="175">
        <f t="shared" si="2"/>
        <v>0</v>
      </c>
      <c r="H54" s="1192"/>
      <c r="I54" s="269"/>
    </row>
    <row r="55" spans="2:10" s="179" customFormat="1" ht="48">
      <c r="B55" s="728" t="s">
        <v>958</v>
      </c>
      <c r="C55" s="171" t="s">
        <v>1504</v>
      </c>
      <c r="D55" s="172" t="s">
        <v>78</v>
      </c>
      <c r="E55" s="173">
        <v>3020</v>
      </c>
      <c r="F55" s="141">
        <v>0</v>
      </c>
      <c r="G55" s="175">
        <f>E55*F55</f>
        <v>0</v>
      </c>
      <c r="H55" s="1195"/>
      <c r="I55" s="269"/>
    </row>
    <row r="56" spans="2:10" ht="72">
      <c r="B56" s="728" t="s">
        <v>1505</v>
      </c>
      <c r="C56" s="1193" t="s">
        <v>1506</v>
      </c>
      <c r="D56" s="172" t="s">
        <v>78</v>
      </c>
      <c r="E56" s="173">
        <v>120</v>
      </c>
      <c r="F56" s="141">
        <v>0</v>
      </c>
      <c r="G56" s="175">
        <f>E56*F56</f>
        <v>0</v>
      </c>
      <c r="H56" s="1195"/>
      <c r="I56" s="143"/>
    </row>
    <row r="57" spans="2:10" ht="25.5" customHeight="1">
      <c r="B57" s="2414" t="s">
        <v>1236</v>
      </c>
      <c r="C57" s="1193" t="s">
        <v>1507</v>
      </c>
      <c r="D57" s="172"/>
      <c r="E57" s="173"/>
      <c r="F57" s="1210"/>
      <c r="G57" s="175"/>
      <c r="H57" s="1192"/>
      <c r="I57" s="143"/>
    </row>
    <row r="58" spans="2:10" ht="16.5" customHeight="1">
      <c r="B58" s="2415"/>
      <c r="C58" s="1211" t="s">
        <v>1508</v>
      </c>
      <c r="D58" s="172" t="s">
        <v>397</v>
      </c>
      <c r="E58" s="173">
        <v>400</v>
      </c>
      <c r="F58" s="141">
        <v>0</v>
      </c>
      <c r="G58" s="175">
        <f t="shared" ref="G58:G86" si="3">E58*F58</f>
        <v>0</v>
      </c>
      <c r="H58" s="1192"/>
      <c r="I58" s="143"/>
    </row>
    <row r="59" spans="2:10">
      <c r="B59" s="2415"/>
      <c r="C59" s="1211" t="s">
        <v>1509</v>
      </c>
      <c r="D59" s="172" t="s">
        <v>397</v>
      </c>
      <c r="E59" s="173">
        <v>80</v>
      </c>
      <c r="F59" s="141">
        <v>0</v>
      </c>
      <c r="G59" s="175">
        <f t="shared" si="3"/>
        <v>0</v>
      </c>
      <c r="H59" s="1192"/>
      <c r="I59" s="143"/>
    </row>
    <row r="60" spans="2:10">
      <c r="B60" s="2415"/>
      <c r="C60" s="1211" t="s">
        <v>1510</v>
      </c>
      <c r="D60" s="172" t="s">
        <v>397</v>
      </c>
      <c r="E60" s="173">
        <v>80</v>
      </c>
      <c r="F60" s="141">
        <v>0</v>
      </c>
      <c r="G60" s="175">
        <f t="shared" si="3"/>
        <v>0</v>
      </c>
      <c r="H60" s="1192"/>
      <c r="I60" s="143"/>
    </row>
    <row r="61" spans="2:10">
      <c r="B61" s="2415"/>
      <c r="C61" s="1211" t="s">
        <v>1511</v>
      </c>
      <c r="D61" s="172" t="s">
        <v>397</v>
      </c>
      <c r="E61" s="173">
        <v>75</v>
      </c>
      <c r="F61" s="141">
        <v>0</v>
      </c>
      <c r="G61" s="175">
        <f t="shared" si="3"/>
        <v>0</v>
      </c>
      <c r="H61" s="1192"/>
      <c r="I61" s="143"/>
    </row>
    <row r="62" spans="2:10">
      <c r="B62" s="2415"/>
      <c r="C62" s="1211" t="s">
        <v>1512</v>
      </c>
      <c r="D62" s="172" t="s">
        <v>397</v>
      </c>
      <c r="E62" s="173">
        <v>16</v>
      </c>
      <c r="F62" s="141">
        <v>0</v>
      </c>
      <c r="G62" s="175">
        <f t="shared" si="3"/>
        <v>0</v>
      </c>
      <c r="H62" s="1192"/>
      <c r="I62" s="143"/>
    </row>
    <row r="63" spans="2:10">
      <c r="B63" s="2415"/>
      <c r="C63" s="1211" t="s">
        <v>1513</v>
      </c>
      <c r="D63" s="172" t="s">
        <v>397</v>
      </c>
      <c r="E63" s="173">
        <v>54</v>
      </c>
      <c r="F63" s="141">
        <v>0</v>
      </c>
      <c r="G63" s="175">
        <f t="shared" si="3"/>
        <v>0</v>
      </c>
      <c r="H63" s="1192"/>
      <c r="I63" s="143"/>
    </row>
    <row r="64" spans="2:10">
      <c r="B64" s="2415"/>
      <c r="C64" s="1211" t="s">
        <v>1514</v>
      </c>
      <c r="D64" s="172" t="s">
        <v>66</v>
      </c>
      <c r="E64" s="173">
        <v>1</v>
      </c>
      <c r="F64" s="141">
        <v>0</v>
      </c>
      <c r="G64" s="175">
        <f t="shared" si="3"/>
        <v>0</v>
      </c>
      <c r="H64" s="1192"/>
      <c r="I64" s="143"/>
    </row>
    <row r="65" spans="2:9">
      <c r="B65" s="2415"/>
      <c r="C65" s="1211" t="s">
        <v>1515</v>
      </c>
      <c r="D65" s="172" t="s">
        <v>66</v>
      </c>
      <c r="E65" s="173">
        <v>1</v>
      </c>
      <c r="F65" s="141">
        <v>0</v>
      </c>
      <c r="G65" s="175">
        <f t="shared" si="3"/>
        <v>0</v>
      </c>
      <c r="H65" s="1192"/>
      <c r="I65" s="143"/>
    </row>
    <row r="66" spans="2:9">
      <c r="B66" s="2415"/>
      <c r="C66" s="1211" t="s">
        <v>1516</v>
      </c>
      <c r="D66" s="172" t="s">
        <v>66</v>
      </c>
      <c r="E66" s="173">
        <v>1</v>
      </c>
      <c r="F66" s="141">
        <v>0</v>
      </c>
      <c r="G66" s="175">
        <f t="shared" si="3"/>
        <v>0</v>
      </c>
      <c r="H66" s="1192"/>
      <c r="I66" s="143"/>
    </row>
    <row r="67" spans="2:9">
      <c r="B67" s="2415"/>
      <c r="C67" s="1211" t="s">
        <v>1517</v>
      </c>
      <c r="D67" s="172" t="s">
        <v>397</v>
      </c>
      <c r="E67" s="173">
        <v>8</v>
      </c>
      <c r="F67" s="141">
        <v>0</v>
      </c>
      <c r="G67" s="175">
        <f t="shared" si="3"/>
        <v>0</v>
      </c>
      <c r="H67" s="1192"/>
      <c r="I67" s="143"/>
    </row>
    <row r="68" spans="2:9">
      <c r="B68" s="2415"/>
      <c r="C68" s="1211" t="s">
        <v>1518</v>
      </c>
      <c r="D68" s="172" t="s">
        <v>397</v>
      </c>
      <c r="E68" s="173">
        <v>45</v>
      </c>
      <c r="F68" s="141">
        <v>0</v>
      </c>
      <c r="G68" s="175">
        <f t="shared" si="3"/>
        <v>0</v>
      </c>
      <c r="H68" s="1192"/>
      <c r="I68" s="143"/>
    </row>
    <row r="69" spans="2:9">
      <c r="B69" s="2415"/>
      <c r="C69" s="1211" t="s">
        <v>1519</v>
      </c>
      <c r="D69" s="172" t="s">
        <v>397</v>
      </c>
      <c r="E69" s="173">
        <v>20</v>
      </c>
      <c r="F69" s="141">
        <v>0</v>
      </c>
      <c r="G69" s="175">
        <f t="shared" si="3"/>
        <v>0</v>
      </c>
      <c r="H69" s="1192"/>
      <c r="I69" s="143"/>
    </row>
    <row r="70" spans="2:9">
      <c r="B70" s="2416"/>
      <c r="C70" s="1211" t="s">
        <v>1520</v>
      </c>
      <c r="D70" s="172" t="s">
        <v>78</v>
      </c>
      <c r="E70" s="173">
        <v>1680</v>
      </c>
      <c r="F70" s="141">
        <v>0</v>
      </c>
      <c r="G70" s="175">
        <f t="shared" si="3"/>
        <v>0</v>
      </c>
      <c r="H70" s="1192"/>
      <c r="I70" s="143"/>
    </row>
    <row r="71" spans="2:9" ht="24">
      <c r="B71" s="167">
        <v>15</v>
      </c>
      <c r="C71" s="139" t="s">
        <v>92</v>
      </c>
      <c r="D71" s="145" t="s">
        <v>74</v>
      </c>
      <c r="E71" s="128">
        <v>5015</v>
      </c>
      <c r="F71" s="141">
        <v>0</v>
      </c>
      <c r="G71" s="142">
        <f t="shared" si="3"/>
        <v>0</v>
      </c>
      <c r="H71" s="1192"/>
      <c r="I71" s="143"/>
    </row>
    <row r="72" spans="2:9">
      <c r="B72" s="167">
        <v>16</v>
      </c>
      <c r="C72" s="139" t="s">
        <v>1521</v>
      </c>
      <c r="D72" s="145" t="s">
        <v>74</v>
      </c>
      <c r="E72" s="128">
        <v>5015</v>
      </c>
      <c r="F72" s="141">
        <v>0</v>
      </c>
      <c r="G72" s="142">
        <f t="shared" si="3"/>
        <v>0</v>
      </c>
      <c r="H72" s="1192"/>
      <c r="I72" s="143"/>
    </row>
    <row r="73" spans="2:9" ht="24">
      <c r="B73" s="167">
        <v>17</v>
      </c>
      <c r="C73" s="1212" t="s">
        <v>94</v>
      </c>
      <c r="D73" s="1213" t="s">
        <v>78</v>
      </c>
      <c r="E73" s="1214">
        <v>10530</v>
      </c>
      <c r="F73" s="141">
        <v>0</v>
      </c>
      <c r="G73" s="142">
        <f t="shared" si="3"/>
        <v>0</v>
      </c>
      <c r="H73" s="1192"/>
      <c r="I73" s="143"/>
    </row>
    <row r="74" spans="2:9" ht="48">
      <c r="B74" s="2406">
        <v>18</v>
      </c>
      <c r="C74" s="429" t="s">
        <v>1522</v>
      </c>
      <c r="D74" s="194"/>
      <c r="E74" s="128"/>
      <c r="F74" s="1210"/>
      <c r="G74" s="142"/>
      <c r="H74" s="1192"/>
      <c r="I74" s="143"/>
    </row>
    <row r="75" spans="2:9">
      <c r="B75" s="2417"/>
      <c r="C75" s="195" t="s">
        <v>1523</v>
      </c>
      <c r="D75" s="194" t="s">
        <v>57</v>
      </c>
      <c r="E75" s="128">
        <v>18</v>
      </c>
      <c r="F75" s="141">
        <v>0</v>
      </c>
      <c r="G75" s="142">
        <f t="shared" si="3"/>
        <v>0</v>
      </c>
      <c r="H75" s="1192"/>
      <c r="I75" s="143"/>
    </row>
    <row r="76" spans="2:9" ht="36">
      <c r="B76" s="2406">
        <v>19</v>
      </c>
      <c r="C76" s="274" t="s">
        <v>295</v>
      </c>
      <c r="D76" s="277"/>
      <c r="E76" s="173"/>
      <c r="F76" s="1210"/>
      <c r="G76" s="175"/>
      <c r="H76" s="1192"/>
      <c r="I76" s="143"/>
    </row>
    <row r="77" spans="2:9">
      <c r="B77" s="2417"/>
      <c r="C77" s="195" t="s">
        <v>883</v>
      </c>
      <c r="D77" s="194" t="s">
        <v>57</v>
      </c>
      <c r="E77" s="128">
        <v>22</v>
      </c>
      <c r="F77" s="141">
        <v>0</v>
      </c>
      <c r="G77" s="142">
        <f t="shared" ref="G77:G80" si="4">E77*F77</f>
        <v>0</v>
      </c>
      <c r="H77" s="1192"/>
      <c r="I77" s="143"/>
    </row>
    <row r="78" spans="2:9">
      <c r="B78" s="2417"/>
      <c r="C78" s="1215" t="s">
        <v>1524</v>
      </c>
      <c r="D78" s="1216" t="s">
        <v>57</v>
      </c>
      <c r="E78" s="173">
        <v>22</v>
      </c>
      <c r="F78" s="141">
        <v>0</v>
      </c>
      <c r="G78" s="175">
        <f t="shared" si="4"/>
        <v>0</v>
      </c>
      <c r="H78" s="1192"/>
      <c r="I78" s="143"/>
    </row>
    <row r="79" spans="2:9" ht="24">
      <c r="B79" s="167">
        <v>20</v>
      </c>
      <c r="C79" s="1217" t="s">
        <v>96</v>
      </c>
      <c r="D79" s="1218" t="s">
        <v>57</v>
      </c>
      <c r="E79" s="1214">
        <v>14</v>
      </c>
      <c r="F79" s="141">
        <v>0</v>
      </c>
      <c r="G79" s="142">
        <f t="shared" si="4"/>
        <v>0</v>
      </c>
      <c r="H79" s="1192"/>
      <c r="I79" s="143"/>
    </row>
    <row r="80" spans="2:9" ht="24">
      <c r="B80" s="167">
        <v>21</v>
      </c>
      <c r="C80" s="1217" t="s">
        <v>268</v>
      </c>
      <c r="D80" s="1218" t="s">
        <v>57</v>
      </c>
      <c r="E80" s="1214">
        <v>14</v>
      </c>
      <c r="F80" s="141">
        <v>0</v>
      </c>
      <c r="G80" s="142">
        <f t="shared" si="4"/>
        <v>0</v>
      </c>
      <c r="H80" s="1192"/>
      <c r="I80" s="143"/>
    </row>
    <row r="81" spans="1:9" ht="36">
      <c r="B81" s="729">
        <v>22</v>
      </c>
      <c r="C81" s="402" t="s">
        <v>269</v>
      </c>
      <c r="D81" s="182" t="s">
        <v>74</v>
      </c>
      <c r="E81" s="128">
        <v>4</v>
      </c>
      <c r="F81" s="141">
        <v>0</v>
      </c>
      <c r="G81" s="142">
        <f t="shared" si="3"/>
        <v>0</v>
      </c>
      <c r="H81" s="1192"/>
      <c r="I81" s="143"/>
    </row>
    <row r="82" spans="1:9" ht="36">
      <c r="B82" s="167">
        <v>23</v>
      </c>
      <c r="C82" s="1219" t="s">
        <v>270</v>
      </c>
      <c r="D82" s="190" t="s">
        <v>66</v>
      </c>
      <c r="E82" s="128">
        <v>162</v>
      </c>
      <c r="F82" s="141">
        <v>0</v>
      </c>
      <c r="G82" s="142">
        <f t="shared" si="3"/>
        <v>0</v>
      </c>
      <c r="H82" s="1192"/>
      <c r="I82" s="143"/>
    </row>
    <row r="83" spans="1:9" ht="24">
      <c r="B83" s="729">
        <v>24</v>
      </c>
      <c r="C83" s="1219" t="s">
        <v>99</v>
      </c>
      <c r="D83" s="182" t="s">
        <v>74</v>
      </c>
      <c r="E83" s="183">
        <v>5</v>
      </c>
      <c r="F83" s="141">
        <v>0</v>
      </c>
      <c r="G83" s="142">
        <f t="shared" si="3"/>
        <v>0</v>
      </c>
      <c r="H83" s="1192"/>
      <c r="I83" s="143"/>
    </row>
    <row r="84" spans="1:9" ht="24">
      <c r="B84" s="167">
        <v>25</v>
      </c>
      <c r="C84" s="184" t="s">
        <v>100</v>
      </c>
      <c r="D84" s="182" t="s">
        <v>65</v>
      </c>
      <c r="E84" s="183">
        <v>600</v>
      </c>
      <c r="F84" s="141">
        <v>0</v>
      </c>
      <c r="G84" s="142">
        <f t="shared" si="3"/>
        <v>0</v>
      </c>
      <c r="H84" s="1192"/>
      <c r="I84" s="143"/>
    </row>
    <row r="85" spans="1:9" ht="36">
      <c r="B85" s="167">
        <v>26</v>
      </c>
      <c r="C85" s="402" t="s">
        <v>1525</v>
      </c>
      <c r="D85" s="182" t="s">
        <v>74</v>
      </c>
      <c r="E85" s="183">
        <v>12</v>
      </c>
      <c r="F85" s="141">
        <v>0</v>
      </c>
      <c r="G85" s="142">
        <f t="shared" si="3"/>
        <v>0</v>
      </c>
      <c r="H85" s="1192"/>
      <c r="I85" s="143"/>
    </row>
    <row r="86" spans="1:9" ht="24">
      <c r="B86" s="167">
        <v>27</v>
      </c>
      <c r="C86" s="181" t="s">
        <v>1526</v>
      </c>
      <c r="D86" s="190" t="s">
        <v>74</v>
      </c>
      <c r="E86" s="128">
        <v>6</v>
      </c>
      <c r="F86" s="141">
        <v>0</v>
      </c>
      <c r="G86" s="142">
        <f t="shared" si="3"/>
        <v>0</v>
      </c>
      <c r="H86" s="1192"/>
      <c r="I86" s="143"/>
    </row>
    <row r="87" spans="1:9">
      <c r="B87" s="151" t="s">
        <v>45</v>
      </c>
      <c r="C87" s="152" t="s">
        <v>101</v>
      </c>
      <c r="D87" s="185"/>
      <c r="E87" s="154"/>
      <c r="F87" s="155"/>
      <c r="G87" s="263">
        <f>SUM(G42:G86)</f>
        <v>0</v>
      </c>
      <c r="H87" s="1201"/>
    </row>
    <row r="88" spans="1:9">
      <c r="B88" s="125"/>
      <c r="C88" s="126"/>
      <c r="D88" s="140"/>
      <c r="E88" s="128"/>
      <c r="F88" s="129"/>
      <c r="G88" s="130"/>
      <c r="H88" s="118"/>
    </row>
    <row r="89" spans="1:9">
      <c r="B89" s="1202" t="s">
        <v>50</v>
      </c>
      <c r="C89" s="1203" t="s">
        <v>51</v>
      </c>
      <c r="D89" s="1203" t="s">
        <v>52</v>
      </c>
      <c r="E89" s="1204" t="s">
        <v>53</v>
      </c>
      <c r="F89" s="1205" t="s">
        <v>54</v>
      </c>
      <c r="G89" s="1206" t="s">
        <v>55</v>
      </c>
      <c r="H89" s="1189"/>
    </row>
    <row r="90" spans="1:9">
      <c r="B90" s="125"/>
      <c r="C90" s="126"/>
      <c r="D90" s="140"/>
      <c r="E90" s="128"/>
      <c r="F90" s="129"/>
      <c r="G90" s="130"/>
      <c r="H90" s="118"/>
    </row>
    <row r="91" spans="1:9" s="138" customFormat="1" ht="20.25">
      <c r="B91" s="186" t="s">
        <v>47</v>
      </c>
      <c r="C91" s="187" t="s">
        <v>102</v>
      </c>
      <c r="D91" s="165"/>
      <c r="E91" s="134"/>
      <c r="F91" s="135"/>
      <c r="G91" s="136"/>
      <c r="H91" s="1190"/>
      <c r="I91" s="137"/>
    </row>
    <row r="92" spans="1:9" s="14" customFormat="1" ht="18" customHeight="1">
      <c r="A92" s="9"/>
      <c r="B92" s="10" t="s">
        <v>38</v>
      </c>
      <c r="C92" s="11"/>
      <c r="D92" s="1177"/>
      <c r="E92" s="12"/>
      <c r="F92" s="12"/>
      <c r="G92" s="13"/>
      <c r="H92" s="1178"/>
    </row>
    <row r="93" spans="1:9" s="14" customFormat="1" ht="18" customHeight="1">
      <c r="A93" s="15"/>
      <c r="B93" s="16" t="s">
        <v>39</v>
      </c>
      <c r="C93" s="17"/>
      <c r="D93" s="1179"/>
      <c r="E93" s="19"/>
      <c r="F93" s="19"/>
      <c r="G93" s="18"/>
      <c r="H93" s="1178"/>
    </row>
    <row r="94" spans="1:9" s="14" customFormat="1" ht="18" customHeight="1">
      <c r="A94" s="9"/>
      <c r="B94" s="10" t="s">
        <v>4</v>
      </c>
      <c r="C94" s="11"/>
      <c r="D94" s="1180"/>
      <c r="E94" s="12"/>
      <c r="F94" s="12"/>
      <c r="G94" s="13"/>
      <c r="H94" s="1178"/>
    </row>
    <row r="95" spans="1:9" s="14" customFormat="1" ht="18" customHeight="1">
      <c r="A95" s="15"/>
      <c r="B95" s="16" t="s">
        <v>5</v>
      </c>
      <c r="C95" s="17"/>
      <c r="D95" s="1181"/>
      <c r="E95" s="19"/>
      <c r="F95" s="19"/>
      <c r="G95" s="18"/>
      <c r="H95" s="1178"/>
    </row>
    <row r="96" spans="1:9" s="166" customFormat="1" ht="30.75" customHeight="1">
      <c r="B96" s="2399" t="s">
        <v>103</v>
      </c>
      <c r="C96" s="2400"/>
      <c r="D96" s="2400"/>
      <c r="E96" s="2400"/>
      <c r="F96" s="2400"/>
      <c r="G96" s="2401"/>
      <c r="H96" s="1207"/>
      <c r="I96" s="8"/>
    </row>
    <row r="97" spans="2:9" s="166" customFormat="1" ht="18.75" customHeight="1">
      <c r="B97" s="2399" t="s">
        <v>104</v>
      </c>
      <c r="C97" s="2400"/>
      <c r="D97" s="2400"/>
      <c r="E97" s="2400"/>
      <c r="F97" s="2400"/>
      <c r="G97" s="2401"/>
      <c r="H97" s="1207"/>
      <c r="I97" s="8"/>
    </row>
    <row r="98" spans="2:9" s="166" customFormat="1" ht="18.75" customHeight="1">
      <c r="B98" s="2399" t="s">
        <v>105</v>
      </c>
      <c r="C98" s="2400"/>
      <c r="D98" s="2400"/>
      <c r="E98" s="2400"/>
      <c r="F98" s="2400"/>
      <c r="G98" s="2401"/>
      <c r="H98" s="1207"/>
      <c r="I98" s="8"/>
    </row>
    <row r="99" spans="2:9" ht="30" customHeight="1">
      <c r="B99" s="188">
        <v>1</v>
      </c>
      <c r="C99" s="189" t="s">
        <v>106</v>
      </c>
      <c r="D99" s="190"/>
      <c r="E99" s="128"/>
      <c r="F99" s="129"/>
      <c r="G99" s="130"/>
      <c r="H99" s="118"/>
    </row>
    <row r="100" spans="2:9" s="179" customFormat="1" ht="18.75" customHeight="1">
      <c r="B100" s="191"/>
      <c r="C100" s="1220" t="s">
        <v>485</v>
      </c>
      <c r="D100" s="1221" t="s">
        <v>57</v>
      </c>
      <c r="E100" s="173">
        <v>23</v>
      </c>
      <c r="F100" s="174">
        <v>0</v>
      </c>
      <c r="G100" s="175">
        <f t="shared" ref="G100:G116" si="5">E100*F100</f>
        <v>0</v>
      </c>
      <c r="H100" s="1195"/>
      <c r="I100" s="802"/>
    </row>
    <row r="101" spans="2:9" s="179" customFormat="1" ht="18.75" customHeight="1">
      <c r="B101" s="191"/>
      <c r="C101" s="1220" t="s">
        <v>486</v>
      </c>
      <c r="D101" s="1221" t="s">
        <v>57</v>
      </c>
      <c r="E101" s="173">
        <v>52</v>
      </c>
      <c r="F101" s="174">
        <v>0</v>
      </c>
      <c r="G101" s="175">
        <f t="shared" si="5"/>
        <v>0</v>
      </c>
      <c r="H101" s="1195"/>
      <c r="I101" s="802"/>
    </row>
    <row r="102" spans="2:9" s="179" customFormat="1" ht="18.75" customHeight="1">
      <c r="B102" s="191"/>
      <c r="C102" s="1220" t="s">
        <v>487</v>
      </c>
      <c r="D102" s="1221" t="s">
        <v>57</v>
      </c>
      <c r="E102" s="173">
        <v>514</v>
      </c>
      <c r="F102" s="174">
        <v>0</v>
      </c>
      <c r="G102" s="175">
        <f t="shared" si="5"/>
        <v>0</v>
      </c>
      <c r="H102" s="1195"/>
      <c r="I102" s="802"/>
    </row>
    <row r="103" spans="2:9" s="179" customFormat="1" ht="18.75" customHeight="1">
      <c r="B103" s="191"/>
      <c r="C103" s="1220" t="s">
        <v>488</v>
      </c>
      <c r="D103" s="1221" t="s">
        <v>57</v>
      </c>
      <c r="E103" s="173">
        <v>1198</v>
      </c>
      <c r="F103" s="174">
        <v>0</v>
      </c>
      <c r="G103" s="175">
        <f t="shared" si="5"/>
        <v>0</v>
      </c>
      <c r="H103" s="1195"/>
      <c r="I103" s="802"/>
    </row>
    <row r="104" spans="2:9" s="179" customFormat="1" ht="18.75" customHeight="1">
      <c r="B104" s="191"/>
      <c r="C104" s="1220" t="s">
        <v>179</v>
      </c>
      <c r="D104" s="1221" t="s">
        <v>57</v>
      </c>
      <c r="E104" s="173">
        <v>3</v>
      </c>
      <c r="F104" s="174">
        <v>0</v>
      </c>
      <c r="G104" s="175">
        <f t="shared" si="5"/>
        <v>0</v>
      </c>
      <c r="H104" s="1195"/>
      <c r="I104" s="802"/>
    </row>
    <row r="105" spans="2:9" s="179" customFormat="1" ht="18.75" customHeight="1">
      <c r="B105" s="191"/>
      <c r="C105" s="1220" t="s">
        <v>180</v>
      </c>
      <c r="D105" s="1221" t="s">
        <v>57</v>
      </c>
      <c r="E105" s="173">
        <v>1</v>
      </c>
      <c r="F105" s="174">
        <v>0</v>
      </c>
      <c r="G105" s="175">
        <f t="shared" si="5"/>
        <v>0</v>
      </c>
      <c r="H105" s="1195"/>
      <c r="I105" s="802"/>
    </row>
    <row r="106" spans="2:9" s="179" customFormat="1" ht="18.75" customHeight="1">
      <c r="B106" s="191"/>
      <c r="C106" s="1222" t="s">
        <v>1527</v>
      </c>
      <c r="D106" s="1221" t="s">
        <v>57</v>
      </c>
      <c r="E106" s="173">
        <v>15</v>
      </c>
      <c r="F106" s="174">
        <v>0</v>
      </c>
      <c r="G106" s="175">
        <f t="shared" si="5"/>
        <v>0</v>
      </c>
      <c r="H106" s="1195"/>
      <c r="I106" s="802"/>
    </row>
    <row r="107" spans="2:9" s="179" customFormat="1" ht="24">
      <c r="B107" s="191"/>
      <c r="C107" s="1222" t="s">
        <v>1528</v>
      </c>
      <c r="D107" s="1221" t="s">
        <v>57</v>
      </c>
      <c r="E107" s="173">
        <v>2</v>
      </c>
      <c r="F107" s="174">
        <v>0</v>
      </c>
      <c r="G107" s="175">
        <f t="shared" si="5"/>
        <v>0</v>
      </c>
      <c r="H107" s="1195"/>
      <c r="I107" s="802"/>
    </row>
    <row r="108" spans="2:9" s="179" customFormat="1">
      <c r="B108" s="191"/>
      <c r="C108" s="1222" t="s">
        <v>1529</v>
      </c>
      <c r="D108" s="1221" t="s">
        <v>57</v>
      </c>
      <c r="E108" s="173">
        <v>1422</v>
      </c>
      <c r="F108" s="174">
        <v>0</v>
      </c>
      <c r="G108" s="175">
        <f t="shared" si="5"/>
        <v>0</v>
      </c>
      <c r="H108" s="1195"/>
      <c r="I108" s="802"/>
    </row>
    <row r="109" spans="2:9" s="179" customFormat="1" ht="27.75" customHeight="1">
      <c r="B109" s="191"/>
      <c r="C109" s="1222" t="s">
        <v>1530</v>
      </c>
      <c r="D109" s="1221" t="s">
        <v>57</v>
      </c>
      <c r="E109" s="173">
        <v>160</v>
      </c>
      <c r="F109" s="174">
        <v>0</v>
      </c>
      <c r="G109" s="175">
        <f t="shared" si="5"/>
        <v>0</v>
      </c>
      <c r="H109" s="1195"/>
      <c r="I109" s="802"/>
    </row>
    <row r="110" spans="2:9" s="179" customFormat="1" ht="19.5" customHeight="1">
      <c r="B110" s="191"/>
      <c r="C110" s="1222" t="s">
        <v>1531</v>
      </c>
      <c r="D110" s="1221" t="s">
        <v>57</v>
      </c>
      <c r="E110" s="173">
        <v>782</v>
      </c>
      <c r="F110" s="174">
        <v>0</v>
      </c>
      <c r="G110" s="175">
        <f t="shared" si="5"/>
        <v>0</v>
      </c>
      <c r="H110" s="1195"/>
      <c r="I110" s="802"/>
    </row>
    <row r="111" spans="2:9" s="179" customFormat="1" ht="27.75" customHeight="1">
      <c r="B111" s="191"/>
      <c r="C111" s="1222" t="s">
        <v>1532</v>
      </c>
      <c r="D111" s="1221" t="s">
        <v>57</v>
      </c>
      <c r="E111" s="173">
        <v>87</v>
      </c>
      <c r="F111" s="174">
        <v>0</v>
      </c>
      <c r="G111" s="175">
        <f t="shared" si="5"/>
        <v>0</v>
      </c>
      <c r="H111" s="1195"/>
      <c r="I111" s="802"/>
    </row>
    <row r="112" spans="2:9" s="166" customFormat="1" ht="40.5" customHeight="1">
      <c r="B112" s="2404" t="s">
        <v>111</v>
      </c>
      <c r="C112" s="193" t="s">
        <v>112</v>
      </c>
      <c r="D112" s="194"/>
      <c r="E112" s="128"/>
      <c r="F112" s="141"/>
      <c r="G112" s="142"/>
      <c r="H112" s="1192"/>
      <c r="I112" s="8"/>
    </row>
    <row r="113" spans="2:60" s="166" customFormat="1">
      <c r="B113" s="2405"/>
      <c r="C113" s="195" t="s">
        <v>113</v>
      </c>
      <c r="D113" s="194" t="s">
        <v>57</v>
      </c>
      <c r="E113" s="128">
        <v>268</v>
      </c>
      <c r="F113" s="141">
        <v>0</v>
      </c>
      <c r="G113" s="142">
        <f t="shared" ref="G113:G115" si="6">E113*F113</f>
        <v>0</v>
      </c>
      <c r="H113" s="1192"/>
      <c r="I113" s="8"/>
    </row>
    <row r="114" spans="2:60" s="166" customFormat="1">
      <c r="B114" s="2405"/>
      <c r="C114" s="195" t="s">
        <v>274</v>
      </c>
      <c r="D114" s="194" t="s">
        <v>57</v>
      </c>
      <c r="E114" s="128">
        <v>230</v>
      </c>
      <c r="F114" s="141">
        <v>0</v>
      </c>
      <c r="G114" s="142">
        <f t="shared" si="6"/>
        <v>0</v>
      </c>
      <c r="H114" s="1192"/>
      <c r="I114" s="8"/>
    </row>
    <row r="115" spans="2:60" s="166" customFormat="1">
      <c r="B115" s="2413"/>
      <c r="C115" s="195" t="s">
        <v>275</v>
      </c>
      <c r="D115" s="194" t="s">
        <v>57</v>
      </c>
      <c r="E115" s="128">
        <v>10</v>
      </c>
      <c r="F115" s="141">
        <v>0</v>
      </c>
      <c r="G115" s="142">
        <f t="shared" si="6"/>
        <v>0</v>
      </c>
      <c r="H115" s="1192"/>
      <c r="I115" s="8"/>
    </row>
    <row r="116" spans="2:60" ht="40.5" customHeight="1">
      <c r="B116" s="196">
        <v>2</v>
      </c>
      <c r="C116" s="197" t="s">
        <v>114</v>
      </c>
      <c r="D116" s="145" t="s">
        <v>57</v>
      </c>
      <c r="E116" s="173">
        <v>4259</v>
      </c>
      <c r="F116" s="141">
        <v>0</v>
      </c>
      <c r="G116" s="142">
        <f t="shared" si="5"/>
        <v>0</v>
      </c>
      <c r="H116" s="1192"/>
    </row>
    <row r="117" spans="2:60" ht="41.25" customHeight="1">
      <c r="B117" s="199" t="s">
        <v>115</v>
      </c>
      <c r="C117" s="197" t="s">
        <v>116</v>
      </c>
      <c r="D117" s="145" t="s">
        <v>57</v>
      </c>
      <c r="E117" s="173">
        <v>4259</v>
      </c>
      <c r="F117" s="141">
        <v>0</v>
      </c>
      <c r="G117" s="142">
        <f>E117*F117</f>
        <v>0</v>
      </c>
      <c r="H117" s="1192"/>
    </row>
    <row r="118" spans="2:60" ht="27" customHeight="1">
      <c r="B118" s="199" t="s">
        <v>117</v>
      </c>
      <c r="C118" s="197" t="s">
        <v>118</v>
      </c>
      <c r="D118" s="145" t="s">
        <v>57</v>
      </c>
      <c r="E118" s="173">
        <v>4259</v>
      </c>
      <c r="F118" s="141">
        <v>0</v>
      </c>
      <c r="G118" s="142">
        <f>E118*F118</f>
        <v>0</v>
      </c>
      <c r="H118" s="1192"/>
    </row>
    <row r="119" spans="2:60" ht="39" customHeight="1">
      <c r="B119" s="199" t="s">
        <v>119</v>
      </c>
      <c r="C119" s="197" t="s">
        <v>120</v>
      </c>
      <c r="D119" s="145" t="s">
        <v>57</v>
      </c>
      <c r="E119" s="173">
        <v>4259</v>
      </c>
      <c r="F119" s="141">
        <v>0</v>
      </c>
      <c r="G119" s="142">
        <f>E119*F119</f>
        <v>0</v>
      </c>
      <c r="H119" s="1192"/>
    </row>
    <row r="120" spans="2:60" ht="27.75" customHeight="1">
      <c r="B120" s="188">
        <v>3</v>
      </c>
      <c r="C120" s="200" t="s">
        <v>121</v>
      </c>
      <c r="D120" s="140"/>
      <c r="E120" s="128"/>
      <c r="F120" s="128"/>
      <c r="G120" s="130"/>
      <c r="H120" s="118"/>
    </row>
    <row r="121" spans="2:60">
      <c r="B121" s="201" t="s">
        <v>122</v>
      </c>
      <c r="C121" s="202" t="s">
        <v>123</v>
      </c>
      <c r="D121" s="209"/>
      <c r="E121" s="204"/>
      <c r="F121" s="205"/>
      <c r="G121" s="206"/>
      <c r="H121" s="118"/>
    </row>
    <row r="122" spans="2:60">
      <c r="B122" s="125"/>
      <c r="C122" s="202" t="s">
        <v>276</v>
      </c>
      <c r="D122" s="209"/>
      <c r="E122" s="204"/>
      <c r="F122" s="205"/>
      <c r="G122" s="206"/>
      <c r="H122" s="118"/>
      <c r="J122" s="8"/>
      <c r="N122" s="217"/>
      <c r="R122" s="217"/>
      <c r="S122" s="217"/>
      <c r="T122" s="217"/>
      <c r="Y122" s="217"/>
      <c r="AB122" s="217"/>
      <c r="AD122" s="217"/>
      <c r="AE122" s="217"/>
      <c r="AH122" s="217"/>
      <c r="AI122" s="217"/>
      <c r="AP122" s="217"/>
      <c r="AQ122" s="217"/>
    </row>
    <row r="123" spans="2:60" ht="18" customHeight="1">
      <c r="B123" s="125"/>
      <c r="C123" s="280" t="s">
        <v>277</v>
      </c>
      <c r="D123" s="209" t="s">
        <v>66</v>
      </c>
      <c r="E123" s="204">
        <v>14</v>
      </c>
      <c r="F123" s="210">
        <v>0</v>
      </c>
      <c r="G123" s="211">
        <f t="shared" ref="G123:G128" si="7">E123*F123</f>
        <v>0</v>
      </c>
      <c r="H123" s="8"/>
      <c r="J123" s="8"/>
      <c r="BH123" s="1223"/>
    </row>
    <row r="124" spans="2:60" ht="18" customHeight="1">
      <c r="B124" s="125"/>
      <c r="C124" s="280" t="s">
        <v>278</v>
      </c>
      <c r="D124" s="209" t="s">
        <v>66</v>
      </c>
      <c r="E124" s="204">
        <v>4</v>
      </c>
      <c r="F124" s="210">
        <v>0</v>
      </c>
      <c r="G124" s="211">
        <f t="shared" si="7"/>
        <v>0</v>
      </c>
      <c r="H124" s="8"/>
      <c r="J124" s="8"/>
    </row>
    <row r="125" spans="2:60" ht="18" customHeight="1">
      <c r="B125" s="125"/>
      <c r="C125" s="280" t="s">
        <v>1533</v>
      </c>
      <c r="D125" s="209" t="s">
        <v>66</v>
      </c>
      <c r="E125" s="204">
        <v>6</v>
      </c>
      <c r="F125" s="210">
        <v>0</v>
      </c>
      <c r="G125" s="211">
        <f t="shared" si="7"/>
        <v>0</v>
      </c>
      <c r="H125" s="8"/>
      <c r="J125" s="8"/>
    </row>
    <row r="126" spans="2:60" ht="18" customHeight="1">
      <c r="B126" s="125"/>
      <c r="C126" s="280" t="s">
        <v>279</v>
      </c>
      <c r="D126" s="209" t="s">
        <v>66</v>
      </c>
      <c r="E126" s="204">
        <v>28</v>
      </c>
      <c r="F126" s="210">
        <v>0</v>
      </c>
      <c r="G126" s="211">
        <f t="shared" si="7"/>
        <v>0</v>
      </c>
      <c r="H126" s="8"/>
      <c r="J126" s="1224"/>
    </row>
    <row r="127" spans="2:60" s="179" customFormat="1" ht="18" customHeight="1">
      <c r="B127" s="207"/>
      <c r="C127" s="208" t="s">
        <v>280</v>
      </c>
      <c r="D127" s="209" t="s">
        <v>66</v>
      </c>
      <c r="E127" s="204">
        <v>98</v>
      </c>
      <c r="F127" s="210">
        <v>0</v>
      </c>
      <c r="G127" s="211">
        <f t="shared" si="7"/>
        <v>0</v>
      </c>
      <c r="H127" s="8"/>
      <c r="I127" s="8"/>
      <c r="J127" s="1225"/>
    </row>
    <row r="128" spans="2:60" s="179" customFormat="1" ht="18" customHeight="1">
      <c r="B128" s="207"/>
      <c r="C128" s="208" t="s">
        <v>1534</v>
      </c>
      <c r="D128" s="209" t="s">
        <v>66</v>
      </c>
      <c r="E128" s="204">
        <v>2</v>
      </c>
      <c r="F128" s="210">
        <v>0</v>
      </c>
      <c r="G128" s="211">
        <f t="shared" si="7"/>
        <v>0</v>
      </c>
      <c r="H128" s="8"/>
      <c r="I128" s="8"/>
      <c r="J128" s="1225"/>
    </row>
    <row r="129" spans="2:44">
      <c r="B129" s="125"/>
      <c r="C129" s="202" t="s">
        <v>210</v>
      </c>
      <c r="D129" s="209"/>
      <c r="E129" s="204"/>
      <c r="F129" s="205"/>
      <c r="G129" s="206"/>
      <c r="H129" s="8"/>
      <c r="T129" s="1226"/>
    </row>
    <row r="130" spans="2:44" ht="18" customHeight="1">
      <c r="B130" s="125"/>
      <c r="C130" s="280" t="s">
        <v>211</v>
      </c>
      <c r="D130" s="209" t="s">
        <v>66</v>
      </c>
      <c r="E130" s="204">
        <v>2</v>
      </c>
      <c r="F130" s="210">
        <v>0</v>
      </c>
      <c r="G130" s="211">
        <f>E130*F130</f>
        <v>0</v>
      </c>
      <c r="H130" s="8"/>
      <c r="T130" s="1226"/>
    </row>
    <row r="131" spans="2:44" ht="18" customHeight="1">
      <c r="B131" s="125"/>
      <c r="C131" s="280" t="s">
        <v>212</v>
      </c>
      <c r="D131" s="209" t="s">
        <v>66</v>
      </c>
      <c r="E131" s="204">
        <v>2</v>
      </c>
      <c r="F131" s="210">
        <v>0</v>
      </c>
      <c r="G131" s="211">
        <f>E131*F131</f>
        <v>0</v>
      </c>
      <c r="H131" s="8"/>
      <c r="T131" s="1226"/>
    </row>
    <row r="132" spans="2:44" ht="18" customHeight="1">
      <c r="B132" s="125"/>
      <c r="C132" s="280" t="s">
        <v>1535</v>
      </c>
      <c r="D132" s="209" t="s">
        <v>66</v>
      </c>
      <c r="E132" s="204">
        <v>2</v>
      </c>
      <c r="F132" s="210">
        <v>0</v>
      </c>
      <c r="G132" s="211">
        <f>E132*F132</f>
        <v>0</v>
      </c>
      <c r="H132" s="8"/>
      <c r="T132" s="1226"/>
    </row>
    <row r="133" spans="2:44" ht="18" customHeight="1">
      <c r="B133" s="125"/>
      <c r="C133" s="280" t="s">
        <v>213</v>
      </c>
      <c r="D133" s="209" t="s">
        <v>66</v>
      </c>
      <c r="E133" s="204">
        <v>4</v>
      </c>
      <c r="F133" s="210">
        <v>0</v>
      </c>
      <c r="G133" s="211">
        <f>E133*F133</f>
        <v>0</v>
      </c>
      <c r="H133" s="8"/>
    </row>
    <row r="134" spans="2:44" s="179" customFormat="1" ht="15.75" customHeight="1">
      <c r="B134" s="207"/>
      <c r="C134" s="208" t="s">
        <v>214</v>
      </c>
      <c r="D134" s="209" t="s">
        <v>66</v>
      </c>
      <c r="E134" s="204">
        <v>8</v>
      </c>
      <c r="F134" s="210">
        <v>0</v>
      </c>
      <c r="G134" s="211">
        <f>E134*F134</f>
        <v>0</v>
      </c>
      <c r="H134" s="8"/>
      <c r="I134" s="8"/>
    </row>
    <row r="135" spans="2:44">
      <c r="B135" s="125"/>
      <c r="C135" s="202" t="s">
        <v>308</v>
      </c>
      <c r="D135" s="209"/>
      <c r="E135" s="204"/>
      <c r="F135" s="205"/>
      <c r="G135" s="206"/>
      <c r="H135" s="8"/>
      <c r="AD135" s="217"/>
    </row>
    <row r="136" spans="2:44" s="179" customFormat="1" ht="18" customHeight="1">
      <c r="B136" s="207"/>
      <c r="C136" s="208" t="s">
        <v>309</v>
      </c>
      <c r="D136" s="209" t="s">
        <v>66</v>
      </c>
      <c r="E136" s="204">
        <v>4</v>
      </c>
      <c r="F136" s="210">
        <v>0</v>
      </c>
      <c r="G136" s="211">
        <f>E136*F136</f>
        <v>0</v>
      </c>
      <c r="H136" s="8"/>
      <c r="I136" s="8"/>
    </row>
    <row r="137" spans="2:44" s="179" customFormat="1" ht="18" customHeight="1">
      <c r="B137" s="207"/>
      <c r="C137" s="208" t="s">
        <v>1536</v>
      </c>
      <c r="D137" s="209" t="s">
        <v>66</v>
      </c>
      <c r="E137" s="204">
        <v>2</v>
      </c>
      <c r="F137" s="210">
        <v>0</v>
      </c>
      <c r="G137" s="211">
        <f>E137*F137</f>
        <v>0</v>
      </c>
      <c r="H137" s="8"/>
      <c r="I137" s="8"/>
    </row>
    <row r="138" spans="2:44">
      <c r="B138" s="125"/>
      <c r="C138" s="202" t="s">
        <v>124</v>
      </c>
      <c r="D138" s="209"/>
      <c r="E138" s="204"/>
      <c r="F138" s="205"/>
      <c r="G138" s="206"/>
      <c r="H138" s="8"/>
      <c r="O138" s="217"/>
      <c r="P138" s="217"/>
      <c r="AA138" s="217"/>
      <c r="AE138" s="217"/>
      <c r="AP138" s="217"/>
      <c r="AR138" s="217"/>
    </row>
    <row r="139" spans="2:44" s="179" customFormat="1" ht="18" customHeight="1">
      <c r="B139" s="207"/>
      <c r="C139" s="208" t="s">
        <v>199</v>
      </c>
      <c r="D139" s="209" t="s">
        <v>66</v>
      </c>
      <c r="E139" s="204">
        <v>48</v>
      </c>
      <c r="F139" s="210">
        <v>0</v>
      </c>
      <c r="G139" s="211">
        <f>E139*F139</f>
        <v>0</v>
      </c>
      <c r="H139" s="8"/>
      <c r="I139" s="8"/>
    </row>
    <row r="140" spans="2:44" s="179" customFormat="1" ht="18" customHeight="1">
      <c r="B140" s="207"/>
      <c r="C140" s="1227" t="s">
        <v>217</v>
      </c>
      <c r="D140" s="209" t="s">
        <v>66</v>
      </c>
      <c r="E140" s="204">
        <v>2</v>
      </c>
      <c r="F140" s="210">
        <v>0</v>
      </c>
      <c r="G140" s="211">
        <f>E140*F140</f>
        <v>0</v>
      </c>
      <c r="H140" s="8"/>
      <c r="I140" s="8"/>
    </row>
    <row r="141" spans="2:44" s="217" customFormat="1">
      <c r="B141" s="201" t="s">
        <v>126</v>
      </c>
      <c r="C141" s="212" t="s">
        <v>127</v>
      </c>
      <c r="D141" s="1228"/>
      <c r="E141" s="214"/>
      <c r="F141" s="215">
        <v>0</v>
      </c>
      <c r="G141" s="216"/>
      <c r="H141" s="8"/>
      <c r="I141" s="8"/>
    </row>
    <row r="142" spans="2:44" s="217" customFormat="1">
      <c r="B142" s="218"/>
      <c r="C142" s="212" t="s">
        <v>281</v>
      </c>
      <c r="D142" s="1228"/>
      <c r="E142" s="214"/>
      <c r="F142" s="215">
        <v>0</v>
      </c>
      <c r="G142" s="216"/>
      <c r="H142" s="1192"/>
    </row>
    <row r="143" spans="2:44" s="1229" customFormat="1">
      <c r="B143" s="218"/>
      <c r="C143" s="219" t="s">
        <v>282</v>
      </c>
      <c r="D143" s="1228" t="s">
        <v>66</v>
      </c>
      <c r="E143" s="214">
        <v>4</v>
      </c>
      <c r="F143" s="220">
        <v>0</v>
      </c>
      <c r="G143" s="221">
        <f t="shared" ref="G143:G150" si="8">E143*F143</f>
        <v>0</v>
      </c>
      <c r="H143" s="1192"/>
      <c r="I143" s="8"/>
    </row>
    <row r="144" spans="2:44" s="217" customFormat="1" ht="38.25" customHeight="1">
      <c r="B144" s="218"/>
      <c r="C144" s="222" t="s">
        <v>283</v>
      </c>
      <c r="D144" s="1228" t="s">
        <v>66</v>
      </c>
      <c r="E144" s="214">
        <v>4</v>
      </c>
      <c r="F144" s="220">
        <v>0</v>
      </c>
      <c r="G144" s="221">
        <f t="shared" si="8"/>
        <v>0</v>
      </c>
      <c r="H144" s="1192"/>
      <c r="I144" s="8"/>
    </row>
    <row r="145" spans="2:9" s="217" customFormat="1">
      <c r="B145" s="218"/>
      <c r="C145" s="222" t="s">
        <v>183</v>
      </c>
      <c r="D145" s="1228" t="s">
        <v>66</v>
      </c>
      <c r="E145" s="214">
        <v>3</v>
      </c>
      <c r="F145" s="220">
        <v>0</v>
      </c>
      <c r="G145" s="221">
        <f t="shared" si="8"/>
        <v>0</v>
      </c>
      <c r="H145" s="1192"/>
      <c r="I145" s="8"/>
    </row>
    <row r="146" spans="2:9" s="217" customFormat="1">
      <c r="B146" s="218"/>
      <c r="C146" s="222" t="s">
        <v>145</v>
      </c>
      <c r="D146" s="1228" t="s">
        <v>66</v>
      </c>
      <c r="E146" s="214">
        <v>2</v>
      </c>
      <c r="F146" s="220">
        <v>0</v>
      </c>
      <c r="G146" s="221">
        <f t="shared" si="8"/>
        <v>0</v>
      </c>
      <c r="H146" s="1192"/>
      <c r="I146" s="8"/>
    </row>
    <row r="147" spans="2:9" s="217" customFormat="1">
      <c r="B147" s="218"/>
      <c r="C147" s="222" t="s">
        <v>131</v>
      </c>
      <c r="D147" s="1228" t="s">
        <v>66</v>
      </c>
      <c r="E147" s="214">
        <v>4</v>
      </c>
      <c r="F147" s="220">
        <v>0</v>
      </c>
      <c r="G147" s="221">
        <f t="shared" si="8"/>
        <v>0</v>
      </c>
      <c r="H147" s="1192"/>
      <c r="I147" s="8"/>
    </row>
    <row r="148" spans="2:9" s="217" customFormat="1">
      <c r="B148" s="218"/>
      <c r="C148" s="1230" t="s">
        <v>216</v>
      </c>
      <c r="D148" s="1228" t="s">
        <v>66</v>
      </c>
      <c r="E148" s="214">
        <v>8</v>
      </c>
      <c r="F148" s="220">
        <v>0</v>
      </c>
      <c r="G148" s="221">
        <f t="shared" si="8"/>
        <v>0</v>
      </c>
      <c r="H148" s="1192"/>
      <c r="I148" s="8"/>
    </row>
    <row r="149" spans="2:9" s="217" customFormat="1">
      <c r="B149" s="218"/>
      <c r="C149" s="1230" t="s">
        <v>134</v>
      </c>
      <c r="D149" s="1228" t="s">
        <v>66</v>
      </c>
      <c r="E149" s="214">
        <v>4</v>
      </c>
      <c r="F149" s="220">
        <v>0</v>
      </c>
      <c r="G149" s="221">
        <f t="shared" si="8"/>
        <v>0</v>
      </c>
      <c r="H149" s="1192"/>
      <c r="I149" s="8"/>
    </row>
    <row r="150" spans="2:9" s="217" customFormat="1">
      <c r="B150" s="218"/>
      <c r="C150" s="1231" t="s">
        <v>1537</v>
      </c>
      <c r="D150" s="1228" t="s">
        <v>66</v>
      </c>
      <c r="E150" s="214">
        <v>4</v>
      </c>
      <c r="F150" s="220">
        <v>0</v>
      </c>
      <c r="G150" s="221">
        <f t="shared" si="8"/>
        <v>0</v>
      </c>
      <c r="H150" s="1192"/>
      <c r="I150" s="8"/>
    </row>
    <row r="151" spans="2:9" s="217" customFormat="1">
      <c r="B151" s="201" t="s">
        <v>136</v>
      </c>
      <c r="C151" s="223" t="s">
        <v>137</v>
      </c>
      <c r="D151" s="1232"/>
      <c r="E151" s="225"/>
      <c r="F151" s="226"/>
      <c r="G151" s="227"/>
      <c r="H151" s="1192"/>
      <c r="I151" s="8"/>
    </row>
    <row r="152" spans="2:9" s="217" customFormat="1">
      <c r="B152" s="218"/>
      <c r="C152" s="223" t="s">
        <v>284</v>
      </c>
      <c r="D152" s="1232"/>
      <c r="E152" s="225"/>
      <c r="F152" s="226">
        <v>0</v>
      </c>
      <c r="G152" s="227"/>
      <c r="H152" s="1192"/>
      <c r="I152" s="8"/>
    </row>
    <row r="153" spans="2:9" s="1229" customFormat="1">
      <c r="B153" s="218"/>
      <c r="C153" s="228" t="s">
        <v>1538</v>
      </c>
      <c r="D153" s="1232" t="s">
        <v>66</v>
      </c>
      <c r="E153" s="225">
        <v>4</v>
      </c>
      <c r="F153" s="229">
        <v>0</v>
      </c>
      <c r="G153" s="230">
        <f t="shared" ref="G153:G171" si="9">E153*F153</f>
        <v>0</v>
      </c>
      <c r="H153" s="1192"/>
      <c r="I153" s="8"/>
    </row>
    <row r="154" spans="2:9" s="1229" customFormat="1">
      <c r="B154" s="218"/>
      <c r="C154" s="228" t="s">
        <v>1539</v>
      </c>
      <c r="D154" s="1232" t="s">
        <v>66</v>
      </c>
      <c r="E154" s="225">
        <v>6</v>
      </c>
      <c r="F154" s="229">
        <v>0</v>
      </c>
      <c r="G154" s="230">
        <f t="shared" si="9"/>
        <v>0</v>
      </c>
      <c r="H154" s="1192"/>
      <c r="I154" s="8"/>
    </row>
    <row r="155" spans="2:9" s="217" customFormat="1" ht="12.75" customHeight="1">
      <c r="B155" s="218"/>
      <c r="C155" s="231" t="s">
        <v>328</v>
      </c>
      <c r="D155" s="1232" t="s">
        <v>66</v>
      </c>
      <c r="E155" s="225">
        <v>4</v>
      </c>
      <c r="F155" s="229">
        <v>0</v>
      </c>
      <c r="G155" s="230">
        <f t="shared" si="9"/>
        <v>0</v>
      </c>
      <c r="H155" s="1192"/>
      <c r="I155" s="8"/>
    </row>
    <row r="156" spans="2:9" s="217" customFormat="1">
      <c r="B156" s="218"/>
      <c r="C156" s="231" t="s">
        <v>156</v>
      </c>
      <c r="D156" s="1232" t="s">
        <v>66</v>
      </c>
      <c r="E156" s="225">
        <v>3</v>
      </c>
      <c r="F156" s="229">
        <v>0</v>
      </c>
      <c r="G156" s="230">
        <f t="shared" si="9"/>
        <v>0</v>
      </c>
      <c r="H156" s="1192"/>
      <c r="I156" s="8"/>
    </row>
    <row r="157" spans="2:9" s="217" customFormat="1">
      <c r="B157" s="218"/>
      <c r="C157" s="231" t="s">
        <v>142</v>
      </c>
      <c r="D157" s="1232" t="s">
        <v>66</v>
      </c>
      <c r="E157" s="225">
        <v>3</v>
      </c>
      <c r="F157" s="229">
        <v>0</v>
      </c>
      <c r="G157" s="230">
        <f t="shared" si="9"/>
        <v>0</v>
      </c>
      <c r="H157" s="1192"/>
      <c r="I157" s="8"/>
    </row>
    <row r="158" spans="2:9" s="217" customFormat="1">
      <c r="B158" s="218"/>
      <c r="C158" s="231" t="s">
        <v>522</v>
      </c>
      <c r="D158" s="1232" t="s">
        <v>66</v>
      </c>
      <c r="E158" s="225">
        <v>5</v>
      </c>
      <c r="F158" s="229">
        <v>0</v>
      </c>
      <c r="G158" s="230">
        <f t="shared" si="9"/>
        <v>0</v>
      </c>
      <c r="H158" s="1192"/>
      <c r="I158" s="8"/>
    </row>
    <row r="159" spans="2:9" s="217" customFormat="1">
      <c r="B159" s="218"/>
      <c r="C159" s="231" t="s">
        <v>155</v>
      </c>
      <c r="D159" s="1232" t="s">
        <v>66</v>
      </c>
      <c r="E159" s="225">
        <v>4</v>
      </c>
      <c r="F159" s="229">
        <v>0</v>
      </c>
      <c r="G159" s="230">
        <f t="shared" si="9"/>
        <v>0</v>
      </c>
      <c r="H159" s="1192"/>
      <c r="I159" s="8"/>
    </row>
    <row r="160" spans="2:9" s="217" customFormat="1">
      <c r="B160" s="218"/>
      <c r="C160" s="231" t="s">
        <v>330</v>
      </c>
      <c r="D160" s="1232" t="s">
        <v>66</v>
      </c>
      <c r="E160" s="225">
        <v>3</v>
      </c>
      <c r="F160" s="229">
        <v>0</v>
      </c>
      <c r="G160" s="230">
        <f t="shared" si="9"/>
        <v>0</v>
      </c>
      <c r="H160" s="1192"/>
      <c r="I160" s="8"/>
    </row>
    <row r="161" spans="2:9" s="217" customFormat="1">
      <c r="B161" s="218"/>
      <c r="C161" s="231" t="s">
        <v>146</v>
      </c>
      <c r="D161" s="1232" t="s">
        <v>66</v>
      </c>
      <c r="E161" s="225">
        <v>4</v>
      </c>
      <c r="F161" s="229">
        <v>0</v>
      </c>
      <c r="G161" s="230">
        <f t="shared" si="9"/>
        <v>0</v>
      </c>
      <c r="H161" s="1192"/>
      <c r="I161" s="8"/>
    </row>
    <row r="162" spans="2:9" s="217" customFormat="1">
      <c r="B162" s="218"/>
      <c r="C162" s="279" t="s">
        <v>147</v>
      </c>
      <c r="D162" s="1232" t="s">
        <v>66</v>
      </c>
      <c r="E162" s="225">
        <v>9</v>
      </c>
      <c r="F162" s="229">
        <v>0</v>
      </c>
      <c r="G162" s="230">
        <f t="shared" si="9"/>
        <v>0</v>
      </c>
      <c r="H162" s="1192"/>
      <c r="I162" s="8"/>
    </row>
    <row r="163" spans="2:9" s="217" customFormat="1">
      <c r="B163" s="218"/>
      <c r="C163" s="279" t="s">
        <v>216</v>
      </c>
      <c r="D163" s="1232" t="s">
        <v>66</v>
      </c>
      <c r="E163" s="225">
        <v>8</v>
      </c>
      <c r="F163" s="229">
        <v>0</v>
      </c>
      <c r="G163" s="230">
        <f t="shared" si="9"/>
        <v>0</v>
      </c>
      <c r="H163" s="1192"/>
      <c r="I163" s="8"/>
    </row>
    <row r="164" spans="2:9" s="217" customFormat="1">
      <c r="B164" s="218"/>
      <c r="C164" s="228" t="s">
        <v>1540</v>
      </c>
      <c r="D164" s="1232" t="s">
        <v>66</v>
      </c>
      <c r="E164" s="225">
        <v>1</v>
      </c>
      <c r="F164" s="229">
        <v>0</v>
      </c>
      <c r="G164" s="230">
        <f t="shared" si="9"/>
        <v>0</v>
      </c>
      <c r="H164" s="1192"/>
      <c r="I164" s="8"/>
    </row>
    <row r="165" spans="2:9" s="217" customFormat="1">
      <c r="B165" s="218"/>
      <c r="C165" s="279" t="s">
        <v>166</v>
      </c>
      <c r="D165" s="1232" t="s">
        <v>66</v>
      </c>
      <c r="E165" s="225">
        <v>1</v>
      </c>
      <c r="F165" s="229">
        <v>0</v>
      </c>
      <c r="G165" s="230">
        <f t="shared" si="9"/>
        <v>0</v>
      </c>
      <c r="H165" s="1192"/>
      <c r="I165" s="8"/>
    </row>
    <row r="166" spans="2:9" s="217" customFormat="1">
      <c r="B166" s="218"/>
      <c r="C166" s="279" t="s">
        <v>203</v>
      </c>
      <c r="D166" s="1232" t="s">
        <v>66</v>
      </c>
      <c r="E166" s="225">
        <v>1</v>
      </c>
      <c r="F166" s="229">
        <v>0</v>
      </c>
      <c r="G166" s="230">
        <f t="shared" si="9"/>
        <v>0</v>
      </c>
      <c r="H166" s="1192"/>
      <c r="I166" s="8"/>
    </row>
    <row r="167" spans="2:9" s="217" customFormat="1">
      <c r="B167" s="218"/>
      <c r="C167" s="279" t="s">
        <v>1541</v>
      </c>
      <c r="D167" s="1232" t="s">
        <v>66</v>
      </c>
      <c r="E167" s="225">
        <v>1</v>
      </c>
      <c r="F167" s="229">
        <v>0</v>
      </c>
      <c r="G167" s="230">
        <f t="shared" si="9"/>
        <v>0</v>
      </c>
      <c r="H167" s="1192"/>
      <c r="I167" s="8"/>
    </row>
    <row r="168" spans="2:9" s="217" customFormat="1">
      <c r="B168" s="218"/>
      <c r="C168" s="279" t="s">
        <v>1542</v>
      </c>
      <c r="D168" s="1232" t="s">
        <v>66</v>
      </c>
      <c r="E168" s="225">
        <v>1</v>
      </c>
      <c r="F168" s="229">
        <v>0</v>
      </c>
      <c r="G168" s="230">
        <f t="shared" si="9"/>
        <v>0</v>
      </c>
      <c r="H168" s="1192"/>
      <c r="I168" s="8"/>
    </row>
    <row r="169" spans="2:9" s="217" customFormat="1">
      <c r="B169" s="218"/>
      <c r="C169" s="279" t="s">
        <v>149</v>
      </c>
      <c r="D169" s="1232" t="s">
        <v>66</v>
      </c>
      <c r="E169" s="225">
        <v>4</v>
      </c>
      <c r="F169" s="229">
        <v>0</v>
      </c>
      <c r="G169" s="230">
        <f t="shared" si="9"/>
        <v>0</v>
      </c>
      <c r="H169" s="1192"/>
      <c r="I169" s="8"/>
    </row>
    <row r="170" spans="2:9" s="217" customFormat="1">
      <c r="B170" s="218"/>
      <c r="C170" s="279" t="s">
        <v>150</v>
      </c>
      <c r="D170" s="1232" t="s">
        <v>66</v>
      </c>
      <c r="E170" s="225">
        <v>7</v>
      </c>
      <c r="F170" s="229">
        <v>0</v>
      </c>
      <c r="G170" s="230">
        <f t="shared" si="9"/>
        <v>0</v>
      </c>
      <c r="H170" s="1192"/>
      <c r="I170" s="8"/>
    </row>
    <row r="171" spans="2:9" s="217" customFormat="1">
      <c r="B171" s="218"/>
      <c r="C171" s="1233" t="s">
        <v>1537</v>
      </c>
      <c r="D171" s="1232" t="s">
        <v>66</v>
      </c>
      <c r="E171" s="225">
        <v>10</v>
      </c>
      <c r="F171" s="229">
        <v>0</v>
      </c>
      <c r="G171" s="230">
        <f t="shared" si="9"/>
        <v>0</v>
      </c>
      <c r="H171" s="1192"/>
      <c r="I171" s="8"/>
    </row>
    <row r="172" spans="2:9" s="217" customFormat="1">
      <c r="B172" s="201" t="s">
        <v>151</v>
      </c>
      <c r="C172" s="212" t="s">
        <v>1543</v>
      </c>
      <c r="D172" s="1228"/>
      <c r="E172" s="214"/>
      <c r="F172" s="215"/>
      <c r="G172" s="216"/>
      <c r="H172" s="1192"/>
      <c r="I172" s="8"/>
    </row>
    <row r="173" spans="2:9" s="217" customFormat="1">
      <c r="B173" s="218"/>
      <c r="C173" s="212" t="s">
        <v>1544</v>
      </c>
      <c r="D173" s="1228"/>
      <c r="E173" s="214"/>
      <c r="F173" s="215">
        <v>0</v>
      </c>
      <c r="G173" s="216"/>
      <c r="H173" s="1192"/>
      <c r="I173" s="8"/>
    </row>
    <row r="174" spans="2:9" s="1229" customFormat="1">
      <c r="B174" s="218"/>
      <c r="C174" s="219" t="s">
        <v>1538</v>
      </c>
      <c r="D174" s="1228" t="s">
        <v>66</v>
      </c>
      <c r="E174" s="214">
        <v>8</v>
      </c>
      <c r="F174" s="220">
        <v>0</v>
      </c>
      <c r="G174" s="221">
        <f t="shared" ref="G174:G183" si="10">E174*F174</f>
        <v>0</v>
      </c>
      <c r="H174" s="1192"/>
      <c r="I174" s="8"/>
    </row>
    <row r="175" spans="2:9" s="217" customFormat="1" ht="14.25" customHeight="1">
      <c r="B175" s="218"/>
      <c r="C175" s="222" t="s">
        <v>328</v>
      </c>
      <c r="D175" s="1228" t="s">
        <v>66</v>
      </c>
      <c r="E175" s="214">
        <v>8</v>
      </c>
      <c r="F175" s="220">
        <v>0</v>
      </c>
      <c r="G175" s="221">
        <f t="shared" si="10"/>
        <v>0</v>
      </c>
      <c r="H175" s="1192"/>
      <c r="I175" s="8"/>
    </row>
    <row r="176" spans="2:9" s="1229" customFormat="1">
      <c r="B176" s="218"/>
      <c r="C176" s="222" t="s">
        <v>155</v>
      </c>
      <c r="D176" s="1228" t="s">
        <v>66</v>
      </c>
      <c r="E176" s="214">
        <v>8</v>
      </c>
      <c r="F176" s="220">
        <v>0</v>
      </c>
      <c r="G176" s="221">
        <f t="shared" si="10"/>
        <v>0</v>
      </c>
      <c r="H176" s="1192"/>
      <c r="I176" s="8"/>
    </row>
    <row r="177" spans="2:9" s="217" customFormat="1">
      <c r="B177" s="218"/>
      <c r="C177" s="222" t="s">
        <v>1545</v>
      </c>
      <c r="D177" s="1228" t="s">
        <v>66</v>
      </c>
      <c r="E177" s="214">
        <v>8</v>
      </c>
      <c r="F177" s="220">
        <v>0</v>
      </c>
      <c r="G177" s="221">
        <f t="shared" si="10"/>
        <v>0</v>
      </c>
      <c r="H177" s="1192"/>
      <c r="I177" s="8"/>
    </row>
    <row r="178" spans="2:9" s="217" customFormat="1">
      <c r="B178" s="218"/>
      <c r="C178" s="222" t="s">
        <v>157</v>
      </c>
      <c r="D178" s="1228" t="s">
        <v>66</v>
      </c>
      <c r="E178" s="214">
        <v>8</v>
      </c>
      <c r="F178" s="220">
        <v>0</v>
      </c>
      <c r="G178" s="221">
        <f t="shared" si="10"/>
        <v>0</v>
      </c>
      <c r="H178" s="1192"/>
      <c r="I178" s="8"/>
    </row>
    <row r="179" spans="2:9" s="217" customFormat="1">
      <c r="B179" s="218"/>
      <c r="C179" s="1230" t="s">
        <v>158</v>
      </c>
      <c r="D179" s="1228" t="s">
        <v>66</v>
      </c>
      <c r="E179" s="214">
        <v>18</v>
      </c>
      <c r="F179" s="220">
        <v>0</v>
      </c>
      <c r="G179" s="221">
        <f t="shared" si="10"/>
        <v>0</v>
      </c>
      <c r="H179" s="1192"/>
      <c r="I179" s="8"/>
    </row>
    <row r="180" spans="2:9" s="217" customFormat="1">
      <c r="B180" s="218"/>
      <c r="C180" s="1230" t="s">
        <v>216</v>
      </c>
      <c r="D180" s="1228" t="s">
        <v>66</v>
      </c>
      <c r="E180" s="214">
        <v>16</v>
      </c>
      <c r="F180" s="220">
        <v>0</v>
      </c>
      <c r="G180" s="221">
        <f t="shared" si="10"/>
        <v>0</v>
      </c>
      <c r="H180" s="1192"/>
      <c r="I180" s="8"/>
    </row>
    <row r="181" spans="2:9" s="217" customFormat="1">
      <c r="B181" s="218"/>
      <c r="C181" s="1230" t="s">
        <v>150</v>
      </c>
      <c r="D181" s="1228" t="s">
        <v>66</v>
      </c>
      <c r="E181" s="214">
        <v>8</v>
      </c>
      <c r="F181" s="220">
        <v>0</v>
      </c>
      <c r="G181" s="221">
        <f t="shared" si="10"/>
        <v>0</v>
      </c>
      <c r="H181" s="1192"/>
      <c r="I181" s="8"/>
    </row>
    <row r="182" spans="2:9" s="217" customFormat="1">
      <c r="B182" s="218"/>
      <c r="C182" s="1231" t="s">
        <v>1537</v>
      </c>
      <c r="D182" s="1228" t="s">
        <v>66</v>
      </c>
      <c r="E182" s="214">
        <v>8</v>
      </c>
      <c r="F182" s="220">
        <v>0</v>
      </c>
      <c r="G182" s="221">
        <f t="shared" si="10"/>
        <v>0</v>
      </c>
      <c r="H182" s="1192"/>
      <c r="I182" s="8"/>
    </row>
    <row r="183" spans="2:9" ht="30" customHeight="1">
      <c r="B183" s="199" t="s">
        <v>1416</v>
      </c>
      <c r="C183" s="212" t="s">
        <v>332</v>
      </c>
      <c r="D183" s="1228" t="s">
        <v>66</v>
      </c>
      <c r="E183" s="214">
        <v>8</v>
      </c>
      <c r="F183" s="220">
        <v>0</v>
      </c>
      <c r="G183" s="221">
        <f t="shared" si="10"/>
        <v>0</v>
      </c>
      <c r="H183" s="1192"/>
    </row>
    <row r="184" spans="2:9" s="217" customFormat="1">
      <c r="B184" s="201" t="s">
        <v>159</v>
      </c>
      <c r="C184" s="223" t="s">
        <v>160</v>
      </c>
      <c r="D184" s="1232"/>
      <c r="E184" s="225"/>
      <c r="F184" s="226"/>
      <c r="G184" s="227"/>
      <c r="H184" s="1192"/>
      <c r="I184" s="8"/>
    </row>
    <row r="185" spans="2:9" s="217" customFormat="1">
      <c r="B185" s="218"/>
      <c r="C185" s="238" t="s">
        <v>1546</v>
      </c>
      <c r="D185" s="260"/>
      <c r="E185" s="240"/>
      <c r="F185" s="241">
        <v>0</v>
      </c>
      <c r="G185" s="242"/>
      <c r="H185" s="1192"/>
      <c r="I185" s="8"/>
    </row>
    <row r="186" spans="2:9" s="1229" customFormat="1">
      <c r="B186" s="218"/>
      <c r="C186" s="243" t="s">
        <v>1547</v>
      </c>
      <c r="D186" s="260" t="s">
        <v>66</v>
      </c>
      <c r="E186" s="240">
        <v>2</v>
      </c>
      <c r="F186" s="244">
        <v>0</v>
      </c>
      <c r="G186" s="245">
        <f t="shared" ref="G186:G193" si="11">E186*F186</f>
        <v>0</v>
      </c>
      <c r="H186" s="1192"/>
      <c r="I186" s="8"/>
    </row>
    <row r="187" spans="2:9" s="217" customFormat="1">
      <c r="B187" s="218"/>
      <c r="C187" s="1123" t="s">
        <v>2084</v>
      </c>
      <c r="D187" s="260" t="s">
        <v>66</v>
      </c>
      <c r="E187" s="240">
        <v>4</v>
      </c>
      <c r="F187" s="244">
        <v>0</v>
      </c>
      <c r="G187" s="245">
        <f t="shared" si="11"/>
        <v>0</v>
      </c>
      <c r="H187" s="1192"/>
      <c r="I187" s="8"/>
    </row>
    <row r="188" spans="2:9" s="1229" customFormat="1">
      <c r="B188" s="218"/>
      <c r="C188" s="1123" t="s">
        <v>2085</v>
      </c>
      <c r="D188" s="260" t="s">
        <v>66</v>
      </c>
      <c r="E188" s="240">
        <v>2</v>
      </c>
      <c r="F188" s="244">
        <v>0</v>
      </c>
      <c r="G188" s="245">
        <f t="shared" si="11"/>
        <v>0</v>
      </c>
      <c r="H188" s="1192"/>
      <c r="I188" s="8"/>
    </row>
    <row r="189" spans="2:9" s="217" customFormat="1">
      <c r="B189" s="218"/>
      <c r="C189" s="1123" t="s">
        <v>1550</v>
      </c>
      <c r="D189" s="260" t="s">
        <v>66</v>
      </c>
      <c r="E189" s="240">
        <v>2</v>
      </c>
      <c r="F189" s="244">
        <v>0</v>
      </c>
      <c r="G189" s="245">
        <f t="shared" si="11"/>
        <v>0</v>
      </c>
      <c r="H189" s="1192"/>
      <c r="I189" s="8"/>
    </row>
    <row r="190" spans="2:9" s="217" customFormat="1">
      <c r="B190" s="218"/>
      <c r="C190" s="109" t="s">
        <v>499</v>
      </c>
      <c r="D190" s="260" t="s">
        <v>66</v>
      </c>
      <c r="E190" s="240">
        <v>4</v>
      </c>
      <c r="F190" s="244">
        <v>0</v>
      </c>
      <c r="G190" s="245">
        <f t="shared" si="11"/>
        <v>0</v>
      </c>
      <c r="H190" s="1192"/>
      <c r="I190" s="8"/>
    </row>
    <row r="191" spans="2:9" s="217" customFormat="1">
      <c r="B191" s="218"/>
      <c r="C191" s="109" t="s">
        <v>216</v>
      </c>
      <c r="D191" s="260" t="s">
        <v>66</v>
      </c>
      <c r="E191" s="240">
        <v>2</v>
      </c>
      <c r="F191" s="244">
        <v>0</v>
      </c>
      <c r="G191" s="245">
        <f t="shared" si="11"/>
        <v>0</v>
      </c>
      <c r="H191" s="1192"/>
      <c r="I191" s="8"/>
    </row>
    <row r="192" spans="2:9" s="217" customFormat="1">
      <c r="B192" s="218"/>
      <c r="C192" s="109" t="s">
        <v>150</v>
      </c>
      <c r="D192" s="260" t="s">
        <v>66</v>
      </c>
      <c r="E192" s="240">
        <v>6</v>
      </c>
      <c r="F192" s="244">
        <v>0</v>
      </c>
      <c r="G192" s="245">
        <f t="shared" si="11"/>
        <v>0</v>
      </c>
      <c r="H192" s="1192"/>
      <c r="I192" s="8"/>
    </row>
    <row r="193" spans="2:9" s="217" customFormat="1">
      <c r="B193" s="218"/>
      <c r="C193" s="1237" t="s">
        <v>1537</v>
      </c>
      <c r="D193" s="260" t="s">
        <v>66</v>
      </c>
      <c r="E193" s="240">
        <v>6</v>
      </c>
      <c r="F193" s="244">
        <v>0</v>
      </c>
      <c r="G193" s="245">
        <f t="shared" si="11"/>
        <v>0</v>
      </c>
      <c r="H193" s="1192"/>
      <c r="I193" s="8"/>
    </row>
    <row r="194" spans="2:9" s="217" customFormat="1">
      <c r="B194" s="218"/>
      <c r="C194" s="238" t="s">
        <v>1552</v>
      </c>
      <c r="D194" s="260"/>
      <c r="E194" s="240"/>
      <c r="F194" s="241">
        <v>0</v>
      </c>
      <c r="G194" s="242"/>
      <c r="H194" s="1192"/>
      <c r="I194" s="8"/>
    </row>
    <row r="195" spans="2:9" s="217" customFormat="1">
      <c r="B195" s="218"/>
      <c r="C195" s="243" t="s">
        <v>2081</v>
      </c>
      <c r="D195" s="260" t="s">
        <v>66</v>
      </c>
      <c r="E195" s="240">
        <v>1</v>
      </c>
      <c r="F195" s="244">
        <v>0</v>
      </c>
      <c r="G195" s="245">
        <f t="shared" ref="G195:G201" si="12">E195*F195</f>
        <v>0</v>
      </c>
      <c r="H195" s="1192"/>
      <c r="I195" s="8"/>
    </row>
    <row r="196" spans="2:9" s="217" customFormat="1">
      <c r="B196" s="218"/>
      <c r="C196" s="1123" t="s">
        <v>1553</v>
      </c>
      <c r="D196" s="260" t="s">
        <v>66</v>
      </c>
      <c r="E196" s="240">
        <v>1</v>
      </c>
      <c r="F196" s="244">
        <v>0</v>
      </c>
      <c r="G196" s="245">
        <f t="shared" si="12"/>
        <v>0</v>
      </c>
      <c r="H196" s="1192"/>
      <c r="I196" s="8"/>
    </row>
    <row r="197" spans="2:9" s="1229" customFormat="1">
      <c r="B197" s="218"/>
      <c r="C197" s="1123" t="s">
        <v>1549</v>
      </c>
      <c r="D197" s="260" t="s">
        <v>66</v>
      </c>
      <c r="E197" s="240">
        <v>1</v>
      </c>
      <c r="F197" s="244">
        <v>0</v>
      </c>
      <c r="G197" s="245">
        <f t="shared" si="12"/>
        <v>0</v>
      </c>
      <c r="H197" s="1192"/>
      <c r="I197" s="8"/>
    </row>
    <row r="198" spans="2:9" s="217" customFormat="1">
      <c r="B198" s="218"/>
      <c r="C198" s="243" t="s">
        <v>2082</v>
      </c>
      <c r="D198" s="260" t="s">
        <v>66</v>
      </c>
      <c r="E198" s="240">
        <v>2</v>
      </c>
      <c r="F198" s="244">
        <v>0</v>
      </c>
      <c r="G198" s="245">
        <f t="shared" si="12"/>
        <v>0</v>
      </c>
      <c r="H198" s="1192"/>
      <c r="I198" s="8"/>
    </row>
    <row r="199" spans="2:9" s="217" customFormat="1">
      <c r="B199" s="218"/>
      <c r="C199" s="243" t="s">
        <v>2083</v>
      </c>
      <c r="D199" s="260" t="s">
        <v>66</v>
      </c>
      <c r="E199" s="240">
        <v>1</v>
      </c>
      <c r="F199" s="244">
        <v>0</v>
      </c>
      <c r="G199" s="245">
        <f t="shared" si="12"/>
        <v>0</v>
      </c>
      <c r="H199" s="1192"/>
      <c r="I199" s="8"/>
    </row>
    <row r="200" spans="2:9" s="217" customFormat="1">
      <c r="B200" s="218"/>
      <c r="C200" s="109" t="s">
        <v>150</v>
      </c>
      <c r="D200" s="260" t="s">
        <v>66</v>
      </c>
      <c r="E200" s="240">
        <v>2</v>
      </c>
      <c r="F200" s="244">
        <v>0</v>
      </c>
      <c r="G200" s="245">
        <f t="shared" si="12"/>
        <v>0</v>
      </c>
      <c r="H200" s="1192"/>
      <c r="I200" s="8"/>
    </row>
    <row r="201" spans="2:9" s="217" customFormat="1">
      <c r="B201" s="218"/>
      <c r="C201" s="1237" t="s">
        <v>1537</v>
      </c>
      <c r="D201" s="260" t="s">
        <v>66</v>
      </c>
      <c r="E201" s="240">
        <v>2</v>
      </c>
      <c r="F201" s="244">
        <v>0</v>
      </c>
      <c r="G201" s="245">
        <f t="shared" si="12"/>
        <v>0</v>
      </c>
      <c r="H201" s="1192"/>
      <c r="I201" s="8"/>
    </row>
    <row r="202" spans="2:9" s="217" customFormat="1">
      <c r="B202" s="218"/>
      <c r="C202" s="238" t="s">
        <v>1554</v>
      </c>
      <c r="D202" s="260"/>
      <c r="E202" s="240"/>
      <c r="F202" s="241">
        <v>0</v>
      </c>
      <c r="G202" s="242"/>
      <c r="H202" s="1192"/>
      <c r="I202" s="8"/>
    </row>
    <row r="203" spans="2:9" s="217" customFormat="1">
      <c r="B203" s="218"/>
      <c r="C203" s="243" t="s">
        <v>2080</v>
      </c>
      <c r="D203" s="260" t="s">
        <v>66</v>
      </c>
      <c r="E203" s="240">
        <v>1</v>
      </c>
      <c r="F203" s="244">
        <v>0</v>
      </c>
      <c r="G203" s="245">
        <f t="shared" ref="G203:G209" si="13">E203*F203</f>
        <v>0</v>
      </c>
      <c r="H203" s="1192"/>
      <c r="I203" s="8"/>
    </row>
    <row r="204" spans="2:9" s="217" customFormat="1">
      <c r="B204" s="218"/>
      <c r="C204" s="1123" t="s">
        <v>1553</v>
      </c>
      <c r="D204" s="260" t="s">
        <v>66</v>
      </c>
      <c r="E204" s="240">
        <v>1</v>
      </c>
      <c r="F204" s="244">
        <v>0</v>
      </c>
      <c r="G204" s="245">
        <f t="shared" si="13"/>
        <v>0</v>
      </c>
      <c r="H204" s="1192"/>
      <c r="I204" s="8"/>
    </row>
    <row r="205" spans="2:9" s="217" customFormat="1">
      <c r="B205" s="218"/>
      <c r="C205" s="1123" t="s">
        <v>1548</v>
      </c>
      <c r="D205" s="260" t="s">
        <v>66</v>
      </c>
      <c r="E205" s="240">
        <v>1</v>
      </c>
      <c r="F205" s="244">
        <v>0</v>
      </c>
      <c r="G205" s="245">
        <f t="shared" si="13"/>
        <v>0</v>
      </c>
      <c r="H205" s="1192"/>
      <c r="I205" s="8"/>
    </row>
    <row r="206" spans="2:9" s="217" customFormat="1">
      <c r="B206" s="218"/>
      <c r="C206" s="243" t="s">
        <v>2078</v>
      </c>
      <c r="D206" s="260" t="s">
        <v>66</v>
      </c>
      <c r="E206" s="240">
        <v>2</v>
      </c>
      <c r="F206" s="244">
        <v>0</v>
      </c>
      <c r="G206" s="245">
        <f t="shared" si="13"/>
        <v>0</v>
      </c>
      <c r="H206" s="1192"/>
      <c r="I206" s="8"/>
    </row>
    <row r="207" spans="2:9" s="217" customFormat="1">
      <c r="B207" s="218"/>
      <c r="C207" s="243" t="s">
        <v>2079</v>
      </c>
      <c r="D207" s="260" t="s">
        <v>66</v>
      </c>
      <c r="E207" s="240">
        <v>1</v>
      </c>
      <c r="F207" s="244">
        <v>0</v>
      </c>
      <c r="G207" s="245">
        <f t="shared" si="13"/>
        <v>0</v>
      </c>
      <c r="H207" s="1192"/>
      <c r="I207" s="8"/>
    </row>
    <row r="208" spans="2:9" s="217" customFormat="1">
      <c r="B208" s="218"/>
      <c r="C208" s="109" t="s">
        <v>150</v>
      </c>
      <c r="D208" s="260" t="s">
        <v>66</v>
      </c>
      <c r="E208" s="240">
        <v>2</v>
      </c>
      <c r="F208" s="244">
        <v>0</v>
      </c>
      <c r="G208" s="245">
        <f t="shared" si="13"/>
        <v>0</v>
      </c>
      <c r="H208" s="1192"/>
      <c r="I208" s="8"/>
    </row>
    <row r="209" spans="2:39" s="217" customFormat="1">
      <c r="B209" s="218"/>
      <c r="C209" s="1237" t="s">
        <v>1537</v>
      </c>
      <c r="D209" s="260" t="s">
        <v>66</v>
      </c>
      <c r="E209" s="240">
        <v>2</v>
      </c>
      <c r="F209" s="244">
        <v>0</v>
      </c>
      <c r="G209" s="245">
        <f t="shared" si="13"/>
        <v>0</v>
      </c>
      <c r="H209" s="1192"/>
      <c r="I209" s="8"/>
    </row>
    <row r="210" spans="2:39" s="217" customFormat="1">
      <c r="B210" s="218"/>
      <c r="C210" s="223" t="s">
        <v>1555</v>
      </c>
      <c r="D210" s="1232"/>
      <c r="E210" s="225"/>
      <c r="F210" s="226">
        <v>0</v>
      </c>
      <c r="G210" s="227"/>
      <c r="H210" s="1192"/>
      <c r="I210" s="8"/>
      <c r="AM210" s="8"/>
    </row>
    <row r="211" spans="2:39" s="217" customFormat="1">
      <c r="B211" s="218"/>
      <c r="C211" s="228" t="s">
        <v>520</v>
      </c>
      <c r="D211" s="1232" t="s">
        <v>66</v>
      </c>
      <c r="E211" s="225">
        <v>1</v>
      </c>
      <c r="F211" s="229">
        <v>0</v>
      </c>
      <c r="G211" s="230">
        <f t="shared" ref="G211:G219" si="14">E211*F211</f>
        <v>0</v>
      </c>
      <c r="H211" s="1192"/>
      <c r="I211" s="8"/>
    </row>
    <row r="212" spans="2:39" s="1229" customFormat="1">
      <c r="B212" s="218"/>
      <c r="C212" s="231" t="s">
        <v>155</v>
      </c>
      <c r="D212" s="1232" t="s">
        <v>66</v>
      </c>
      <c r="E212" s="225">
        <v>1</v>
      </c>
      <c r="F212" s="229">
        <v>0</v>
      </c>
      <c r="G212" s="230">
        <f t="shared" si="14"/>
        <v>0</v>
      </c>
      <c r="H212" s="1192"/>
      <c r="I212" s="8"/>
    </row>
    <row r="213" spans="2:39" s="217" customFormat="1">
      <c r="B213" s="218"/>
      <c r="C213" s="279" t="s">
        <v>1551</v>
      </c>
      <c r="D213" s="1232" t="s">
        <v>66</v>
      </c>
      <c r="E213" s="225">
        <v>2</v>
      </c>
      <c r="F213" s="229">
        <v>0</v>
      </c>
      <c r="G213" s="230">
        <f t="shared" si="14"/>
        <v>0</v>
      </c>
      <c r="H213" s="1192"/>
      <c r="I213" s="8"/>
    </row>
    <row r="214" spans="2:39" s="217" customFormat="1">
      <c r="B214" s="218"/>
      <c r="C214" s="279" t="s">
        <v>166</v>
      </c>
      <c r="D214" s="1232" t="s">
        <v>66</v>
      </c>
      <c r="E214" s="225">
        <v>1</v>
      </c>
      <c r="F214" s="229">
        <v>0</v>
      </c>
      <c r="G214" s="230">
        <f t="shared" si="14"/>
        <v>0</v>
      </c>
      <c r="H214" s="1192"/>
      <c r="I214" s="8"/>
    </row>
    <row r="215" spans="2:39" s="217" customFormat="1">
      <c r="B215" s="218"/>
      <c r="C215" s="279" t="s">
        <v>203</v>
      </c>
      <c r="D215" s="1232" t="s">
        <v>66</v>
      </c>
      <c r="E215" s="225">
        <v>1</v>
      </c>
      <c r="F215" s="229">
        <v>0</v>
      </c>
      <c r="G215" s="230">
        <f t="shared" si="14"/>
        <v>0</v>
      </c>
      <c r="H215" s="1192"/>
      <c r="I215" s="8"/>
    </row>
    <row r="216" spans="2:39" s="217" customFormat="1">
      <c r="B216" s="218"/>
      <c r="C216" s="279" t="s">
        <v>1541</v>
      </c>
      <c r="D216" s="1232" t="s">
        <v>66</v>
      </c>
      <c r="E216" s="225">
        <v>1</v>
      </c>
      <c r="F216" s="229">
        <v>0</v>
      </c>
      <c r="G216" s="230">
        <f t="shared" si="14"/>
        <v>0</v>
      </c>
      <c r="H216" s="1192"/>
      <c r="I216" s="8"/>
    </row>
    <row r="217" spans="2:39" s="217" customFormat="1">
      <c r="B217" s="218"/>
      <c r="C217" s="279" t="s">
        <v>1542</v>
      </c>
      <c r="D217" s="1232" t="s">
        <v>66</v>
      </c>
      <c r="E217" s="225">
        <v>1</v>
      </c>
      <c r="F217" s="229">
        <v>0</v>
      </c>
      <c r="G217" s="230">
        <f t="shared" si="14"/>
        <v>0</v>
      </c>
      <c r="H217" s="1192"/>
      <c r="I217" s="8"/>
    </row>
    <row r="218" spans="2:39" s="217" customFormat="1">
      <c r="B218" s="218"/>
      <c r="C218" s="279" t="s">
        <v>150</v>
      </c>
      <c r="D218" s="1232" t="s">
        <v>66</v>
      </c>
      <c r="E218" s="225">
        <v>1</v>
      </c>
      <c r="F218" s="229">
        <v>0</v>
      </c>
      <c r="G218" s="230">
        <f t="shared" si="14"/>
        <v>0</v>
      </c>
      <c r="H218" s="1192"/>
      <c r="I218" s="8"/>
    </row>
    <row r="219" spans="2:39" s="217" customFormat="1">
      <c r="B219" s="218"/>
      <c r="C219" s="1233" t="s">
        <v>1537</v>
      </c>
      <c r="D219" s="1232" t="s">
        <v>66</v>
      </c>
      <c r="E219" s="225">
        <v>1</v>
      </c>
      <c r="F219" s="229">
        <v>0</v>
      </c>
      <c r="G219" s="230">
        <f t="shared" si="14"/>
        <v>0</v>
      </c>
      <c r="H219" s="1192"/>
      <c r="I219" s="8"/>
    </row>
    <row r="220" spans="2:39" s="217" customFormat="1">
      <c r="B220" s="218"/>
      <c r="C220" s="223" t="s">
        <v>1556</v>
      </c>
      <c r="D220" s="1232"/>
      <c r="E220" s="225"/>
      <c r="F220" s="226">
        <v>0</v>
      </c>
      <c r="G220" s="227"/>
      <c r="H220" s="1192"/>
      <c r="I220" s="8"/>
    </row>
    <row r="221" spans="2:39" s="1229" customFormat="1" ht="14.25" customHeight="1">
      <c r="B221" s="218"/>
      <c r="C221" s="228" t="s">
        <v>1557</v>
      </c>
      <c r="D221" s="1232" t="s">
        <v>66</v>
      </c>
      <c r="E221" s="225">
        <v>3</v>
      </c>
      <c r="F221" s="229">
        <v>0</v>
      </c>
      <c r="G221" s="230">
        <f t="shared" ref="G221:G226" si="15">E221*F221</f>
        <v>0</v>
      </c>
      <c r="H221" s="1192"/>
      <c r="I221" s="1224"/>
    </row>
    <row r="222" spans="2:39" s="217" customFormat="1">
      <c r="B222" s="218"/>
      <c r="C222" s="279" t="s">
        <v>216</v>
      </c>
      <c r="D222" s="1232" t="s">
        <v>66</v>
      </c>
      <c r="E222" s="225">
        <v>8</v>
      </c>
      <c r="F222" s="229">
        <v>0</v>
      </c>
      <c r="G222" s="230">
        <f t="shared" si="15"/>
        <v>0</v>
      </c>
      <c r="H222" s="1192"/>
      <c r="I222" s="1224"/>
    </row>
    <row r="223" spans="2:39" s="1229" customFormat="1">
      <c r="B223" s="218"/>
      <c r="C223" s="231" t="s">
        <v>1539</v>
      </c>
      <c r="D223" s="1232" t="s">
        <v>66</v>
      </c>
      <c r="E223" s="225">
        <v>3</v>
      </c>
      <c r="F223" s="229">
        <v>0</v>
      </c>
      <c r="G223" s="230">
        <f t="shared" si="15"/>
        <v>0</v>
      </c>
      <c r="H223" s="1192"/>
      <c r="I223" s="1224"/>
    </row>
    <row r="224" spans="2:39" s="217" customFormat="1">
      <c r="B224" s="218"/>
      <c r="C224" s="231" t="s">
        <v>1558</v>
      </c>
      <c r="D224" s="1232" t="s">
        <v>66</v>
      </c>
      <c r="E224" s="225">
        <v>1</v>
      </c>
      <c r="F224" s="229">
        <v>0</v>
      </c>
      <c r="G224" s="230">
        <f t="shared" si="15"/>
        <v>0</v>
      </c>
      <c r="H224" s="1192"/>
      <c r="I224" s="1224"/>
    </row>
    <row r="225" spans="2:20" s="217" customFormat="1">
      <c r="B225" s="218"/>
      <c r="C225" s="279" t="s">
        <v>150</v>
      </c>
      <c r="D225" s="1232" t="s">
        <v>66</v>
      </c>
      <c r="E225" s="225">
        <v>4</v>
      </c>
      <c r="F225" s="229">
        <v>0</v>
      </c>
      <c r="G225" s="230">
        <f t="shared" si="15"/>
        <v>0</v>
      </c>
      <c r="H225" s="1192"/>
      <c r="I225" s="1224"/>
    </row>
    <row r="226" spans="2:20" s="217" customFormat="1">
      <c r="B226" s="218"/>
      <c r="C226" s="1233" t="s">
        <v>1537</v>
      </c>
      <c r="D226" s="1232" t="s">
        <v>66</v>
      </c>
      <c r="E226" s="225">
        <v>4</v>
      </c>
      <c r="F226" s="229">
        <v>0</v>
      </c>
      <c r="G226" s="230">
        <f t="shared" si="15"/>
        <v>0</v>
      </c>
      <c r="H226" s="1192"/>
      <c r="I226" s="1224"/>
    </row>
    <row r="227" spans="2:20" s="217" customFormat="1">
      <c r="B227" s="218"/>
      <c r="C227" s="223" t="s">
        <v>215</v>
      </c>
      <c r="D227" s="1232"/>
      <c r="E227" s="225"/>
      <c r="F227" s="226">
        <v>0</v>
      </c>
      <c r="G227" s="227"/>
      <c r="H227" s="1192"/>
      <c r="I227" s="8"/>
      <c r="T227" s="1226"/>
    </row>
    <row r="228" spans="2:20" s="1229" customFormat="1" ht="12.75" customHeight="1">
      <c r="B228" s="218"/>
      <c r="C228" s="228" t="s">
        <v>1559</v>
      </c>
      <c r="D228" s="1232" t="s">
        <v>66</v>
      </c>
      <c r="E228" s="225">
        <v>1</v>
      </c>
      <c r="F228" s="229">
        <v>0</v>
      </c>
      <c r="G228" s="230">
        <f t="shared" ref="G228:G235" si="16">E228*F228</f>
        <v>0</v>
      </c>
      <c r="H228" s="1192"/>
      <c r="I228" s="8"/>
    </row>
    <row r="229" spans="2:20" s="1229" customFormat="1" ht="12.75" customHeight="1">
      <c r="B229" s="218"/>
      <c r="C229" s="231" t="s">
        <v>1539</v>
      </c>
      <c r="D229" s="1232" t="s">
        <v>66</v>
      </c>
      <c r="E229" s="225">
        <v>2</v>
      </c>
      <c r="F229" s="229">
        <v>0</v>
      </c>
      <c r="G229" s="230">
        <f t="shared" si="16"/>
        <v>0</v>
      </c>
      <c r="H229" s="1192"/>
      <c r="I229" s="8"/>
    </row>
    <row r="230" spans="2:20" s="217" customFormat="1">
      <c r="B230" s="218"/>
      <c r="C230" s="279" t="s">
        <v>216</v>
      </c>
      <c r="D230" s="1232" t="s">
        <v>66</v>
      </c>
      <c r="E230" s="225">
        <v>2</v>
      </c>
      <c r="F230" s="229">
        <v>0</v>
      </c>
      <c r="G230" s="230">
        <f t="shared" si="16"/>
        <v>0</v>
      </c>
      <c r="H230" s="1192"/>
      <c r="I230" s="8"/>
    </row>
    <row r="231" spans="2:20" s="217" customFormat="1">
      <c r="B231" s="218"/>
      <c r="C231" s="279" t="s">
        <v>1560</v>
      </c>
      <c r="D231" s="1232" t="s">
        <v>66</v>
      </c>
      <c r="E231" s="225">
        <v>2</v>
      </c>
      <c r="F231" s="229">
        <v>0</v>
      </c>
      <c r="G231" s="230">
        <f t="shared" si="16"/>
        <v>0</v>
      </c>
      <c r="H231" s="1192"/>
      <c r="I231" s="8"/>
    </row>
    <row r="232" spans="2:20" s="217" customFormat="1">
      <c r="B232" s="218"/>
      <c r="C232" s="279" t="s">
        <v>184</v>
      </c>
      <c r="D232" s="1232" t="s">
        <v>66</v>
      </c>
      <c r="E232" s="225">
        <v>4</v>
      </c>
      <c r="F232" s="229">
        <v>0</v>
      </c>
      <c r="G232" s="230">
        <f t="shared" si="16"/>
        <v>0</v>
      </c>
      <c r="H232" s="1192"/>
      <c r="I232" s="8"/>
    </row>
    <row r="233" spans="2:20" s="217" customFormat="1">
      <c r="B233" s="218"/>
      <c r="C233" s="231" t="s">
        <v>1561</v>
      </c>
      <c r="D233" s="1232" t="s">
        <v>66</v>
      </c>
      <c r="E233" s="225">
        <v>1</v>
      </c>
      <c r="F233" s="229">
        <v>0</v>
      </c>
      <c r="G233" s="230">
        <f t="shared" si="16"/>
        <v>0</v>
      </c>
      <c r="H233" s="1192"/>
      <c r="I233" s="8"/>
    </row>
    <row r="234" spans="2:20" s="217" customFormat="1">
      <c r="B234" s="218"/>
      <c r="C234" s="279" t="s">
        <v>150</v>
      </c>
      <c r="D234" s="1232" t="s">
        <v>66</v>
      </c>
      <c r="E234" s="225">
        <v>2</v>
      </c>
      <c r="F234" s="229">
        <v>0</v>
      </c>
      <c r="G234" s="230">
        <f t="shared" si="16"/>
        <v>0</v>
      </c>
      <c r="H234" s="1192"/>
      <c r="I234" s="8"/>
    </row>
    <row r="235" spans="2:20" s="217" customFormat="1">
      <c r="B235" s="218"/>
      <c r="C235" s="1233" t="s">
        <v>1537</v>
      </c>
      <c r="D235" s="1232" t="s">
        <v>66</v>
      </c>
      <c r="E235" s="225">
        <v>2</v>
      </c>
      <c r="F235" s="229">
        <v>0</v>
      </c>
      <c r="G235" s="230">
        <f t="shared" si="16"/>
        <v>0</v>
      </c>
      <c r="H235" s="1192"/>
      <c r="I235" s="8"/>
    </row>
    <row r="236" spans="2:20" s="217" customFormat="1">
      <c r="B236" s="218"/>
      <c r="C236" s="223" t="s">
        <v>336</v>
      </c>
      <c r="D236" s="1232"/>
      <c r="E236" s="225"/>
      <c r="F236" s="226">
        <v>0</v>
      </c>
      <c r="G236" s="227"/>
      <c r="H236" s="1192"/>
      <c r="I236" s="8"/>
    </row>
    <row r="237" spans="2:20" s="1229" customFormat="1" ht="24">
      <c r="B237" s="218"/>
      <c r="C237" s="228" t="s">
        <v>2077</v>
      </c>
      <c r="D237" s="1232" t="s">
        <v>66</v>
      </c>
      <c r="E237" s="225">
        <v>1</v>
      </c>
      <c r="F237" s="229">
        <v>0</v>
      </c>
      <c r="G237" s="230">
        <f t="shared" ref="G237:G243" si="17">E237*F237</f>
        <v>0</v>
      </c>
      <c r="H237" s="1192"/>
      <c r="I237" s="8"/>
    </row>
    <row r="238" spans="2:20" s="217" customFormat="1">
      <c r="B238" s="218"/>
      <c r="C238" s="279" t="s">
        <v>216</v>
      </c>
      <c r="D238" s="1232" t="s">
        <v>66</v>
      </c>
      <c r="E238" s="225">
        <v>2</v>
      </c>
      <c r="F238" s="229">
        <v>0</v>
      </c>
      <c r="G238" s="230">
        <f t="shared" si="17"/>
        <v>0</v>
      </c>
      <c r="H238" s="1192"/>
      <c r="I238" s="8"/>
    </row>
    <row r="239" spans="2:20" s="217" customFormat="1">
      <c r="B239" s="218"/>
      <c r="C239" s="279" t="s">
        <v>316</v>
      </c>
      <c r="D239" s="1232" t="s">
        <v>66</v>
      </c>
      <c r="E239" s="225">
        <v>2</v>
      </c>
      <c r="F239" s="229">
        <v>0</v>
      </c>
      <c r="G239" s="230">
        <f t="shared" si="17"/>
        <v>0</v>
      </c>
      <c r="H239" s="1192"/>
      <c r="I239" s="8"/>
    </row>
    <row r="240" spans="2:20" s="217" customFormat="1">
      <c r="B240" s="218"/>
      <c r="C240" s="279" t="s">
        <v>1562</v>
      </c>
      <c r="D240" s="1232" t="s">
        <v>66</v>
      </c>
      <c r="E240" s="225">
        <v>4</v>
      </c>
      <c r="F240" s="229">
        <v>0</v>
      </c>
      <c r="G240" s="230">
        <f t="shared" si="17"/>
        <v>0</v>
      </c>
      <c r="H240" s="1192"/>
      <c r="I240" s="8"/>
    </row>
    <row r="241" spans="2:9" s="217" customFormat="1">
      <c r="B241" s="218"/>
      <c r="C241" s="231" t="s">
        <v>1558</v>
      </c>
      <c r="D241" s="1232" t="s">
        <v>66</v>
      </c>
      <c r="E241" s="225">
        <v>1</v>
      </c>
      <c r="F241" s="229">
        <v>0</v>
      </c>
      <c r="G241" s="230">
        <f t="shared" si="17"/>
        <v>0</v>
      </c>
      <c r="H241" s="1192"/>
      <c r="I241" s="8"/>
    </row>
    <row r="242" spans="2:9" s="217" customFormat="1">
      <c r="B242" s="218"/>
      <c r="C242" s="279" t="s">
        <v>150</v>
      </c>
      <c r="D242" s="1232" t="s">
        <v>66</v>
      </c>
      <c r="E242" s="225">
        <v>1</v>
      </c>
      <c r="F242" s="229">
        <v>0</v>
      </c>
      <c r="G242" s="230">
        <f t="shared" si="17"/>
        <v>0</v>
      </c>
      <c r="H242" s="1192"/>
      <c r="I242" s="8"/>
    </row>
    <row r="243" spans="2:9" s="217" customFormat="1">
      <c r="B243" s="218"/>
      <c r="C243" s="1233" t="s">
        <v>1537</v>
      </c>
      <c r="D243" s="1232" t="s">
        <v>66</v>
      </c>
      <c r="E243" s="225">
        <v>1</v>
      </c>
      <c r="F243" s="229">
        <v>0</v>
      </c>
      <c r="G243" s="230">
        <f t="shared" si="17"/>
        <v>0</v>
      </c>
      <c r="H243" s="1192"/>
      <c r="I243" s="8"/>
    </row>
    <row r="244" spans="2:9" s="217" customFormat="1">
      <c r="B244" s="218"/>
      <c r="C244" s="223" t="s">
        <v>1563</v>
      </c>
      <c r="D244" s="1232"/>
      <c r="E244" s="225"/>
      <c r="F244" s="226">
        <v>0</v>
      </c>
      <c r="G244" s="227"/>
      <c r="H244" s="1192"/>
      <c r="I244" s="8"/>
    </row>
    <row r="245" spans="2:9" s="1229" customFormat="1" ht="14.25" customHeight="1">
      <c r="B245" s="218"/>
      <c r="C245" s="228" t="s">
        <v>1564</v>
      </c>
      <c r="D245" s="1232" t="s">
        <v>66</v>
      </c>
      <c r="E245" s="225">
        <v>1</v>
      </c>
      <c r="F245" s="229">
        <v>0</v>
      </c>
      <c r="G245" s="230">
        <f t="shared" ref="G245:G250" si="18">E245*F245</f>
        <v>0</v>
      </c>
      <c r="H245" s="1192"/>
      <c r="I245" s="8"/>
    </row>
    <row r="246" spans="2:9" s="1229" customFormat="1">
      <c r="B246" s="218"/>
      <c r="C246" s="231" t="s">
        <v>1539</v>
      </c>
      <c r="D246" s="1232" t="s">
        <v>66</v>
      </c>
      <c r="E246" s="225">
        <v>1</v>
      </c>
      <c r="F246" s="229">
        <v>0</v>
      </c>
      <c r="G246" s="230">
        <f t="shared" si="18"/>
        <v>0</v>
      </c>
      <c r="H246" s="1192"/>
      <c r="I246" s="8"/>
    </row>
    <row r="247" spans="2:9" s="217" customFormat="1">
      <c r="B247" s="218"/>
      <c r="C247" s="279" t="s">
        <v>216</v>
      </c>
      <c r="D247" s="1232" t="s">
        <v>66</v>
      </c>
      <c r="E247" s="225">
        <v>2</v>
      </c>
      <c r="F247" s="229">
        <v>0</v>
      </c>
      <c r="G247" s="230">
        <f t="shared" si="18"/>
        <v>0</v>
      </c>
      <c r="H247" s="1192"/>
      <c r="I247" s="8"/>
    </row>
    <row r="248" spans="2:9" s="217" customFormat="1">
      <c r="B248" s="218"/>
      <c r="C248" s="231" t="s">
        <v>1558</v>
      </c>
      <c r="D248" s="1232" t="s">
        <v>66</v>
      </c>
      <c r="E248" s="225">
        <v>1</v>
      </c>
      <c r="F248" s="229">
        <v>0</v>
      </c>
      <c r="G248" s="230">
        <f t="shared" si="18"/>
        <v>0</v>
      </c>
      <c r="H248" s="1192"/>
      <c r="I248" s="8"/>
    </row>
    <row r="249" spans="2:9" s="217" customFormat="1">
      <c r="B249" s="218"/>
      <c r="C249" s="279" t="s">
        <v>150</v>
      </c>
      <c r="D249" s="1232" t="s">
        <v>66</v>
      </c>
      <c r="E249" s="225">
        <v>1</v>
      </c>
      <c r="F249" s="229">
        <v>0</v>
      </c>
      <c r="G249" s="230">
        <f t="shared" si="18"/>
        <v>0</v>
      </c>
      <c r="H249" s="1192"/>
      <c r="I249" s="8"/>
    </row>
    <row r="250" spans="2:9" s="217" customFormat="1">
      <c r="B250" s="218"/>
      <c r="C250" s="1233" t="s">
        <v>1537</v>
      </c>
      <c r="D250" s="1232" t="s">
        <v>66</v>
      </c>
      <c r="E250" s="225">
        <v>1</v>
      </c>
      <c r="F250" s="229">
        <v>0</v>
      </c>
      <c r="G250" s="230">
        <f t="shared" si="18"/>
        <v>0</v>
      </c>
      <c r="H250" s="1192"/>
      <c r="I250" s="8"/>
    </row>
    <row r="251" spans="2:9" s="217" customFormat="1">
      <c r="B251" s="218"/>
      <c r="C251" s="223" t="s">
        <v>1408</v>
      </c>
      <c r="D251" s="1232"/>
      <c r="E251" s="225"/>
      <c r="F251" s="226">
        <v>0</v>
      </c>
      <c r="G251" s="227"/>
      <c r="H251" s="1192"/>
      <c r="I251" s="8"/>
    </row>
    <row r="252" spans="2:9" s="1229" customFormat="1">
      <c r="B252" s="218"/>
      <c r="C252" s="228" t="s">
        <v>1565</v>
      </c>
      <c r="D252" s="1232" t="s">
        <v>66</v>
      </c>
      <c r="E252" s="225">
        <v>1</v>
      </c>
      <c r="F252" s="229">
        <v>0</v>
      </c>
      <c r="G252" s="230">
        <f>E252*F252</f>
        <v>0</v>
      </c>
      <c r="H252" s="1192"/>
      <c r="I252" s="8"/>
    </row>
    <row r="253" spans="2:9" s="217" customFormat="1">
      <c r="B253" s="218"/>
      <c r="C253" s="279" t="s">
        <v>216</v>
      </c>
      <c r="D253" s="1232" t="s">
        <v>66</v>
      </c>
      <c r="E253" s="225">
        <v>2</v>
      </c>
      <c r="F253" s="229">
        <v>0</v>
      </c>
      <c r="G253" s="230">
        <f>E253*F253</f>
        <v>0</v>
      </c>
      <c r="H253" s="1192"/>
      <c r="I253" s="8"/>
    </row>
    <row r="254" spans="2:9" s="217" customFormat="1">
      <c r="B254" s="218"/>
      <c r="C254" s="279" t="s">
        <v>132</v>
      </c>
      <c r="D254" s="1232" t="s">
        <v>66</v>
      </c>
      <c r="E254" s="225">
        <v>1</v>
      </c>
      <c r="F254" s="229">
        <v>0</v>
      </c>
      <c r="G254" s="230">
        <f>E254*F254</f>
        <v>0</v>
      </c>
      <c r="H254" s="1192"/>
      <c r="I254" s="8"/>
    </row>
    <row r="255" spans="2:9" s="217" customFormat="1">
      <c r="B255" s="218"/>
      <c r="C255" s="279" t="s">
        <v>202</v>
      </c>
      <c r="D255" s="1232" t="s">
        <v>66</v>
      </c>
      <c r="E255" s="225">
        <v>1</v>
      </c>
      <c r="F255" s="229">
        <v>0</v>
      </c>
      <c r="G255" s="230">
        <f>E255*F255</f>
        <v>0</v>
      </c>
      <c r="H255" s="1192"/>
      <c r="I255" s="8"/>
    </row>
    <row r="256" spans="2:9" s="217" customFormat="1">
      <c r="B256" s="218"/>
      <c r="C256" s="231" t="s">
        <v>1558</v>
      </c>
      <c r="D256" s="1232" t="s">
        <v>66</v>
      </c>
      <c r="E256" s="225">
        <v>1</v>
      </c>
      <c r="F256" s="229">
        <v>0</v>
      </c>
      <c r="G256" s="230">
        <f>E256*F256</f>
        <v>0</v>
      </c>
      <c r="H256" s="1192"/>
      <c r="I256" s="8"/>
    </row>
    <row r="257" spans="2:9" s="217" customFormat="1">
      <c r="B257" s="218"/>
      <c r="C257" s="223" t="s">
        <v>1408</v>
      </c>
      <c r="D257" s="1232"/>
      <c r="E257" s="225"/>
      <c r="F257" s="226">
        <v>0</v>
      </c>
      <c r="G257" s="227"/>
      <c r="H257" s="1192"/>
      <c r="I257" s="8"/>
    </row>
    <row r="258" spans="2:9" s="1229" customFormat="1" ht="24.75" customHeight="1">
      <c r="B258" s="218"/>
      <c r="C258" s="228" t="s">
        <v>2064</v>
      </c>
      <c r="D258" s="1232" t="s">
        <v>66</v>
      </c>
      <c r="E258" s="225">
        <v>9</v>
      </c>
      <c r="F258" s="229">
        <v>0</v>
      </c>
      <c r="G258" s="230">
        <f t="shared" ref="G258:G264" si="19">E258*F258</f>
        <v>0</v>
      </c>
      <c r="H258" s="1192"/>
      <c r="I258" s="8"/>
    </row>
    <row r="259" spans="2:9" s="217" customFormat="1">
      <c r="B259" s="218"/>
      <c r="C259" s="279" t="s">
        <v>216</v>
      </c>
      <c r="D259" s="1232" t="s">
        <v>66</v>
      </c>
      <c r="E259" s="225">
        <v>18</v>
      </c>
      <c r="F259" s="229">
        <v>0</v>
      </c>
      <c r="G259" s="230">
        <f t="shared" si="19"/>
        <v>0</v>
      </c>
      <c r="H259" s="1192"/>
      <c r="I259" s="8"/>
    </row>
    <row r="260" spans="2:9" s="217" customFormat="1">
      <c r="B260" s="218"/>
      <c r="C260" s="279" t="s">
        <v>132</v>
      </c>
      <c r="D260" s="1232" t="s">
        <v>66</v>
      </c>
      <c r="E260" s="225">
        <v>12</v>
      </c>
      <c r="F260" s="229">
        <v>0</v>
      </c>
      <c r="G260" s="230">
        <f t="shared" si="19"/>
        <v>0</v>
      </c>
      <c r="H260" s="1192"/>
      <c r="I260" s="8"/>
    </row>
    <row r="261" spans="2:9" s="217" customFormat="1">
      <c r="B261" s="218"/>
      <c r="C261" s="279" t="s">
        <v>202</v>
      </c>
      <c r="D261" s="1232" t="s">
        <v>66</v>
      </c>
      <c r="E261" s="225">
        <v>23</v>
      </c>
      <c r="F261" s="229">
        <v>0</v>
      </c>
      <c r="G261" s="230">
        <f t="shared" si="19"/>
        <v>0</v>
      </c>
      <c r="H261" s="1192"/>
      <c r="I261" s="8"/>
    </row>
    <row r="262" spans="2:9" s="217" customFormat="1">
      <c r="B262" s="218"/>
      <c r="C262" s="231" t="s">
        <v>1558</v>
      </c>
      <c r="D262" s="1232" t="s">
        <v>66</v>
      </c>
      <c r="E262" s="225">
        <v>2</v>
      </c>
      <c r="F262" s="229">
        <v>0</v>
      </c>
      <c r="G262" s="230">
        <f t="shared" si="19"/>
        <v>0</v>
      </c>
      <c r="H262" s="1192"/>
      <c r="I262" s="8"/>
    </row>
    <row r="263" spans="2:9" s="217" customFormat="1">
      <c r="B263" s="218"/>
      <c r="C263" s="279" t="s">
        <v>150</v>
      </c>
      <c r="D263" s="1232" t="s">
        <v>66</v>
      </c>
      <c r="E263" s="225">
        <v>9</v>
      </c>
      <c r="F263" s="229">
        <v>0</v>
      </c>
      <c r="G263" s="230">
        <f t="shared" si="19"/>
        <v>0</v>
      </c>
      <c r="H263" s="1192"/>
      <c r="I263" s="8"/>
    </row>
    <row r="264" spans="2:9" s="217" customFormat="1">
      <c r="B264" s="218"/>
      <c r="C264" s="1233" t="s">
        <v>1537</v>
      </c>
      <c r="D264" s="1232" t="s">
        <v>66</v>
      </c>
      <c r="E264" s="225">
        <v>9</v>
      </c>
      <c r="F264" s="229">
        <v>0</v>
      </c>
      <c r="G264" s="230">
        <f t="shared" si="19"/>
        <v>0</v>
      </c>
      <c r="H264" s="1192"/>
      <c r="I264" s="8"/>
    </row>
    <row r="265" spans="2:9" s="217" customFormat="1">
      <c r="B265" s="218"/>
      <c r="C265" s="223" t="s">
        <v>337</v>
      </c>
      <c r="D265" s="1232"/>
      <c r="E265" s="225"/>
      <c r="F265" s="226">
        <v>0</v>
      </c>
      <c r="G265" s="227"/>
      <c r="H265" s="1192"/>
      <c r="I265" s="8"/>
    </row>
    <row r="266" spans="2:9" s="1229" customFormat="1" ht="27.75" customHeight="1">
      <c r="B266" s="218"/>
      <c r="C266" s="228" t="s">
        <v>2076</v>
      </c>
      <c r="D266" s="1232" t="s">
        <v>66</v>
      </c>
      <c r="E266" s="225">
        <v>10</v>
      </c>
      <c r="F266" s="229">
        <v>0</v>
      </c>
      <c r="G266" s="230">
        <f>E266*F266</f>
        <v>0</v>
      </c>
      <c r="H266" s="1192"/>
      <c r="I266" s="1224"/>
    </row>
    <row r="267" spans="2:9" s="217" customFormat="1">
      <c r="B267" s="218"/>
      <c r="C267" s="279" t="s">
        <v>216</v>
      </c>
      <c r="D267" s="1232" t="s">
        <v>66</v>
      </c>
      <c r="E267" s="225">
        <v>18</v>
      </c>
      <c r="F267" s="229">
        <v>0</v>
      </c>
      <c r="G267" s="230">
        <f t="shared" ref="G267:G274" si="20">E267*F267</f>
        <v>0</v>
      </c>
      <c r="H267" s="1192"/>
      <c r="I267" s="1224"/>
    </row>
    <row r="268" spans="2:9" s="217" customFormat="1">
      <c r="B268" s="218"/>
      <c r="C268" s="279" t="s">
        <v>166</v>
      </c>
      <c r="D268" s="1232" t="s">
        <v>66</v>
      </c>
      <c r="E268" s="225">
        <v>10</v>
      </c>
      <c r="F268" s="229">
        <v>0</v>
      </c>
      <c r="G268" s="230">
        <f t="shared" si="20"/>
        <v>0</v>
      </c>
      <c r="H268" s="1192"/>
      <c r="I268" s="1224"/>
    </row>
    <row r="269" spans="2:9" s="217" customFormat="1">
      <c r="B269" s="218"/>
      <c r="C269" s="279" t="s">
        <v>203</v>
      </c>
      <c r="D269" s="1232" t="s">
        <v>66</v>
      </c>
      <c r="E269" s="225">
        <v>10</v>
      </c>
      <c r="F269" s="229">
        <v>0</v>
      </c>
      <c r="G269" s="230">
        <f t="shared" si="20"/>
        <v>0</v>
      </c>
      <c r="H269" s="1192"/>
      <c r="I269" s="1224"/>
    </row>
    <row r="270" spans="2:9" s="217" customFormat="1">
      <c r="B270" s="218"/>
      <c r="C270" s="279" t="s">
        <v>1541</v>
      </c>
      <c r="D270" s="1232" t="s">
        <v>66</v>
      </c>
      <c r="E270" s="225">
        <v>10</v>
      </c>
      <c r="F270" s="229">
        <v>0</v>
      </c>
      <c r="G270" s="230">
        <f t="shared" si="20"/>
        <v>0</v>
      </c>
      <c r="H270" s="1192"/>
      <c r="I270" s="1224"/>
    </row>
    <row r="271" spans="2:9" s="217" customFormat="1">
      <c r="B271" s="218"/>
      <c r="C271" s="231" t="s">
        <v>1558</v>
      </c>
      <c r="D271" s="1232" t="s">
        <v>66</v>
      </c>
      <c r="E271" s="225">
        <v>6</v>
      </c>
      <c r="F271" s="229">
        <v>0</v>
      </c>
      <c r="G271" s="230">
        <f t="shared" si="20"/>
        <v>0</v>
      </c>
      <c r="H271" s="1192"/>
      <c r="I271" s="1224"/>
    </row>
    <row r="272" spans="2:9" s="217" customFormat="1">
      <c r="B272" s="218"/>
      <c r="C272" s="279" t="s">
        <v>1542</v>
      </c>
      <c r="D272" s="1232" t="s">
        <v>66</v>
      </c>
      <c r="E272" s="225">
        <v>10</v>
      </c>
      <c r="F272" s="229">
        <v>0</v>
      </c>
      <c r="G272" s="230">
        <f t="shared" si="20"/>
        <v>0</v>
      </c>
      <c r="H272" s="1192"/>
      <c r="I272" s="1224"/>
    </row>
    <row r="273" spans="2:20" s="217" customFormat="1">
      <c r="B273" s="218"/>
      <c r="C273" s="279" t="s">
        <v>150</v>
      </c>
      <c r="D273" s="1232" t="s">
        <v>66</v>
      </c>
      <c r="E273" s="225">
        <v>10</v>
      </c>
      <c r="F273" s="229">
        <v>0</v>
      </c>
      <c r="G273" s="230">
        <f t="shared" si="20"/>
        <v>0</v>
      </c>
      <c r="H273" s="1192"/>
      <c r="I273" s="1224"/>
    </row>
    <row r="274" spans="2:20" s="217" customFormat="1">
      <c r="B274" s="218"/>
      <c r="C274" s="1233" t="s">
        <v>1537</v>
      </c>
      <c r="D274" s="1232" t="s">
        <v>66</v>
      </c>
      <c r="E274" s="225">
        <v>10</v>
      </c>
      <c r="F274" s="229">
        <v>0</v>
      </c>
      <c r="G274" s="230">
        <f t="shared" si="20"/>
        <v>0</v>
      </c>
      <c r="H274" s="1192"/>
      <c r="I274" s="1224"/>
    </row>
    <row r="275" spans="2:20" s="217" customFormat="1">
      <c r="B275" s="218"/>
      <c r="C275" s="223" t="s">
        <v>1566</v>
      </c>
      <c r="D275" s="1232"/>
      <c r="E275" s="225"/>
      <c r="F275" s="226">
        <v>0</v>
      </c>
      <c r="G275" s="227"/>
      <c r="H275" s="1192"/>
      <c r="I275" s="8"/>
      <c r="T275" s="1226"/>
    </row>
    <row r="276" spans="2:20" s="1229" customFormat="1">
      <c r="B276" s="218"/>
      <c r="C276" s="228" t="s">
        <v>1567</v>
      </c>
      <c r="D276" s="1232" t="s">
        <v>66</v>
      </c>
      <c r="E276" s="225">
        <v>1</v>
      </c>
      <c r="F276" s="229">
        <v>0</v>
      </c>
      <c r="G276" s="230">
        <f t="shared" ref="G276:G281" si="21">E276*F276</f>
        <v>0</v>
      </c>
      <c r="H276" s="1192"/>
      <c r="I276" s="8"/>
    </row>
    <row r="277" spans="2:20" s="1229" customFormat="1">
      <c r="B277" s="218"/>
      <c r="C277" s="231" t="s">
        <v>187</v>
      </c>
      <c r="D277" s="1232" t="s">
        <v>66</v>
      </c>
      <c r="E277" s="225">
        <v>2</v>
      </c>
      <c r="F277" s="229">
        <v>0</v>
      </c>
      <c r="G277" s="230">
        <f t="shared" si="21"/>
        <v>0</v>
      </c>
      <c r="H277" s="1192"/>
      <c r="I277" s="8"/>
    </row>
    <row r="278" spans="2:20" s="217" customFormat="1">
      <c r="B278" s="218"/>
      <c r="C278" s="279" t="s">
        <v>184</v>
      </c>
      <c r="D278" s="1232" t="s">
        <v>66</v>
      </c>
      <c r="E278" s="225">
        <v>2</v>
      </c>
      <c r="F278" s="229">
        <v>0</v>
      </c>
      <c r="G278" s="230">
        <f t="shared" si="21"/>
        <v>0</v>
      </c>
      <c r="H278" s="1192"/>
      <c r="I278" s="8"/>
    </row>
    <row r="279" spans="2:20" s="217" customFormat="1">
      <c r="B279" s="218"/>
      <c r="C279" s="231" t="s">
        <v>1561</v>
      </c>
      <c r="D279" s="1232" t="s">
        <v>66</v>
      </c>
      <c r="E279" s="225">
        <v>1</v>
      </c>
      <c r="F279" s="229">
        <v>0</v>
      </c>
      <c r="G279" s="230">
        <f t="shared" si="21"/>
        <v>0</v>
      </c>
      <c r="H279" s="1192"/>
      <c r="I279" s="8"/>
    </row>
    <row r="280" spans="2:20" s="217" customFormat="1">
      <c r="B280" s="218"/>
      <c r="C280" s="279" t="s">
        <v>150</v>
      </c>
      <c r="D280" s="1232" t="s">
        <v>66</v>
      </c>
      <c r="E280" s="225">
        <v>1</v>
      </c>
      <c r="F280" s="229">
        <v>0</v>
      </c>
      <c r="G280" s="230">
        <f t="shared" si="21"/>
        <v>0</v>
      </c>
      <c r="H280" s="1192"/>
      <c r="I280" s="8"/>
    </row>
    <row r="281" spans="2:20" s="217" customFormat="1">
      <c r="B281" s="218"/>
      <c r="C281" s="1233" t="s">
        <v>1537</v>
      </c>
      <c r="D281" s="1232" t="s">
        <v>66</v>
      </c>
      <c r="E281" s="225">
        <v>1</v>
      </c>
      <c r="F281" s="229">
        <v>0</v>
      </c>
      <c r="G281" s="230">
        <f t="shared" si="21"/>
        <v>0</v>
      </c>
      <c r="H281" s="1192"/>
      <c r="I281" s="8"/>
    </row>
    <row r="282" spans="2:20" s="217" customFormat="1">
      <c r="B282" s="218"/>
      <c r="C282" s="223" t="s">
        <v>1568</v>
      </c>
      <c r="D282" s="1232"/>
      <c r="E282" s="225"/>
      <c r="F282" s="226">
        <v>0</v>
      </c>
      <c r="G282" s="227"/>
      <c r="H282" s="1192"/>
      <c r="I282" s="8"/>
    </row>
    <row r="283" spans="2:20" s="1229" customFormat="1">
      <c r="B283" s="218"/>
      <c r="C283" s="228" t="s">
        <v>197</v>
      </c>
      <c r="D283" s="1232" t="s">
        <v>66</v>
      </c>
      <c r="E283" s="225">
        <v>1</v>
      </c>
      <c r="F283" s="229">
        <v>0</v>
      </c>
      <c r="G283" s="230">
        <f t="shared" ref="G283:G288" si="22">E283*F283</f>
        <v>0</v>
      </c>
      <c r="H283" s="1192"/>
      <c r="I283" s="8"/>
    </row>
    <row r="284" spans="2:20" s="1229" customFormat="1">
      <c r="B284" s="218"/>
      <c r="C284" s="231" t="s">
        <v>139</v>
      </c>
      <c r="D284" s="1232" t="s">
        <v>66</v>
      </c>
      <c r="E284" s="225">
        <v>1</v>
      </c>
      <c r="F284" s="229">
        <v>0</v>
      </c>
      <c r="G284" s="230">
        <f t="shared" si="22"/>
        <v>0</v>
      </c>
      <c r="H284" s="1192"/>
      <c r="I284" s="8"/>
    </row>
    <row r="285" spans="2:20" s="217" customFormat="1">
      <c r="B285" s="218"/>
      <c r="C285" s="279" t="s">
        <v>410</v>
      </c>
      <c r="D285" s="1232" t="s">
        <v>66</v>
      </c>
      <c r="E285" s="225">
        <v>2</v>
      </c>
      <c r="F285" s="229">
        <v>0</v>
      </c>
      <c r="G285" s="230">
        <f t="shared" si="22"/>
        <v>0</v>
      </c>
      <c r="H285" s="1192"/>
      <c r="I285" s="8"/>
    </row>
    <row r="286" spans="2:20" s="217" customFormat="1">
      <c r="B286" s="218"/>
      <c r="C286" s="231" t="s">
        <v>1569</v>
      </c>
      <c r="D286" s="1232" t="s">
        <v>66</v>
      </c>
      <c r="E286" s="225">
        <v>1</v>
      </c>
      <c r="F286" s="229">
        <v>0</v>
      </c>
      <c r="G286" s="230">
        <f t="shared" si="22"/>
        <v>0</v>
      </c>
      <c r="H286" s="1192"/>
      <c r="I286" s="8"/>
    </row>
    <row r="287" spans="2:20" s="217" customFormat="1">
      <c r="B287" s="218"/>
      <c r="C287" s="279" t="s">
        <v>150</v>
      </c>
      <c r="D287" s="1232" t="s">
        <v>66</v>
      </c>
      <c r="E287" s="225">
        <v>2</v>
      </c>
      <c r="F287" s="229">
        <v>0</v>
      </c>
      <c r="G287" s="230">
        <f t="shared" si="22"/>
        <v>0</v>
      </c>
      <c r="H287" s="1192"/>
      <c r="I287" s="8"/>
    </row>
    <row r="288" spans="2:20" s="217" customFormat="1">
      <c r="B288" s="218"/>
      <c r="C288" s="1233" t="s">
        <v>1537</v>
      </c>
      <c r="D288" s="1232" t="s">
        <v>66</v>
      </c>
      <c r="E288" s="225">
        <v>2</v>
      </c>
      <c r="F288" s="229">
        <v>0</v>
      </c>
      <c r="G288" s="230">
        <f t="shared" si="22"/>
        <v>0</v>
      </c>
      <c r="H288" s="1192"/>
      <c r="I288" s="8"/>
    </row>
    <row r="289" spans="2:9" s="217" customFormat="1">
      <c r="B289" s="218"/>
      <c r="C289" s="223" t="s">
        <v>1570</v>
      </c>
      <c r="D289" s="1232"/>
      <c r="E289" s="225"/>
      <c r="F289" s="226">
        <v>0</v>
      </c>
      <c r="G289" s="227"/>
      <c r="H289" s="1192"/>
      <c r="I289" s="8"/>
    </row>
    <row r="290" spans="2:9" s="1229" customFormat="1" ht="24" customHeight="1">
      <c r="B290" s="218"/>
      <c r="C290" s="228" t="s">
        <v>2066</v>
      </c>
      <c r="D290" s="1232" t="s">
        <v>66</v>
      </c>
      <c r="E290" s="225">
        <v>2</v>
      </c>
      <c r="F290" s="229">
        <v>0</v>
      </c>
      <c r="G290" s="230">
        <f>E290*F290</f>
        <v>0</v>
      </c>
      <c r="H290" s="1192"/>
      <c r="I290" s="8"/>
    </row>
    <row r="291" spans="2:9" s="217" customFormat="1">
      <c r="B291" s="218"/>
      <c r="C291" s="279" t="s">
        <v>410</v>
      </c>
      <c r="D291" s="1232" t="s">
        <v>66</v>
      </c>
      <c r="E291" s="225">
        <v>4</v>
      </c>
      <c r="F291" s="229">
        <v>0</v>
      </c>
      <c r="G291" s="230">
        <f>E291*F291</f>
        <v>0</v>
      </c>
      <c r="H291" s="1192"/>
      <c r="I291" s="8"/>
    </row>
    <row r="292" spans="2:9" s="217" customFormat="1">
      <c r="B292" s="218"/>
      <c r="C292" s="279" t="s">
        <v>166</v>
      </c>
      <c r="D292" s="1232" t="s">
        <v>66</v>
      </c>
      <c r="E292" s="225">
        <v>2</v>
      </c>
      <c r="F292" s="229">
        <v>0</v>
      </c>
      <c r="G292" s="230">
        <f t="shared" ref="G292:G298" si="23">E292*F292</f>
        <v>0</v>
      </c>
      <c r="H292" s="1192"/>
      <c r="I292" s="8"/>
    </row>
    <row r="293" spans="2:9" s="217" customFormat="1">
      <c r="B293" s="218"/>
      <c r="C293" s="279" t="s">
        <v>203</v>
      </c>
      <c r="D293" s="1232" t="s">
        <v>66</v>
      </c>
      <c r="E293" s="225">
        <v>2</v>
      </c>
      <c r="F293" s="229">
        <v>0</v>
      </c>
      <c r="G293" s="230">
        <f t="shared" si="23"/>
        <v>0</v>
      </c>
      <c r="H293" s="1192"/>
      <c r="I293" s="8"/>
    </row>
    <row r="294" spans="2:9" s="217" customFormat="1">
      <c r="B294" s="218"/>
      <c r="C294" s="279" t="s">
        <v>1541</v>
      </c>
      <c r="D294" s="1232" t="s">
        <v>66</v>
      </c>
      <c r="E294" s="225">
        <v>2</v>
      </c>
      <c r="F294" s="229">
        <v>0</v>
      </c>
      <c r="G294" s="230">
        <f t="shared" si="23"/>
        <v>0</v>
      </c>
      <c r="H294" s="1192"/>
      <c r="I294" s="8"/>
    </row>
    <row r="295" spans="2:9" s="217" customFormat="1">
      <c r="B295" s="218"/>
      <c r="C295" s="279" t="s">
        <v>1542</v>
      </c>
      <c r="D295" s="1232" t="s">
        <v>66</v>
      </c>
      <c r="E295" s="225">
        <v>2</v>
      </c>
      <c r="F295" s="229">
        <v>0</v>
      </c>
      <c r="G295" s="230">
        <f t="shared" si="23"/>
        <v>0</v>
      </c>
      <c r="H295" s="1192"/>
      <c r="I295" s="8"/>
    </row>
    <row r="296" spans="2:9" s="217" customFormat="1">
      <c r="B296" s="218"/>
      <c r="C296" s="231" t="s">
        <v>1569</v>
      </c>
      <c r="D296" s="1232" t="s">
        <v>66</v>
      </c>
      <c r="E296" s="225">
        <v>2</v>
      </c>
      <c r="F296" s="229">
        <v>0</v>
      </c>
      <c r="G296" s="230">
        <f t="shared" si="23"/>
        <v>0</v>
      </c>
      <c r="H296" s="1192"/>
      <c r="I296" s="8"/>
    </row>
    <row r="297" spans="2:9" s="217" customFormat="1">
      <c r="B297" s="218"/>
      <c r="C297" s="279" t="s">
        <v>150</v>
      </c>
      <c r="D297" s="1232" t="s">
        <v>66</v>
      </c>
      <c r="E297" s="225">
        <v>2</v>
      </c>
      <c r="F297" s="229">
        <v>0</v>
      </c>
      <c r="G297" s="230">
        <f t="shared" si="23"/>
        <v>0</v>
      </c>
      <c r="H297" s="1192"/>
      <c r="I297" s="8"/>
    </row>
    <row r="298" spans="2:9" s="217" customFormat="1">
      <c r="B298" s="218"/>
      <c r="C298" s="1233" t="s">
        <v>1537</v>
      </c>
      <c r="D298" s="1232" t="s">
        <v>66</v>
      </c>
      <c r="E298" s="225">
        <v>2</v>
      </c>
      <c r="F298" s="229">
        <v>0</v>
      </c>
      <c r="G298" s="230">
        <f t="shared" si="23"/>
        <v>0</v>
      </c>
      <c r="H298" s="1192"/>
      <c r="I298" s="8"/>
    </row>
    <row r="299" spans="2:9" s="217" customFormat="1">
      <c r="B299" s="218"/>
      <c r="C299" s="223" t="s">
        <v>338</v>
      </c>
      <c r="D299" s="1232"/>
      <c r="E299" s="225"/>
      <c r="F299" s="226">
        <v>0</v>
      </c>
      <c r="G299" s="227"/>
      <c r="H299" s="1192"/>
      <c r="I299" s="8"/>
    </row>
    <row r="300" spans="2:9" s="1229" customFormat="1">
      <c r="B300" s="218"/>
      <c r="C300" s="228" t="s">
        <v>1571</v>
      </c>
      <c r="D300" s="1232" t="s">
        <v>66</v>
      </c>
      <c r="E300" s="225">
        <v>1</v>
      </c>
      <c r="F300" s="229">
        <v>0</v>
      </c>
      <c r="G300" s="230">
        <f t="shared" ref="G300:G306" si="24">E300*F300</f>
        <v>0</v>
      </c>
      <c r="H300" s="1192"/>
      <c r="I300" s="8"/>
    </row>
    <row r="301" spans="2:9" s="1229" customFormat="1" ht="14.25" customHeight="1">
      <c r="B301" s="218"/>
      <c r="C301" s="231" t="s">
        <v>1572</v>
      </c>
      <c r="D301" s="1232" t="s">
        <v>66</v>
      </c>
      <c r="E301" s="225">
        <v>1</v>
      </c>
      <c r="F301" s="229">
        <v>0</v>
      </c>
      <c r="G301" s="230">
        <f t="shared" si="24"/>
        <v>0</v>
      </c>
      <c r="H301" s="1192"/>
      <c r="I301" s="8"/>
    </row>
    <row r="302" spans="2:9" s="217" customFormat="1">
      <c r="B302" s="218"/>
      <c r="C302" s="279" t="s">
        <v>316</v>
      </c>
      <c r="D302" s="1232" t="s">
        <v>66</v>
      </c>
      <c r="E302" s="225">
        <v>2</v>
      </c>
      <c r="F302" s="229">
        <v>0</v>
      </c>
      <c r="G302" s="230">
        <f t="shared" si="24"/>
        <v>0</v>
      </c>
      <c r="H302" s="1192"/>
      <c r="I302" s="8"/>
    </row>
    <row r="303" spans="2:9" s="217" customFormat="1">
      <c r="B303" s="218"/>
      <c r="C303" s="279" t="s">
        <v>1562</v>
      </c>
      <c r="D303" s="1232" t="s">
        <v>66</v>
      </c>
      <c r="E303" s="225">
        <v>2</v>
      </c>
      <c r="F303" s="229">
        <v>0</v>
      </c>
      <c r="G303" s="230">
        <f t="shared" si="24"/>
        <v>0</v>
      </c>
      <c r="H303" s="1192"/>
      <c r="I303" s="8"/>
    </row>
    <row r="304" spans="2:9" s="217" customFormat="1">
      <c r="B304" s="218"/>
      <c r="C304" s="231" t="s">
        <v>1573</v>
      </c>
      <c r="D304" s="1232" t="s">
        <v>66</v>
      </c>
      <c r="E304" s="225">
        <v>1</v>
      </c>
      <c r="F304" s="229">
        <v>0</v>
      </c>
      <c r="G304" s="230">
        <f t="shared" si="24"/>
        <v>0</v>
      </c>
      <c r="H304" s="1192"/>
      <c r="I304" s="8"/>
    </row>
    <row r="305" spans="2:9" s="217" customFormat="1">
      <c r="B305" s="218"/>
      <c r="C305" s="279" t="s">
        <v>150</v>
      </c>
      <c r="D305" s="1232" t="s">
        <v>66</v>
      </c>
      <c r="E305" s="225">
        <v>1</v>
      </c>
      <c r="F305" s="229">
        <v>0</v>
      </c>
      <c r="G305" s="230">
        <f t="shared" si="24"/>
        <v>0</v>
      </c>
      <c r="H305" s="1192"/>
      <c r="I305" s="8"/>
    </row>
    <row r="306" spans="2:9" s="217" customFormat="1">
      <c r="B306" s="218"/>
      <c r="C306" s="1233" t="s">
        <v>1537</v>
      </c>
      <c r="D306" s="1232" t="s">
        <v>66</v>
      </c>
      <c r="E306" s="225">
        <v>1</v>
      </c>
      <c r="F306" s="229">
        <v>0</v>
      </c>
      <c r="G306" s="230">
        <f t="shared" si="24"/>
        <v>0</v>
      </c>
      <c r="H306" s="1192"/>
      <c r="I306" s="8"/>
    </row>
    <row r="307" spans="2:9" s="217" customFormat="1">
      <c r="B307" s="218"/>
      <c r="C307" s="223" t="s">
        <v>196</v>
      </c>
      <c r="D307" s="1232"/>
      <c r="E307" s="225"/>
      <c r="F307" s="226">
        <v>0</v>
      </c>
      <c r="G307" s="227"/>
      <c r="H307" s="1192"/>
      <c r="I307" s="8"/>
    </row>
    <row r="308" spans="2:9" s="1229" customFormat="1" ht="25.5" customHeight="1">
      <c r="B308" s="218"/>
      <c r="C308" s="228" t="s">
        <v>2075</v>
      </c>
      <c r="D308" s="1232" t="s">
        <v>66</v>
      </c>
      <c r="E308" s="225">
        <v>6</v>
      </c>
      <c r="F308" s="229">
        <v>0</v>
      </c>
      <c r="G308" s="230">
        <f t="shared" ref="G308:G314" si="25">E308*F308</f>
        <v>0</v>
      </c>
      <c r="H308" s="1192"/>
      <c r="I308" s="8"/>
    </row>
    <row r="309" spans="2:9" s="217" customFormat="1">
      <c r="B309" s="218"/>
      <c r="C309" s="279" t="s">
        <v>132</v>
      </c>
      <c r="D309" s="1232" t="s">
        <v>66</v>
      </c>
      <c r="E309" s="225">
        <v>18</v>
      </c>
      <c r="F309" s="229">
        <v>0</v>
      </c>
      <c r="G309" s="230">
        <f t="shared" si="25"/>
        <v>0</v>
      </c>
      <c r="H309" s="1192"/>
      <c r="I309" s="8"/>
    </row>
    <row r="310" spans="2:9" s="217" customFormat="1">
      <c r="B310" s="218"/>
      <c r="C310" s="279" t="s">
        <v>202</v>
      </c>
      <c r="D310" s="1232" t="s">
        <v>66</v>
      </c>
      <c r="E310" s="225">
        <v>22</v>
      </c>
      <c r="F310" s="229">
        <v>0</v>
      </c>
      <c r="G310" s="230">
        <f t="shared" si="25"/>
        <v>0</v>
      </c>
      <c r="H310" s="1192"/>
      <c r="I310" s="8"/>
    </row>
    <row r="311" spans="2:9" s="1229" customFormat="1">
      <c r="B311" s="218"/>
      <c r="C311" s="279" t="s">
        <v>139</v>
      </c>
      <c r="D311" s="1232" t="s">
        <v>66</v>
      </c>
      <c r="E311" s="225">
        <v>3</v>
      </c>
      <c r="F311" s="229">
        <v>0</v>
      </c>
      <c r="G311" s="230">
        <f t="shared" si="25"/>
        <v>0</v>
      </c>
      <c r="H311" s="1192"/>
      <c r="I311" s="8"/>
    </row>
    <row r="312" spans="2:9" s="217" customFormat="1">
      <c r="B312" s="218"/>
      <c r="C312" s="279" t="s">
        <v>1574</v>
      </c>
      <c r="D312" s="1232" t="s">
        <v>66</v>
      </c>
      <c r="E312" s="225">
        <v>3</v>
      </c>
      <c r="F312" s="229">
        <v>0</v>
      </c>
      <c r="G312" s="230">
        <f t="shared" si="25"/>
        <v>0</v>
      </c>
      <c r="H312" s="1192"/>
      <c r="I312" s="8"/>
    </row>
    <row r="313" spans="2:9" s="217" customFormat="1">
      <c r="B313" s="218"/>
      <c r="C313" s="279" t="s">
        <v>150</v>
      </c>
      <c r="D313" s="1232" t="s">
        <v>66</v>
      </c>
      <c r="E313" s="225">
        <v>5</v>
      </c>
      <c r="F313" s="229">
        <v>0</v>
      </c>
      <c r="G313" s="230">
        <f t="shared" si="25"/>
        <v>0</v>
      </c>
      <c r="H313" s="1192"/>
      <c r="I313" s="8"/>
    </row>
    <row r="314" spans="2:9" s="217" customFormat="1">
      <c r="B314" s="218"/>
      <c r="C314" s="1233" t="s">
        <v>1537</v>
      </c>
      <c r="D314" s="1232" t="s">
        <v>66</v>
      </c>
      <c r="E314" s="225">
        <v>9</v>
      </c>
      <c r="F314" s="229">
        <v>0</v>
      </c>
      <c r="G314" s="230">
        <f t="shared" si="25"/>
        <v>0</v>
      </c>
      <c r="H314" s="1192"/>
      <c r="I314" s="8"/>
    </row>
    <row r="315" spans="2:9" s="217" customFormat="1">
      <c r="B315" s="218"/>
      <c r="C315" s="223" t="s">
        <v>196</v>
      </c>
      <c r="D315" s="1232"/>
      <c r="E315" s="225"/>
      <c r="F315" s="226">
        <v>0</v>
      </c>
      <c r="G315" s="227"/>
      <c r="H315" s="1192"/>
      <c r="I315" s="8"/>
    </row>
    <row r="316" spans="2:9" s="1229" customFormat="1" ht="14.25" customHeight="1">
      <c r="B316" s="218"/>
      <c r="C316" s="228" t="s">
        <v>1575</v>
      </c>
      <c r="D316" s="1232" t="s">
        <v>66</v>
      </c>
      <c r="E316" s="225">
        <v>7</v>
      </c>
      <c r="F316" s="229">
        <v>0</v>
      </c>
      <c r="G316" s="230">
        <f t="shared" ref="G316:G322" si="26">E316*F316</f>
        <v>0</v>
      </c>
      <c r="H316" s="1192"/>
      <c r="I316" s="8"/>
    </row>
    <row r="317" spans="2:9" s="217" customFormat="1">
      <c r="B317" s="218"/>
      <c r="C317" s="279" t="s">
        <v>132</v>
      </c>
      <c r="D317" s="1232" t="s">
        <v>66</v>
      </c>
      <c r="E317" s="225">
        <v>17</v>
      </c>
      <c r="F317" s="229">
        <v>0</v>
      </c>
      <c r="G317" s="230">
        <f t="shared" si="26"/>
        <v>0</v>
      </c>
      <c r="H317" s="1192"/>
      <c r="I317" s="8"/>
    </row>
    <row r="318" spans="2:9" s="217" customFormat="1">
      <c r="B318" s="218"/>
      <c r="C318" s="279" t="s">
        <v>202</v>
      </c>
      <c r="D318" s="1232" t="s">
        <v>66</v>
      </c>
      <c r="E318" s="225">
        <v>21</v>
      </c>
      <c r="F318" s="229">
        <v>0</v>
      </c>
      <c r="G318" s="230">
        <f t="shared" si="26"/>
        <v>0</v>
      </c>
      <c r="H318" s="1192"/>
      <c r="I318" s="8"/>
    </row>
    <row r="319" spans="2:9" s="1229" customFormat="1">
      <c r="B319" s="218"/>
      <c r="C319" s="279" t="s">
        <v>139</v>
      </c>
      <c r="D319" s="1232" t="s">
        <v>66</v>
      </c>
      <c r="E319" s="225">
        <v>4</v>
      </c>
      <c r="F319" s="229">
        <v>0</v>
      </c>
      <c r="G319" s="230">
        <f t="shared" si="26"/>
        <v>0</v>
      </c>
      <c r="H319" s="1192"/>
      <c r="I319" s="8"/>
    </row>
    <row r="320" spans="2:9" s="217" customFormat="1">
      <c r="B320" s="218"/>
      <c r="C320" s="279" t="s">
        <v>1574</v>
      </c>
      <c r="D320" s="1232" t="s">
        <v>66</v>
      </c>
      <c r="E320" s="225">
        <v>5</v>
      </c>
      <c r="F320" s="229">
        <v>0</v>
      </c>
      <c r="G320" s="230">
        <f t="shared" si="26"/>
        <v>0</v>
      </c>
      <c r="H320" s="1192"/>
      <c r="I320" s="8"/>
    </row>
    <row r="321" spans="2:9" s="217" customFormat="1">
      <c r="B321" s="218"/>
      <c r="C321" s="279" t="s">
        <v>150</v>
      </c>
      <c r="D321" s="1232" t="s">
        <v>66</v>
      </c>
      <c r="E321" s="225">
        <v>5</v>
      </c>
      <c r="F321" s="229">
        <v>0</v>
      </c>
      <c r="G321" s="230">
        <f t="shared" si="26"/>
        <v>0</v>
      </c>
      <c r="H321" s="1192"/>
      <c r="I321" s="8"/>
    </row>
    <row r="322" spans="2:9" s="217" customFormat="1">
      <c r="B322" s="218"/>
      <c r="C322" s="1233" t="s">
        <v>1537</v>
      </c>
      <c r="D322" s="1232" t="s">
        <v>66</v>
      </c>
      <c r="E322" s="225">
        <v>5</v>
      </c>
      <c r="F322" s="229">
        <v>0</v>
      </c>
      <c r="G322" s="230">
        <f t="shared" si="26"/>
        <v>0</v>
      </c>
      <c r="H322" s="1192"/>
      <c r="I322" s="8"/>
    </row>
    <row r="323" spans="2:9" s="217" customFormat="1">
      <c r="B323" s="218"/>
      <c r="C323" s="223" t="s">
        <v>1576</v>
      </c>
      <c r="D323" s="1232"/>
      <c r="E323" s="225"/>
      <c r="F323" s="226">
        <v>0</v>
      </c>
      <c r="G323" s="227"/>
      <c r="H323" s="1192"/>
      <c r="I323" s="8"/>
    </row>
    <row r="324" spans="2:9" s="1229" customFormat="1">
      <c r="B324" s="218"/>
      <c r="C324" s="228" t="s">
        <v>1575</v>
      </c>
      <c r="D324" s="1232" t="s">
        <v>66</v>
      </c>
      <c r="E324" s="225">
        <v>1</v>
      </c>
      <c r="F324" s="229">
        <v>0</v>
      </c>
      <c r="G324" s="230">
        <f t="shared" ref="G324:G328" si="27">E324*F324</f>
        <v>0</v>
      </c>
      <c r="H324" s="1192"/>
      <c r="I324" s="8"/>
    </row>
    <row r="325" spans="2:9" s="1229" customFormat="1">
      <c r="B325" s="218"/>
      <c r="C325" s="279" t="s">
        <v>139</v>
      </c>
      <c r="D325" s="1232" t="s">
        <v>66</v>
      </c>
      <c r="E325" s="225">
        <v>1</v>
      </c>
      <c r="F325" s="229">
        <v>0</v>
      </c>
      <c r="G325" s="230">
        <f t="shared" si="27"/>
        <v>0</v>
      </c>
      <c r="H325" s="1192"/>
      <c r="I325" s="8"/>
    </row>
    <row r="326" spans="2:9" s="217" customFormat="1">
      <c r="B326" s="218"/>
      <c r="C326" s="279" t="s">
        <v>1574</v>
      </c>
      <c r="D326" s="1232" t="s">
        <v>66</v>
      </c>
      <c r="E326" s="225">
        <v>1</v>
      </c>
      <c r="F326" s="229">
        <v>0</v>
      </c>
      <c r="G326" s="230">
        <f t="shared" si="27"/>
        <v>0</v>
      </c>
      <c r="H326" s="1192"/>
      <c r="I326" s="8"/>
    </row>
    <row r="327" spans="2:9" s="217" customFormat="1">
      <c r="B327" s="218"/>
      <c r="C327" s="279" t="s">
        <v>150</v>
      </c>
      <c r="D327" s="1232" t="s">
        <v>66</v>
      </c>
      <c r="E327" s="225">
        <v>1</v>
      </c>
      <c r="F327" s="229">
        <v>0</v>
      </c>
      <c r="G327" s="230">
        <f t="shared" si="27"/>
        <v>0</v>
      </c>
      <c r="H327" s="1192"/>
      <c r="I327" s="8"/>
    </row>
    <row r="328" spans="2:9" s="217" customFormat="1">
      <c r="B328" s="218"/>
      <c r="C328" s="1233" t="s">
        <v>1537</v>
      </c>
      <c r="D328" s="1232" t="s">
        <v>66</v>
      </c>
      <c r="E328" s="225">
        <v>1</v>
      </c>
      <c r="F328" s="229">
        <v>0</v>
      </c>
      <c r="G328" s="230">
        <f t="shared" si="27"/>
        <v>0</v>
      </c>
      <c r="H328" s="1192"/>
      <c r="I328" s="8"/>
    </row>
    <row r="329" spans="2:9" s="1236" customFormat="1">
      <c r="B329" s="218"/>
      <c r="C329" s="223" t="s">
        <v>1577</v>
      </c>
      <c r="D329" s="1232"/>
      <c r="E329" s="225"/>
      <c r="F329" s="226">
        <v>0</v>
      </c>
      <c r="G329" s="227"/>
      <c r="H329" s="1234"/>
      <c r="I329" s="1235"/>
    </row>
    <row r="330" spans="2:9" s="1236" customFormat="1" ht="24">
      <c r="B330" s="218"/>
      <c r="C330" s="228" t="s">
        <v>2066</v>
      </c>
      <c r="D330" s="1232" t="s">
        <v>66</v>
      </c>
      <c r="E330" s="225">
        <v>1</v>
      </c>
      <c r="F330" s="229">
        <v>0</v>
      </c>
      <c r="G330" s="230">
        <f t="shared" ref="G330:G336" si="28">E330*F330</f>
        <v>0</v>
      </c>
      <c r="H330" s="1234"/>
      <c r="I330" s="1235"/>
    </row>
    <row r="331" spans="2:9" s="1236" customFormat="1">
      <c r="B331" s="218"/>
      <c r="C331" s="279" t="s">
        <v>166</v>
      </c>
      <c r="D331" s="1232" t="s">
        <v>66</v>
      </c>
      <c r="E331" s="225">
        <v>1</v>
      </c>
      <c r="F331" s="229">
        <v>0</v>
      </c>
      <c r="G331" s="230">
        <f t="shared" si="28"/>
        <v>0</v>
      </c>
      <c r="H331" s="1234"/>
      <c r="I331" s="1235"/>
    </row>
    <row r="332" spans="2:9" s="1236" customFormat="1">
      <c r="B332" s="218"/>
      <c r="C332" s="279" t="s">
        <v>203</v>
      </c>
      <c r="D332" s="1232" t="s">
        <v>66</v>
      </c>
      <c r="E332" s="225">
        <v>1</v>
      </c>
      <c r="F332" s="229">
        <v>0</v>
      </c>
      <c r="G332" s="230">
        <f t="shared" si="28"/>
        <v>0</v>
      </c>
      <c r="H332" s="1234"/>
      <c r="I332" s="1235"/>
    </row>
    <row r="333" spans="2:9" s="1236" customFormat="1">
      <c r="B333" s="218"/>
      <c r="C333" s="279" t="s">
        <v>1541</v>
      </c>
      <c r="D333" s="1232" t="s">
        <v>66</v>
      </c>
      <c r="E333" s="225">
        <v>1</v>
      </c>
      <c r="F333" s="229">
        <v>0</v>
      </c>
      <c r="G333" s="230">
        <f t="shared" si="28"/>
        <v>0</v>
      </c>
      <c r="H333" s="1234"/>
      <c r="I333" s="1235"/>
    </row>
    <row r="334" spans="2:9" s="1236" customFormat="1">
      <c r="B334" s="218"/>
      <c r="C334" s="279" t="s">
        <v>1542</v>
      </c>
      <c r="D334" s="1232" t="s">
        <v>66</v>
      </c>
      <c r="E334" s="225">
        <v>1</v>
      </c>
      <c r="F334" s="229">
        <v>0</v>
      </c>
      <c r="G334" s="230">
        <f t="shared" si="28"/>
        <v>0</v>
      </c>
      <c r="H334" s="1234"/>
      <c r="I334" s="1235"/>
    </row>
    <row r="335" spans="2:9" s="1236" customFormat="1">
      <c r="B335" s="218"/>
      <c r="C335" s="279" t="s">
        <v>150</v>
      </c>
      <c r="D335" s="1232" t="s">
        <v>66</v>
      </c>
      <c r="E335" s="225">
        <v>1</v>
      </c>
      <c r="F335" s="229">
        <v>0</v>
      </c>
      <c r="G335" s="230">
        <f t="shared" si="28"/>
        <v>0</v>
      </c>
      <c r="H335" s="1234"/>
      <c r="I335" s="1235"/>
    </row>
    <row r="336" spans="2:9" s="1236" customFormat="1">
      <c r="B336" s="218"/>
      <c r="C336" s="1233" t="s">
        <v>1537</v>
      </c>
      <c r="D336" s="1232" t="s">
        <v>66</v>
      </c>
      <c r="E336" s="225">
        <v>1</v>
      </c>
      <c r="F336" s="229">
        <v>0</v>
      </c>
      <c r="G336" s="230">
        <f t="shared" si="28"/>
        <v>0</v>
      </c>
      <c r="H336" s="1234"/>
      <c r="I336" s="1235"/>
    </row>
    <row r="337" spans="2:9" s="217" customFormat="1">
      <c r="B337" s="218"/>
      <c r="C337" s="223" t="s">
        <v>228</v>
      </c>
      <c r="D337" s="1232"/>
      <c r="E337" s="225"/>
      <c r="F337" s="226">
        <v>0</v>
      </c>
      <c r="G337" s="227"/>
      <c r="H337" s="1192"/>
      <c r="I337" s="8"/>
    </row>
    <row r="338" spans="2:9" s="1229" customFormat="1" ht="24.75" customHeight="1">
      <c r="B338" s="218"/>
      <c r="C338" s="228" t="s">
        <v>2066</v>
      </c>
      <c r="D338" s="1232" t="s">
        <v>66</v>
      </c>
      <c r="E338" s="225">
        <v>2</v>
      </c>
      <c r="F338" s="229">
        <v>0</v>
      </c>
      <c r="G338" s="230">
        <f t="shared" ref="G338:G347" si="29">E338*F338</f>
        <v>0</v>
      </c>
      <c r="H338" s="1192"/>
      <c r="I338" s="8"/>
    </row>
    <row r="339" spans="2:9" s="217" customFormat="1">
      <c r="B339" s="218"/>
      <c r="C339" s="279" t="s">
        <v>132</v>
      </c>
      <c r="D339" s="1232" t="s">
        <v>66</v>
      </c>
      <c r="E339" s="225">
        <v>3</v>
      </c>
      <c r="F339" s="229">
        <v>0</v>
      </c>
      <c r="G339" s="230">
        <f t="shared" si="29"/>
        <v>0</v>
      </c>
      <c r="H339" s="1192"/>
      <c r="I339" s="8"/>
    </row>
    <row r="340" spans="2:9" s="217" customFormat="1">
      <c r="B340" s="218"/>
      <c r="C340" s="279" t="s">
        <v>166</v>
      </c>
      <c r="D340" s="1232" t="s">
        <v>66</v>
      </c>
      <c r="E340" s="225">
        <v>2</v>
      </c>
      <c r="F340" s="229">
        <v>0</v>
      </c>
      <c r="G340" s="230">
        <f t="shared" si="29"/>
        <v>0</v>
      </c>
      <c r="H340" s="1192"/>
      <c r="I340" s="8"/>
    </row>
    <row r="341" spans="2:9" s="217" customFormat="1">
      <c r="B341" s="218"/>
      <c r="C341" s="279" t="s">
        <v>202</v>
      </c>
      <c r="D341" s="1232" t="s">
        <v>66</v>
      </c>
      <c r="E341" s="225">
        <v>2</v>
      </c>
      <c r="F341" s="229">
        <v>0</v>
      </c>
      <c r="G341" s="230">
        <f t="shared" si="29"/>
        <v>0</v>
      </c>
      <c r="H341" s="1192"/>
      <c r="I341" s="8"/>
    </row>
    <row r="342" spans="2:9" s="217" customFormat="1">
      <c r="B342" s="218"/>
      <c r="C342" s="279" t="s">
        <v>203</v>
      </c>
      <c r="D342" s="1232" t="s">
        <v>66</v>
      </c>
      <c r="E342" s="225">
        <v>2</v>
      </c>
      <c r="F342" s="229">
        <v>0</v>
      </c>
      <c r="G342" s="230">
        <f t="shared" si="29"/>
        <v>0</v>
      </c>
      <c r="H342" s="1192"/>
      <c r="I342" s="8"/>
    </row>
    <row r="343" spans="2:9" s="217" customFormat="1">
      <c r="B343" s="218"/>
      <c r="C343" s="279" t="s">
        <v>1541</v>
      </c>
      <c r="D343" s="1232" t="s">
        <v>66</v>
      </c>
      <c r="E343" s="225">
        <v>2</v>
      </c>
      <c r="F343" s="229">
        <v>0</v>
      </c>
      <c r="G343" s="230">
        <f t="shared" si="29"/>
        <v>0</v>
      </c>
      <c r="H343" s="1192"/>
      <c r="I343" s="8"/>
    </row>
    <row r="344" spans="2:9" s="217" customFormat="1">
      <c r="B344" s="218"/>
      <c r="C344" s="279" t="s">
        <v>1542</v>
      </c>
      <c r="D344" s="1232" t="s">
        <v>66</v>
      </c>
      <c r="E344" s="225">
        <v>2</v>
      </c>
      <c r="F344" s="229">
        <v>0</v>
      </c>
      <c r="G344" s="230">
        <f t="shared" si="29"/>
        <v>0</v>
      </c>
      <c r="H344" s="1192"/>
      <c r="I344" s="8"/>
    </row>
    <row r="345" spans="2:9" s="217" customFormat="1">
      <c r="B345" s="218"/>
      <c r="C345" s="279" t="s">
        <v>1574</v>
      </c>
      <c r="D345" s="1232" t="s">
        <v>66</v>
      </c>
      <c r="E345" s="225">
        <v>2</v>
      </c>
      <c r="F345" s="229">
        <v>0</v>
      </c>
      <c r="G345" s="230">
        <f t="shared" si="29"/>
        <v>0</v>
      </c>
      <c r="H345" s="1192"/>
      <c r="I345" s="8"/>
    </row>
    <row r="346" spans="2:9" s="217" customFormat="1">
      <c r="B346" s="218"/>
      <c r="C346" s="279" t="s">
        <v>150</v>
      </c>
      <c r="D346" s="1232" t="s">
        <v>66</v>
      </c>
      <c r="E346" s="225">
        <v>2</v>
      </c>
      <c r="F346" s="229">
        <v>0</v>
      </c>
      <c r="G346" s="230">
        <f t="shared" si="29"/>
        <v>0</v>
      </c>
      <c r="H346" s="1192"/>
      <c r="I346" s="8"/>
    </row>
    <row r="347" spans="2:9" s="217" customFormat="1">
      <c r="B347" s="218"/>
      <c r="C347" s="1233" t="s">
        <v>1537</v>
      </c>
      <c r="D347" s="1232" t="s">
        <v>66</v>
      </c>
      <c r="E347" s="225">
        <v>2</v>
      </c>
      <c r="F347" s="229">
        <v>0</v>
      </c>
      <c r="G347" s="230">
        <f t="shared" si="29"/>
        <v>0</v>
      </c>
      <c r="H347" s="1192"/>
      <c r="I347" s="8"/>
    </row>
    <row r="348" spans="2:9" s="217" customFormat="1">
      <c r="B348" s="201" t="s">
        <v>168</v>
      </c>
      <c r="C348" s="238" t="s">
        <v>169</v>
      </c>
      <c r="D348" s="260"/>
      <c r="E348" s="240"/>
      <c r="F348" s="241"/>
      <c r="G348" s="242"/>
      <c r="H348" s="8"/>
    </row>
    <row r="349" spans="2:9" s="217" customFormat="1">
      <c r="B349" s="218"/>
      <c r="C349" s="238" t="s">
        <v>234</v>
      </c>
      <c r="D349" s="260"/>
      <c r="E349" s="240"/>
      <c r="F349" s="241">
        <v>0</v>
      </c>
      <c r="G349" s="242"/>
      <c r="H349" s="8"/>
    </row>
    <row r="350" spans="2:9" s="217" customFormat="1" ht="36">
      <c r="B350" s="218"/>
      <c r="C350" s="243" t="s">
        <v>2074</v>
      </c>
      <c r="D350" s="260" t="s">
        <v>66</v>
      </c>
      <c r="E350" s="240">
        <v>81</v>
      </c>
      <c r="F350" s="244">
        <v>0</v>
      </c>
      <c r="G350" s="245">
        <f t="shared" ref="G350:G352" si="30">E350*F350</f>
        <v>0</v>
      </c>
      <c r="H350" s="8"/>
    </row>
    <row r="351" spans="2:9" s="217" customFormat="1">
      <c r="B351" s="218"/>
      <c r="C351" s="109" t="s">
        <v>171</v>
      </c>
      <c r="D351" s="260" t="s">
        <v>66</v>
      </c>
      <c r="E351" s="240">
        <v>81</v>
      </c>
      <c r="F351" s="244">
        <v>0</v>
      </c>
      <c r="G351" s="245">
        <f t="shared" si="30"/>
        <v>0</v>
      </c>
      <c r="H351" s="8"/>
    </row>
    <row r="352" spans="2:9" s="217" customFormat="1">
      <c r="B352" s="218"/>
      <c r="C352" s="1237" t="s">
        <v>1537</v>
      </c>
      <c r="D352" s="260" t="s">
        <v>66</v>
      </c>
      <c r="E352" s="240">
        <v>81</v>
      </c>
      <c r="F352" s="244">
        <v>0</v>
      </c>
      <c r="G352" s="245">
        <f t="shared" si="30"/>
        <v>0</v>
      </c>
      <c r="H352" s="8"/>
    </row>
    <row r="353" spans="2:10">
      <c r="B353" s="201" t="s">
        <v>172</v>
      </c>
      <c r="C353" s="248" t="s">
        <v>173</v>
      </c>
      <c r="D353" s="249"/>
      <c r="E353" s="250"/>
      <c r="F353" s="251"/>
      <c r="G353" s="252"/>
      <c r="H353" s="1192"/>
    </row>
    <row r="354" spans="2:10" s="217" customFormat="1" ht="63" customHeight="1">
      <c r="B354" s="218"/>
      <c r="C354" s="253" t="s">
        <v>1578</v>
      </c>
      <c r="D354" s="1238" t="s">
        <v>66</v>
      </c>
      <c r="E354" s="255">
        <v>2</v>
      </c>
      <c r="F354" s="256">
        <v>0</v>
      </c>
      <c r="G354" s="257">
        <f t="shared" ref="G354:G355" si="31">E354*F354</f>
        <v>0</v>
      </c>
      <c r="H354" s="1192"/>
      <c r="I354" s="8"/>
    </row>
    <row r="355" spans="2:10" s="217" customFormat="1" ht="64.5" customHeight="1">
      <c r="B355" s="218"/>
      <c r="C355" s="253" t="s">
        <v>174</v>
      </c>
      <c r="D355" s="1238" t="s">
        <v>66</v>
      </c>
      <c r="E355" s="255">
        <v>81</v>
      </c>
      <c r="F355" s="256">
        <v>0</v>
      </c>
      <c r="G355" s="257">
        <f t="shared" si="31"/>
        <v>0</v>
      </c>
      <c r="H355" s="1192"/>
      <c r="I355" s="8"/>
    </row>
    <row r="356" spans="2:10" s="179" customFormat="1" ht="16.5" customHeight="1">
      <c r="B356" s="258" t="s">
        <v>47</v>
      </c>
      <c r="C356" s="259" t="s">
        <v>175</v>
      </c>
      <c r="D356" s="260"/>
      <c r="E356" s="261"/>
      <c r="F356" s="262"/>
      <c r="G356" s="263">
        <f>SUM(G99:G355)</f>
        <v>0</v>
      </c>
      <c r="H356" s="1192"/>
      <c r="I356" s="802"/>
    </row>
    <row r="360" spans="2:10">
      <c r="J360" s="270"/>
    </row>
  </sheetData>
  <mergeCells count="8">
    <mergeCell ref="B98:G98"/>
    <mergeCell ref="B112:B115"/>
    <mergeCell ref="B41:G41"/>
    <mergeCell ref="B57:B70"/>
    <mergeCell ref="B74:B75"/>
    <mergeCell ref="B76:B78"/>
    <mergeCell ref="B96:G96"/>
    <mergeCell ref="B97:G97"/>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8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3EA3-D5AD-4140-9F9F-87769271860C}">
  <sheetPr>
    <tabColor theme="9" tint="-0.249977111117893"/>
  </sheetPr>
  <dimension ref="A1:AC167"/>
  <sheetViews>
    <sheetView showZeros="0" topLeftCell="A25" zoomScale="99" zoomScaleNormal="99" workbookViewId="0">
      <selection activeCell="B27" sqref="B27:B35"/>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140625" style="66" customWidth="1"/>
    <col min="9" max="9" width="13.140625" style="8" customWidth="1"/>
    <col min="10" max="10" width="8.140625" style="1" customWidth="1"/>
    <col min="11" max="11" width="7.85546875" style="1" customWidth="1"/>
    <col min="12" max="12" width="9.42578125" style="1" customWidth="1"/>
    <col min="13" max="13" width="8.5703125" style="1" customWidth="1"/>
    <col min="14" max="14" width="8.140625" style="1" customWidth="1"/>
    <col min="15" max="15" width="9.140625" style="1" customWidth="1"/>
    <col min="16"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1" spans="1:29" ht="16.5" customHeight="1">
      <c r="B1" s="2"/>
      <c r="C1" s="3" t="s">
        <v>0</v>
      </c>
      <c r="D1" s="4"/>
      <c r="E1" s="5"/>
      <c r="F1" s="6"/>
      <c r="G1" s="672" t="s">
        <v>1</v>
      </c>
      <c r="H1" s="938"/>
      <c r="I1" s="1"/>
    </row>
    <row r="3" spans="1:29" s="73" customFormat="1" ht="15">
      <c r="B3" s="74" t="s">
        <v>35</v>
      </c>
      <c r="C3" s="75" t="s">
        <v>9</v>
      </c>
      <c r="D3" s="1175"/>
      <c r="E3" s="77"/>
      <c r="F3" s="78"/>
      <c r="G3" s="79"/>
      <c r="H3" s="85"/>
      <c r="I3" s="37"/>
    </row>
    <row r="4" spans="1:29" s="73" customFormat="1" ht="12" customHeight="1">
      <c r="B4" s="80"/>
      <c r="C4" s="81"/>
      <c r="D4" s="1176"/>
      <c r="E4" s="83"/>
      <c r="F4" s="84"/>
      <c r="G4" s="85"/>
      <c r="H4" s="85"/>
      <c r="I4" s="37"/>
    </row>
    <row r="5" spans="1:29" s="86" customFormat="1" ht="14.25">
      <c r="B5" s="74" t="s">
        <v>37</v>
      </c>
      <c r="C5" s="75" t="s">
        <v>1588</v>
      </c>
      <c r="D5" s="1175"/>
      <c r="E5" s="77"/>
      <c r="F5" s="78"/>
      <c r="G5" s="79"/>
      <c r="H5" s="85"/>
      <c r="I5" s="27"/>
      <c r="J5" s="87"/>
      <c r="K5" s="87"/>
      <c r="L5" s="87"/>
    </row>
    <row r="6" spans="1:29" s="86" customFormat="1" ht="14.25">
      <c r="B6" s="80"/>
      <c r="C6" s="81"/>
      <c r="D6" s="1176"/>
      <c r="E6" s="83"/>
      <c r="F6" s="84"/>
      <c r="G6" s="88"/>
      <c r="H6" s="85"/>
      <c r="I6" s="27"/>
      <c r="J6" s="87"/>
      <c r="K6" s="87"/>
      <c r="L6" s="87"/>
    </row>
    <row r="7" spans="1:29" s="14" customFormat="1" ht="18" customHeight="1">
      <c r="A7" s="9"/>
      <c r="B7" s="10" t="s">
        <v>38</v>
      </c>
      <c r="C7" s="11"/>
      <c r="D7" s="1177"/>
      <c r="E7" s="12"/>
      <c r="F7" s="12"/>
      <c r="G7" s="13"/>
      <c r="H7" s="1178"/>
    </row>
    <row r="8" spans="1:29" s="14" customFormat="1" ht="18" customHeight="1">
      <c r="A8" s="15"/>
      <c r="B8" s="16" t="s">
        <v>39</v>
      </c>
      <c r="C8" s="17"/>
      <c r="D8" s="1179"/>
      <c r="E8" s="19"/>
      <c r="F8" s="19"/>
      <c r="G8" s="18"/>
      <c r="H8" s="1178"/>
    </row>
    <row r="9" spans="1:29" s="14" customFormat="1" ht="18" customHeight="1">
      <c r="A9" s="9"/>
      <c r="B9" s="10" t="s">
        <v>4</v>
      </c>
      <c r="C9" s="11"/>
      <c r="D9" s="1180"/>
      <c r="E9" s="12"/>
      <c r="F9" s="12"/>
      <c r="G9" s="13"/>
      <c r="H9" s="1178"/>
    </row>
    <row r="10" spans="1:29" s="14" customFormat="1" ht="18" customHeight="1">
      <c r="A10" s="15"/>
      <c r="B10" s="16" t="s">
        <v>5</v>
      </c>
      <c r="C10" s="17"/>
      <c r="D10" s="1181"/>
      <c r="E10" s="19"/>
      <c r="F10" s="19"/>
      <c r="G10" s="18"/>
      <c r="H10" s="1178"/>
    </row>
    <row r="11" spans="1:29" s="86" customFormat="1" ht="14.25">
      <c r="B11" s="89"/>
      <c r="C11" s="90"/>
      <c r="D11" s="1182"/>
      <c r="E11" s="92"/>
      <c r="F11" s="93"/>
      <c r="G11" s="94"/>
      <c r="H11" s="85"/>
      <c r="I11" s="27"/>
      <c r="J11" s="87"/>
      <c r="K11" s="87"/>
      <c r="L11" s="87"/>
    </row>
    <row r="12" spans="1:29" s="86" customFormat="1" ht="14.25">
      <c r="B12" s="95"/>
      <c r="C12" s="96" t="s">
        <v>40</v>
      </c>
      <c r="D12" s="1183"/>
      <c r="E12" s="98"/>
      <c r="F12" s="99"/>
      <c r="G12" s="100"/>
      <c r="H12" s="85"/>
      <c r="I12" s="27"/>
      <c r="J12" s="87"/>
      <c r="K12" s="87"/>
      <c r="L12" s="87"/>
    </row>
    <row r="13" spans="1:29" s="101" customFormat="1" ht="15">
      <c r="B13" s="95" t="s">
        <v>41</v>
      </c>
      <c r="C13" s="102" t="s">
        <v>42</v>
      </c>
      <c r="D13" s="1183"/>
      <c r="E13" s="104"/>
      <c r="F13" s="105"/>
      <c r="G13" s="106" t="s">
        <v>10</v>
      </c>
      <c r="H13" s="1184"/>
      <c r="I13" s="37"/>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185"/>
      <c r="E14" s="110"/>
      <c r="F14" s="111"/>
      <c r="G14" s="112">
        <f>G36</f>
        <v>0</v>
      </c>
      <c r="H14" s="1186"/>
      <c r="I14" s="37"/>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185"/>
      <c r="E15" s="110"/>
      <c r="F15" s="111"/>
      <c r="G15" s="112">
        <f>G66</f>
        <v>0</v>
      </c>
      <c r="H15" s="1186"/>
      <c r="I15" s="37"/>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185"/>
      <c r="E16" s="110"/>
      <c r="F16" s="111"/>
      <c r="G16" s="112">
        <f>G163</f>
        <v>0</v>
      </c>
      <c r="H16" s="1186"/>
      <c r="I16" s="37"/>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87"/>
      <c r="E17" s="116"/>
      <c r="F17" s="117"/>
      <c r="G17" s="50">
        <f>SUM(G14:G16)</f>
        <v>0</v>
      </c>
      <c r="H17" s="1186"/>
      <c r="I17" s="37"/>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c r="H19" s="118"/>
    </row>
    <row r="20" spans="2:29">
      <c r="B20" s="119" t="s">
        <v>50</v>
      </c>
      <c r="C20" s="120" t="s">
        <v>51</v>
      </c>
      <c r="D20" s="120" t="s">
        <v>52</v>
      </c>
      <c r="E20" s="122" t="s">
        <v>53</v>
      </c>
      <c r="F20" s="123" t="s">
        <v>54</v>
      </c>
      <c r="G20" s="124" t="s">
        <v>55</v>
      </c>
      <c r="H20" s="1189"/>
    </row>
    <row r="21" spans="2:29">
      <c r="B21" s="125"/>
      <c r="C21" s="126"/>
      <c r="D21" s="140"/>
      <c r="E21" s="128"/>
      <c r="F21" s="129"/>
      <c r="G21" s="130"/>
      <c r="H21" s="118"/>
    </row>
    <row r="22" spans="2:29" s="138" customFormat="1" ht="20.25">
      <c r="B22" s="131" t="s">
        <v>43</v>
      </c>
      <c r="C22" s="132" t="s">
        <v>44</v>
      </c>
      <c r="D22" s="165"/>
      <c r="E22" s="134"/>
      <c r="F22" s="135"/>
      <c r="G22" s="136"/>
      <c r="H22" s="1190"/>
      <c r="I22" s="137"/>
    </row>
    <row r="23" spans="2:29" ht="24">
      <c r="B23" s="125">
        <v>1</v>
      </c>
      <c r="C23" s="139" t="s">
        <v>56</v>
      </c>
      <c r="D23" s="140" t="s">
        <v>57</v>
      </c>
      <c r="E23" s="198">
        <v>222</v>
      </c>
      <c r="F23" s="1191">
        <v>0</v>
      </c>
      <c r="G23" s="1083">
        <f t="shared" ref="G23" si="0">E23*F23</f>
        <v>0</v>
      </c>
      <c r="H23" s="1192"/>
    </row>
    <row r="24" spans="2:29">
      <c r="B24" s="125">
        <v>2</v>
      </c>
      <c r="C24" s="139" t="s">
        <v>58</v>
      </c>
      <c r="D24" s="140" t="s">
        <v>57</v>
      </c>
      <c r="E24" s="198">
        <v>222</v>
      </c>
      <c r="F24" s="1191">
        <v>0</v>
      </c>
      <c r="G24" s="1083">
        <f>E24*F24</f>
        <v>0</v>
      </c>
      <c r="H24" s="1192"/>
    </row>
    <row r="25" spans="2:29" ht="48">
      <c r="B25" s="125">
        <v>3</v>
      </c>
      <c r="C25" s="139" t="s">
        <v>59</v>
      </c>
      <c r="D25" s="140" t="s">
        <v>60</v>
      </c>
      <c r="E25" s="198">
        <v>1</v>
      </c>
      <c r="F25" s="1191">
        <v>0</v>
      </c>
      <c r="G25" s="1083">
        <f t="shared" ref="G25:G35" si="1">E25*F25</f>
        <v>0</v>
      </c>
      <c r="H25" s="1192"/>
      <c r="I25" s="143"/>
    </row>
    <row r="26" spans="2:29" ht="132">
      <c r="B26" s="125">
        <v>4</v>
      </c>
      <c r="C26" s="144" t="s">
        <v>61</v>
      </c>
      <c r="D26" s="145" t="s">
        <v>60</v>
      </c>
      <c r="E26" s="198">
        <v>1</v>
      </c>
      <c r="F26" s="1191">
        <v>0</v>
      </c>
      <c r="G26" s="1083">
        <f t="shared" si="1"/>
        <v>0</v>
      </c>
      <c r="H26" s="1192"/>
    </row>
    <row r="27" spans="2:29" ht="24">
      <c r="B27" s="125">
        <v>5</v>
      </c>
      <c r="C27" s="144" t="s">
        <v>62</v>
      </c>
      <c r="D27" s="146" t="s">
        <v>60</v>
      </c>
      <c r="E27" s="198">
        <v>1</v>
      </c>
      <c r="F27" s="1191">
        <v>0</v>
      </c>
      <c r="G27" s="1083">
        <f t="shared" si="1"/>
        <v>0</v>
      </c>
      <c r="H27" s="1192"/>
    </row>
    <row r="28" spans="2:29" ht="24">
      <c r="B28" s="125">
        <v>6</v>
      </c>
      <c r="C28" s="147" t="s">
        <v>63</v>
      </c>
      <c r="D28" s="140" t="s">
        <v>57</v>
      </c>
      <c r="E28" s="198">
        <v>222</v>
      </c>
      <c r="F28" s="1191">
        <v>0</v>
      </c>
      <c r="G28" s="1083">
        <f t="shared" si="1"/>
        <v>0</v>
      </c>
      <c r="H28" s="1192"/>
    </row>
    <row r="29" spans="2:29" ht="48">
      <c r="B29" s="125">
        <v>7</v>
      </c>
      <c r="C29" s="147" t="s">
        <v>64</v>
      </c>
      <c r="D29" s="146" t="s">
        <v>60</v>
      </c>
      <c r="E29" s="198">
        <v>1</v>
      </c>
      <c r="F29" s="1191">
        <v>0</v>
      </c>
      <c r="G29" s="1083">
        <f t="shared" si="1"/>
        <v>0</v>
      </c>
      <c r="H29" s="1192"/>
    </row>
    <row r="30" spans="2:29" ht="48">
      <c r="B30" s="125">
        <v>8</v>
      </c>
      <c r="C30" s="1080" t="s">
        <v>2292</v>
      </c>
      <c r="D30" s="275" t="s">
        <v>66</v>
      </c>
      <c r="E30" s="173">
        <v>1</v>
      </c>
      <c r="F30" s="1191">
        <v>0</v>
      </c>
      <c r="G30" s="175">
        <f t="shared" si="1"/>
        <v>0</v>
      </c>
      <c r="H30" s="1262"/>
      <c r="I30" s="1263"/>
      <c r="J30" s="8"/>
    </row>
    <row r="31" spans="2:29" ht="36">
      <c r="B31" s="125">
        <v>9</v>
      </c>
      <c r="C31" s="1080" t="s">
        <v>2294</v>
      </c>
      <c r="D31" s="146" t="s">
        <v>57</v>
      </c>
      <c r="E31" s="198">
        <v>222</v>
      </c>
      <c r="F31" s="1191">
        <v>0</v>
      </c>
      <c r="G31" s="1083">
        <f t="shared" si="1"/>
        <v>0</v>
      </c>
      <c r="H31" s="1192"/>
      <c r="I31" s="143"/>
    </row>
    <row r="32" spans="2:29" ht="24">
      <c r="B32" s="125">
        <v>10</v>
      </c>
      <c r="C32" s="1080" t="s">
        <v>2293</v>
      </c>
      <c r="D32" s="146" t="s">
        <v>57</v>
      </c>
      <c r="E32" s="198">
        <v>222</v>
      </c>
      <c r="F32" s="1191">
        <v>0</v>
      </c>
      <c r="G32" s="1083">
        <f t="shared" si="1"/>
        <v>0</v>
      </c>
      <c r="H32" s="1192"/>
    </row>
    <row r="33" spans="2:12">
      <c r="B33" s="125">
        <v>11</v>
      </c>
      <c r="C33" s="1196" t="s">
        <v>67</v>
      </c>
      <c r="D33" s="275" t="s">
        <v>60</v>
      </c>
      <c r="E33" s="198">
        <v>1</v>
      </c>
      <c r="F33" s="1191">
        <v>0</v>
      </c>
      <c r="G33" s="1194">
        <f t="shared" si="1"/>
        <v>0</v>
      </c>
      <c r="H33" s="1195"/>
    </row>
    <row r="34" spans="2:12" ht="36">
      <c r="B34" s="125">
        <v>12</v>
      </c>
      <c r="C34" s="148" t="s">
        <v>68</v>
      </c>
      <c r="D34" s="146" t="s">
        <v>60</v>
      </c>
      <c r="E34" s="198">
        <v>1</v>
      </c>
      <c r="F34" s="1191">
        <v>0</v>
      </c>
      <c r="G34" s="1083">
        <f t="shared" si="1"/>
        <v>0</v>
      </c>
      <c r="H34" s="1192"/>
    </row>
    <row r="35" spans="2:12" ht="36">
      <c r="B35" s="125">
        <v>13</v>
      </c>
      <c r="C35" s="150" t="s">
        <v>69</v>
      </c>
      <c r="D35" s="146" t="s">
        <v>60</v>
      </c>
      <c r="E35" s="198">
        <v>1</v>
      </c>
      <c r="F35" s="1191">
        <v>0</v>
      </c>
      <c r="G35" s="1083">
        <f t="shared" si="1"/>
        <v>0</v>
      </c>
      <c r="H35" s="1192"/>
      <c r="I35" s="143"/>
    </row>
    <row r="36" spans="2:12">
      <c r="B36" s="151" t="s">
        <v>43</v>
      </c>
      <c r="C36" s="152" t="s">
        <v>70</v>
      </c>
      <c r="D36" s="185"/>
      <c r="E36" s="741"/>
      <c r="F36" s="1122"/>
      <c r="G36" s="263">
        <f>SUM(G23:G35)</f>
        <v>0</v>
      </c>
      <c r="H36" s="1201"/>
    </row>
    <row r="37" spans="2:12">
      <c r="B37" s="125"/>
      <c r="C37" s="126"/>
      <c r="D37" s="140"/>
      <c r="E37" s="128"/>
      <c r="F37" s="129"/>
      <c r="G37" s="130"/>
      <c r="H37" s="118"/>
    </row>
    <row r="38" spans="2:12">
      <c r="B38" s="1202" t="s">
        <v>50</v>
      </c>
      <c r="C38" s="1203" t="s">
        <v>51</v>
      </c>
      <c r="D38" s="1203" t="s">
        <v>52</v>
      </c>
      <c r="E38" s="1204" t="s">
        <v>53</v>
      </c>
      <c r="F38" s="1205" t="s">
        <v>54</v>
      </c>
      <c r="G38" s="1206" t="s">
        <v>55</v>
      </c>
      <c r="H38" s="1189"/>
    </row>
    <row r="39" spans="2:12">
      <c r="B39" s="125"/>
      <c r="C39" s="163"/>
      <c r="D39" s="140"/>
      <c r="E39" s="128"/>
      <c r="F39" s="129"/>
      <c r="G39" s="130"/>
      <c r="H39" s="118"/>
    </row>
    <row r="40" spans="2:12" s="138" customFormat="1" ht="20.25">
      <c r="B40" s="131" t="s">
        <v>45</v>
      </c>
      <c r="C40" s="164" t="s">
        <v>71</v>
      </c>
      <c r="D40" s="165"/>
      <c r="E40" s="134"/>
      <c r="F40" s="135"/>
      <c r="G40" s="136"/>
      <c r="H40" s="1190"/>
      <c r="I40" s="137"/>
    </row>
    <row r="41" spans="2:12" s="166" customFormat="1" ht="79.5" customHeight="1">
      <c r="B41" s="2399" t="s">
        <v>72</v>
      </c>
      <c r="C41" s="2400"/>
      <c r="D41" s="2400"/>
      <c r="E41" s="2400"/>
      <c r="F41" s="2400"/>
      <c r="G41" s="2401"/>
      <c r="H41" s="1207"/>
      <c r="I41" s="8"/>
    </row>
    <row r="42" spans="2:12" ht="36">
      <c r="B42" s="167">
        <v>1</v>
      </c>
      <c r="C42" s="139" t="s">
        <v>1499</v>
      </c>
      <c r="D42" s="145" t="s">
        <v>74</v>
      </c>
      <c r="E42" s="128">
        <v>10</v>
      </c>
      <c r="F42" s="141">
        <v>0</v>
      </c>
      <c r="G42" s="142">
        <f t="shared" ref="G42:G65" si="2">E42*F42</f>
        <v>0</v>
      </c>
      <c r="H42" s="1192"/>
      <c r="J42" s="266"/>
    </row>
    <row r="43" spans="2:12" ht="36">
      <c r="B43" s="167">
        <v>2</v>
      </c>
      <c r="C43" s="139" t="s">
        <v>1500</v>
      </c>
      <c r="D43" s="145" t="s">
        <v>74</v>
      </c>
      <c r="E43" s="128">
        <v>472</v>
      </c>
      <c r="F43" s="141">
        <v>0</v>
      </c>
      <c r="G43" s="142">
        <f t="shared" si="2"/>
        <v>0</v>
      </c>
      <c r="H43" s="1192"/>
      <c r="J43" s="266"/>
    </row>
    <row r="44" spans="2:12" ht="24">
      <c r="B44" s="167">
        <v>3</v>
      </c>
      <c r="C44" s="716" t="s">
        <v>77</v>
      </c>
      <c r="D44" s="169" t="s">
        <v>78</v>
      </c>
      <c r="E44" s="1199">
        <v>760</v>
      </c>
      <c r="F44" s="141">
        <v>0</v>
      </c>
      <c r="G44" s="142">
        <f t="shared" si="2"/>
        <v>0</v>
      </c>
      <c r="H44" s="1192"/>
      <c r="J44" s="1209"/>
      <c r="K44" s="270"/>
      <c r="L44" s="270"/>
    </row>
    <row r="45" spans="2:12" ht="36">
      <c r="B45" s="167">
        <v>4</v>
      </c>
      <c r="C45" s="139" t="s">
        <v>79</v>
      </c>
      <c r="D45" s="145" t="s">
        <v>78</v>
      </c>
      <c r="E45" s="128">
        <v>240</v>
      </c>
      <c r="F45" s="141">
        <v>0</v>
      </c>
      <c r="G45" s="142">
        <f t="shared" si="2"/>
        <v>0</v>
      </c>
      <c r="H45" s="1192"/>
      <c r="J45" s="1209"/>
    </row>
    <row r="46" spans="2:12" ht="24">
      <c r="B46" s="167">
        <v>5</v>
      </c>
      <c r="C46" s="139" t="s">
        <v>80</v>
      </c>
      <c r="D46" s="145" t="s">
        <v>74</v>
      </c>
      <c r="E46" s="128">
        <v>120</v>
      </c>
      <c r="F46" s="141">
        <v>0</v>
      </c>
      <c r="G46" s="142">
        <f t="shared" si="2"/>
        <v>0</v>
      </c>
      <c r="H46" s="1192"/>
      <c r="J46" s="266"/>
    </row>
    <row r="47" spans="2:12" ht="36">
      <c r="B47" s="167">
        <v>6</v>
      </c>
      <c r="C47" s="144" t="s">
        <v>248</v>
      </c>
      <c r="D47" s="145" t="s">
        <v>74</v>
      </c>
      <c r="E47" s="128">
        <v>380</v>
      </c>
      <c r="F47" s="141">
        <v>0</v>
      </c>
      <c r="G47" s="142">
        <f t="shared" si="2"/>
        <v>0</v>
      </c>
      <c r="H47" s="1192"/>
      <c r="J47" s="266"/>
    </row>
    <row r="48" spans="2:12" ht="36">
      <c r="B48" s="167">
        <v>7</v>
      </c>
      <c r="C48" s="397" t="s">
        <v>249</v>
      </c>
      <c r="D48" s="146" t="s">
        <v>74</v>
      </c>
      <c r="E48" s="128">
        <v>98</v>
      </c>
      <c r="F48" s="141">
        <v>0</v>
      </c>
      <c r="G48" s="142">
        <f t="shared" si="2"/>
        <v>0</v>
      </c>
      <c r="H48" s="1192"/>
      <c r="J48" s="1209"/>
    </row>
    <row r="49" spans="2:10" ht="24">
      <c r="B49" s="167">
        <v>8</v>
      </c>
      <c r="C49" s="139" t="s">
        <v>85</v>
      </c>
      <c r="D49" s="145" t="s">
        <v>57</v>
      </c>
      <c r="E49" s="128">
        <v>360</v>
      </c>
      <c r="F49" s="141">
        <v>0</v>
      </c>
      <c r="G49" s="142">
        <f t="shared" si="2"/>
        <v>0</v>
      </c>
      <c r="H49" s="1192"/>
      <c r="J49" s="270"/>
    </row>
    <row r="50" spans="2:10" ht="24">
      <c r="B50" s="167">
        <v>9</v>
      </c>
      <c r="C50" s="139" t="s">
        <v>86</v>
      </c>
      <c r="D50" s="140" t="s">
        <v>78</v>
      </c>
      <c r="E50" s="128">
        <v>1260</v>
      </c>
      <c r="F50" s="141">
        <v>0</v>
      </c>
      <c r="G50" s="142">
        <f t="shared" si="2"/>
        <v>0</v>
      </c>
      <c r="H50" s="1192"/>
    </row>
    <row r="51" spans="2:10" s="166" customFormat="1" ht="48">
      <c r="B51" s="167">
        <v>10</v>
      </c>
      <c r="C51" s="139" t="s">
        <v>87</v>
      </c>
      <c r="D51" s="140" t="s">
        <v>78</v>
      </c>
      <c r="E51" s="128">
        <v>1260</v>
      </c>
      <c r="F51" s="141">
        <v>0</v>
      </c>
      <c r="G51" s="142">
        <f t="shared" si="2"/>
        <v>0</v>
      </c>
      <c r="H51" s="1192"/>
      <c r="I51" s="8"/>
    </row>
    <row r="52" spans="2:10" s="166" customFormat="1" ht="48">
      <c r="B52" s="728" t="s">
        <v>866</v>
      </c>
      <c r="C52" s="144" t="s">
        <v>256</v>
      </c>
      <c r="D52" s="145" t="s">
        <v>78</v>
      </c>
      <c r="E52" s="128">
        <v>1260</v>
      </c>
      <c r="F52" s="141">
        <v>0</v>
      </c>
      <c r="G52" s="142">
        <f t="shared" si="2"/>
        <v>0</v>
      </c>
      <c r="H52" s="1192"/>
      <c r="I52" s="8"/>
    </row>
    <row r="53" spans="2:10" s="179" customFormat="1" ht="60">
      <c r="B53" s="728" t="s">
        <v>1589</v>
      </c>
      <c r="C53" s="144" t="s">
        <v>258</v>
      </c>
      <c r="D53" s="145" t="s">
        <v>78</v>
      </c>
      <c r="E53" s="128">
        <v>1260</v>
      </c>
      <c r="F53" s="141">
        <v>0</v>
      </c>
      <c r="G53" s="142">
        <f>E53*F53</f>
        <v>0</v>
      </c>
      <c r="H53" s="1192"/>
      <c r="I53" s="269"/>
    </row>
    <row r="54" spans="2:10" s="176" customFormat="1" ht="60">
      <c r="B54" s="2414" t="s">
        <v>1232</v>
      </c>
      <c r="C54" s="1193" t="s">
        <v>1507</v>
      </c>
      <c r="D54" s="1264"/>
      <c r="E54" s="1265"/>
      <c r="F54" s="174"/>
      <c r="G54" s="142"/>
      <c r="H54" s="1266"/>
    </row>
    <row r="55" spans="2:10" s="176" customFormat="1">
      <c r="B55" s="2415"/>
      <c r="C55" s="1211" t="s">
        <v>1590</v>
      </c>
      <c r="D55" s="172" t="s">
        <v>57</v>
      </c>
      <c r="E55" s="173">
        <v>72</v>
      </c>
      <c r="F55" s="174">
        <v>0</v>
      </c>
      <c r="G55" s="142">
        <f t="shared" ref="G55:G58" si="3">E55*F55</f>
        <v>0</v>
      </c>
      <c r="H55" s="1266"/>
    </row>
    <row r="56" spans="2:10" s="176" customFormat="1">
      <c r="B56" s="2415"/>
      <c r="C56" s="1211" t="s">
        <v>1591</v>
      </c>
      <c r="D56" s="172" t="s">
        <v>57</v>
      </c>
      <c r="E56" s="173">
        <v>16</v>
      </c>
      <c r="F56" s="174">
        <v>0</v>
      </c>
      <c r="G56" s="142">
        <f t="shared" si="3"/>
        <v>0</v>
      </c>
      <c r="H56" s="1266"/>
    </row>
    <row r="57" spans="2:10" s="176" customFormat="1">
      <c r="B57" s="2415"/>
      <c r="C57" s="1211" t="s">
        <v>1592</v>
      </c>
      <c r="D57" s="172" t="s">
        <v>57</v>
      </c>
      <c r="E57" s="173">
        <v>380</v>
      </c>
      <c r="F57" s="174">
        <v>0</v>
      </c>
      <c r="G57" s="142">
        <f t="shared" si="3"/>
        <v>0</v>
      </c>
      <c r="H57" s="1266"/>
    </row>
    <row r="58" spans="2:10" s="176" customFormat="1">
      <c r="B58" s="2416"/>
      <c r="C58" s="1211" t="s">
        <v>1593</v>
      </c>
      <c r="D58" s="172" t="s">
        <v>57</v>
      </c>
      <c r="E58" s="173">
        <v>17</v>
      </c>
      <c r="F58" s="174">
        <v>0</v>
      </c>
      <c r="G58" s="142">
        <f t="shared" si="3"/>
        <v>0</v>
      </c>
      <c r="H58" s="1266"/>
    </row>
    <row r="59" spans="2:10" s="179" customFormat="1" ht="24">
      <c r="B59" s="167">
        <v>13</v>
      </c>
      <c r="C59" s="139" t="s">
        <v>92</v>
      </c>
      <c r="D59" s="145" t="s">
        <v>74</v>
      </c>
      <c r="E59" s="128">
        <v>482</v>
      </c>
      <c r="F59" s="174">
        <v>0</v>
      </c>
      <c r="G59" s="142">
        <f t="shared" si="2"/>
        <v>0</v>
      </c>
      <c r="H59" s="1192"/>
      <c r="I59" s="269"/>
    </row>
    <row r="60" spans="2:10" s="179" customFormat="1">
      <c r="B60" s="167">
        <v>14</v>
      </c>
      <c r="C60" s="139" t="s">
        <v>93</v>
      </c>
      <c r="D60" s="145" t="s">
        <v>74</v>
      </c>
      <c r="E60" s="128">
        <v>482</v>
      </c>
      <c r="F60" s="174">
        <v>0</v>
      </c>
      <c r="G60" s="142">
        <f t="shared" si="2"/>
        <v>0</v>
      </c>
      <c r="H60" s="1192"/>
      <c r="I60" s="269"/>
    </row>
    <row r="61" spans="2:10" ht="24">
      <c r="B61" s="167">
        <v>15</v>
      </c>
      <c r="C61" s="139" t="s">
        <v>94</v>
      </c>
      <c r="D61" s="145" t="s">
        <v>78</v>
      </c>
      <c r="E61" s="128">
        <v>1260</v>
      </c>
      <c r="F61" s="174">
        <v>0</v>
      </c>
      <c r="G61" s="142">
        <f t="shared" si="2"/>
        <v>0</v>
      </c>
      <c r="H61" s="1192"/>
      <c r="I61" s="143"/>
    </row>
    <row r="62" spans="2:10" ht="36">
      <c r="B62" s="729">
        <v>16</v>
      </c>
      <c r="C62" s="402" t="s">
        <v>269</v>
      </c>
      <c r="D62" s="182" t="s">
        <v>74</v>
      </c>
      <c r="E62" s="128">
        <v>0.5</v>
      </c>
      <c r="F62" s="174">
        <v>0</v>
      </c>
      <c r="G62" s="142">
        <f t="shared" si="2"/>
        <v>0</v>
      </c>
      <c r="H62" s="1192"/>
      <c r="I62" s="143"/>
    </row>
    <row r="63" spans="2:10" s="1251" customFormat="1" ht="41.25" customHeight="1">
      <c r="B63" s="1252">
        <v>17</v>
      </c>
      <c r="C63" s="1253" t="s">
        <v>270</v>
      </c>
      <c r="D63" s="1254" t="s">
        <v>66</v>
      </c>
      <c r="E63" s="1214">
        <v>12</v>
      </c>
      <c r="F63" s="174">
        <v>0</v>
      </c>
      <c r="G63" s="1243">
        <f t="shared" si="2"/>
        <v>0</v>
      </c>
      <c r="H63" s="1267"/>
    </row>
    <row r="64" spans="2:10" ht="24">
      <c r="B64" s="729">
        <v>18</v>
      </c>
      <c r="C64" s="1219" t="s">
        <v>99</v>
      </c>
      <c r="D64" s="182" t="s">
        <v>74</v>
      </c>
      <c r="E64" s="128">
        <v>0.3</v>
      </c>
      <c r="F64" s="174">
        <v>0</v>
      </c>
      <c r="G64" s="142">
        <f t="shared" si="2"/>
        <v>0</v>
      </c>
      <c r="H64" s="8"/>
      <c r="I64" s="1"/>
    </row>
    <row r="65" spans="1:9" ht="24">
      <c r="B65" s="167">
        <v>19</v>
      </c>
      <c r="C65" s="184" t="s">
        <v>100</v>
      </c>
      <c r="D65" s="182" t="s">
        <v>65</v>
      </c>
      <c r="E65" s="128">
        <v>33</v>
      </c>
      <c r="F65" s="174">
        <v>0</v>
      </c>
      <c r="G65" s="142">
        <f t="shared" si="2"/>
        <v>0</v>
      </c>
      <c r="H65" s="1192"/>
      <c r="I65" s="143"/>
    </row>
    <row r="66" spans="1:9">
      <c r="B66" s="151" t="s">
        <v>45</v>
      </c>
      <c r="C66" s="152" t="s">
        <v>101</v>
      </c>
      <c r="D66" s="185"/>
      <c r="E66" s="154"/>
      <c r="F66" s="155"/>
      <c r="G66" s="263">
        <f>SUM(G42:G65)</f>
        <v>0</v>
      </c>
      <c r="H66" s="1201"/>
    </row>
    <row r="67" spans="1:9">
      <c r="B67" s="125"/>
      <c r="C67" s="126"/>
      <c r="D67" s="140"/>
      <c r="E67" s="128"/>
      <c r="F67" s="129"/>
      <c r="G67" s="130"/>
      <c r="H67" s="118"/>
    </row>
    <row r="68" spans="1:9">
      <c r="B68" s="1202" t="s">
        <v>50</v>
      </c>
      <c r="C68" s="1203" t="s">
        <v>51</v>
      </c>
      <c r="D68" s="1203" t="s">
        <v>52</v>
      </c>
      <c r="E68" s="1204" t="s">
        <v>53</v>
      </c>
      <c r="F68" s="1205" t="s">
        <v>54</v>
      </c>
      <c r="G68" s="1206" t="s">
        <v>55</v>
      </c>
      <c r="H68" s="1189"/>
    </row>
    <row r="69" spans="1:9">
      <c r="B69" s="125"/>
      <c r="C69" s="126"/>
      <c r="D69" s="140"/>
      <c r="E69" s="128"/>
      <c r="F69" s="129"/>
      <c r="G69" s="130"/>
      <c r="H69" s="118"/>
    </row>
    <row r="70" spans="1:9" s="138" customFormat="1" ht="20.25">
      <c r="B70" s="186" t="s">
        <v>47</v>
      </c>
      <c r="C70" s="187" t="s">
        <v>102</v>
      </c>
      <c r="D70" s="165"/>
      <c r="E70" s="134"/>
      <c r="F70" s="135"/>
      <c r="G70" s="136"/>
      <c r="H70" s="1190"/>
      <c r="I70" s="137"/>
    </row>
    <row r="71" spans="1:9" s="14" customFormat="1" ht="18" customHeight="1">
      <c r="A71" s="9"/>
      <c r="B71" s="10" t="s">
        <v>38</v>
      </c>
      <c r="C71" s="11"/>
      <c r="D71" s="1177"/>
      <c r="E71" s="12"/>
      <c r="F71" s="12"/>
      <c r="G71" s="13"/>
      <c r="H71" s="1178"/>
    </row>
    <row r="72" spans="1:9" s="14" customFormat="1" ht="18" customHeight="1">
      <c r="A72" s="15"/>
      <c r="B72" s="16" t="s">
        <v>39</v>
      </c>
      <c r="C72" s="17"/>
      <c r="D72" s="1179"/>
      <c r="E72" s="19"/>
      <c r="F72" s="19"/>
      <c r="G72" s="18"/>
      <c r="H72" s="1178"/>
    </row>
    <row r="73" spans="1:9" s="14" customFormat="1" ht="18" customHeight="1">
      <c r="A73" s="9"/>
      <c r="B73" s="10" t="s">
        <v>4</v>
      </c>
      <c r="C73" s="11"/>
      <c r="D73" s="1180"/>
      <c r="E73" s="12"/>
      <c r="F73" s="12"/>
      <c r="G73" s="13"/>
      <c r="H73" s="1178"/>
    </row>
    <row r="74" spans="1:9" s="14" customFormat="1" ht="18" customHeight="1">
      <c r="A74" s="15"/>
      <c r="B74" s="16" t="s">
        <v>5</v>
      </c>
      <c r="C74" s="17"/>
      <c r="D74" s="1181"/>
      <c r="E74" s="19"/>
      <c r="F74" s="19"/>
      <c r="G74" s="18"/>
      <c r="H74" s="1178"/>
    </row>
    <row r="75" spans="1:9" s="166" customFormat="1" ht="30.75" customHeight="1">
      <c r="B75" s="2399" t="s">
        <v>103</v>
      </c>
      <c r="C75" s="2400"/>
      <c r="D75" s="2400"/>
      <c r="E75" s="2400"/>
      <c r="F75" s="2400"/>
      <c r="G75" s="2401"/>
      <c r="H75" s="1207"/>
      <c r="I75" s="8"/>
    </row>
    <row r="76" spans="1:9" s="166" customFormat="1" ht="18.75" customHeight="1">
      <c r="B76" s="2399" t="s">
        <v>104</v>
      </c>
      <c r="C76" s="2400"/>
      <c r="D76" s="2400"/>
      <c r="E76" s="2400"/>
      <c r="F76" s="2400"/>
      <c r="G76" s="2401"/>
      <c r="H76" s="1207"/>
      <c r="I76" s="8"/>
    </row>
    <row r="77" spans="1:9" s="166" customFormat="1" ht="18.75" customHeight="1">
      <c r="B77" s="2399" t="s">
        <v>105</v>
      </c>
      <c r="C77" s="2400"/>
      <c r="D77" s="2400"/>
      <c r="E77" s="2400"/>
      <c r="F77" s="2400"/>
      <c r="G77" s="2401"/>
      <c r="H77" s="1207"/>
      <c r="I77" s="8"/>
    </row>
    <row r="78" spans="1:9" ht="30" customHeight="1">
      <c r="B78" s="188">
        <v>1</v>
      </c>
      <c r="C78" s="189" t="s">
        <v>106</v>
      </c>
      <c r="D78" s="190"/>
      <c r="E78" s="128"/>
      <c r="F78" s="129"/>
      <c r="G78" s="130"/>
      <c r="H78" s="118"/>
    </row>
    <row r="79" spans="1:9" s="179" customFormat="1" ht="18.75" customHeight="1">
      <c r="B79" s="191"/>
      <c r="C79" s="271" t="s">
        <v>485</v>
      </c>
      <c r="D79" s="190" t="s">
        <v>57</v>
      </c>
      <c r="E79" s="128">
        <v>55</v>
      </c>
      <c r="F79" s="141">
        <v>0</v>
      </c>
      <c r="G79" s="142">
        <f t="shared" ref="G79:G87" si="4">E79*F79</f>
        <v>0</v>
      </c>
      <c r="H79" s="1192"/>
      <c r="I79" s="802"/>
    </row>
    <row r="80" spans="1:9" s="179" customFormat="1" ht="18.75" customHeight="1">
      <c r="B80" s="191"/>
      <c r="C80" s="271" t="s">
        <v>486</v>
      </c>
      <c r="D80" s="190" t="s">
        <v>57</v>
      </c>
      <c r="E80" s="128">
        <v>127</v>
      </c>
      <c r="F80" s="141">
        <v>0</v>
      </c>
      <c r="G80" s="142">
        <f>E80*F80</f>
        <v>0</v>
      </c>
      <c r="H80" s="1192"/>
      <c r="I80" s="802"/>
    </row>
    <row r="81" spans="2:12" s="179" customFormat="1" ht="18.75" customHeight="1">
      <c r="B81" s="191"/>
      <c r="C81" s="192" t="s">
        <v>1594</v>
      </c>
      <c r="D81" s="190" t="s">
        <v>57</v>
      </c>
      <c r="E81" s="128">
        <v>20</v>
      </c>
      <c r="F81" s="141">
        <v>0</v>
      </c>
      <c r="G81" s="142">
        <f t="shared" ref="G81:G82" si="5">E81*F81</f>
        <v>0</v>
      </c>
      <c r="H81" s="1192"/>
      <c r="I81" s="802"/>
    </row>
    <row r="82" spans="2:12" s="179" customFormat="1" ht="24">
      <c r="B82" s="191"/>
      <c r="C82" s="192" t="s">
        <v>1595</v>
      </c>
      <c r="D82" s="190" t="s">
        <v>57</v>
      </c>
      <c r="E82" s="128">
        <v>20</v>
      </c>
      <c r="F82" s="141">
        <v>0</v>
      </c>
      <c r="G82" s="142">
        <f t="shared" si="5"/>
        <v>0</v>
      </c>
      <c r="H82" s="1192"/>
      <c r="I82" s="802"/>
    </row>
    <row r="83" spans="2:12" s="166" customFormat="1" ht="40.5" customHeight="1">
      <c r="B83" s="2404" t="s">
        <v>111</v>
      </c>
      <c r="C83" s="193" t="s">
        <v>112</v>
      </c>
      <c r="D83" s="194"/>
      <c r="E83" s="128"/>
      <c r="F83" s="141"/>
      <c r="G83" s="142"/>
      <c r="H83" s="1192"/>
      <c r="I83" s="8"/>
    </row>
    <row r="84" spans="2:12" s="166" customFormat="1">
      <c r="B84" s="2405"/>
      <c r="C84" s="195" t="s">
        <v>113</v>
      </c>
      <c r="D84" s="194" t="s">
        <v>57</v>
      </c>
      <c r="E84" s="128">
        <v>5</v>
      </c>
      <c r="F84" s="141">
        <v>0</v>
      </c>
      <c r="G84" s="142">
        <f t="shared" ref="G84:G86" si="6">E84*F84</f>
        <v>0</v>
      </c>
      <c r="H84" s="1192"/>
      <c r="I84" s="8"/>
    </row>
    <row r="85" spans="2:12" s="166" customFormat="1">
      <c r="B85" s="2405"/>
      <c r="C85" s="195" t="s">
        <v>274</v>
      </c>
      <c r="D85" s="194" t="s">
        <v>57</v>
      </c>
      <c r="E85" s="128">
        <v>9</v>
      </c>
      <c r="F85" s="141">
        <v>0</v>
      </c>
      <c r="G85" s="142">
        <f t="shared" si="6"/>
        <v>0</v>
      </c>
      <c r="H85" s="1192"/>
      <c r="I85" s="8"/>
    </row>
    <row r="86" spans="2:12" s="166" customFormat="1">
      <c r="B86" s="2413"/>
      <c r="C86" s="195" t="s">
        <v>275</v>
      </c>
      <c r="D86" s="194" t="s">
        <v>57</v>
      </c>
      <c r="E86" s="128">
        <v>3</v>
      </c>
      <c r="F86" s="141">
        <v>0</v>
      </c>
      <c r="G86" s="142">
        <f t="shared" si="6"/>
        <v>0</v>
      </c>
      <c r="H86" s="1192"/>
      <c r="I86" s="8"/>
    </row>
    <row r="87" spans="2:12" ht="40.5" customHeight="1">
      <c r="B87" s="196">
        <v>2</v>
      </c>
      <c r="C87" s="197" t="s">
        <v>114</v>
      </c>
      <c r="D87" s="145" t="s">
        <v>57</v>
      </c>
      <c r="E87" s="128">
        <v>222</v>
      </c>
      <c r="F87" s="141">
        <v>0</v>
      </c>
      <c r="G87" s="142">
        <f t="shared" si="4"/>
        <v>0</v>
      </c>
      <c r="H87" s="1192"/>
    </row>
    <row r="88" spans="2:12" ht="41.25" customHeight="1">
      <c r="B88" s="199" t="s">
        <v>115</v>
      </c>
      <c r="C88" s="197" t="s">
        <v>116</v>
      </c>
      <c r="D88" s="145" t="s">
        <v>57</v>
      </c>
      <c r="E88" s="128">
        <v>222</v>
      </c>
      <c r="F88" s="141">
        <v>0</v>
      </c>
      <c r="G88" s="142">
        <f>E88*F88</f>
        <v>0</v>
      </c>
      <c r="H88" s="1192"/>
    </row>
    <row r="89" spans="2:12" ht="27" customHeight="1">
      <c r="B89" s="199" t="s">
        <v>117</v>
      </c>
      <c r="C89" s="197" t="s">
        <v>118</v>
      </c>
      <c r="D89" s="145" t="s">
        <v>57</v>
      </c>
      <c r="E89" s="128">
        <v>222</v>
      </c>
      <c r="F89" s="141">
        <v>0</v>
      </c>
      <c r="G89" s="142">
        <f>E89*F89</f>
        <v>0</v>
      </c>
      <c r="H89" s="1192"/>
    </row>
    <row r="90" spans="2:12" ht="39" customHeight="1">
      <c r="B90" s="199" t="s">
        <v>119</v>
      </c>
      <c r="C90" s="197" t="s">
        <v>120</v>
      </c>
      <c r="D90" s="145" t="s">
        <v>57</v>
      </c>
      <c r="E90" s="128">
        <v>222</v>
      </c>
      <c r="F90" s="141">
        <v>0</v>
      </c>
      <c r="G90" s="142">
        <f>E90*F90</f>
        <v>0</v>
      </c>
      <c r="H90" s="1192"/>
    </row>
    <row r="91" spans="2:12" ht="27.75" customHeight="1">
      <c r="B91" s="188">
        <v>3</v>
      </c>
      <c r="C91" s="200" t="s">
        <v>121</v>
      </c>
      <c r="D91" s="140"/>
      <c r="E91" s="128"/>
      <c r="F91" s="130"/>
      <c r="G91" s="130"/>
      <c r="H91" s="118"/>
    </row>
    <row r="92" spans="2:12">
      <c r="B92" s="201" t="s">
        <v>122</v>
      </c>
      <c r="C92" s="1256" t="s">
        <v>123</v>
      </c>
      <c r="D92" s="209"/>
      <c r="E92" s="204"/>
      <c r="F92" s="205"/>
      <c r="G92" s="206"/>
      <c r="H92" s="118"/>
    </row>
    <row r="93" spans="2:12">
      <c r="B93" s="125"/>
      <c r="C93" s="1256" t="s">
        <v>1596</v>
      </c>
      <c r="D93" s="209"/>
      <c r="E93" s="204"/>
      <c r="F93" s="205"/>
      <c r="G93" s="206"/>
      <c r="H93" s="8"/>
      <c r="I93" s="1268"/>
      <c r="L93" s="217"/>
    </row>
    <row r="94" spans="2:12" ht="18" customHeight="1">
      <c r="B94" s="125"/>
      <c r="C94" s="1227" t="s">
        <v>1597</v>
      </c>
      <c r="D94" s="209" t="s">
        <v>66</v>
      </c>
      <c r="E94" s="204">
        <v>3</v>
      </c>
      <c r="F94" s="210">
        <v>0</v>
      </c>
      <c r="G94" s="211">
        <f t="shared" ref="G94:G98" si="7">E94*F94</f>
        <v>0</v>
      </c>
      <c r="H94" s="8"/>
      <c r="I94" s="1268"/>
      <c r="L94" s="217"/>
    </row>
    <row r="95" spans="2:12" ht="18" customHeight="1">
      <c r="B95" s="125"/>
      <c r="C95" s="1227" t="s">
        <v>1598</v>
      </c>
      <c r="D95" s="209" t="s">
        <v>66</v>
      </c>
      <c r="E95" s="204">
        <v>3</v>
      </c>
      <c r="F95" s="210">
        <v>0</v>
      </c>
      <c r="G95" s="211">
        <f t="shared" si="7"/>
        <v>0</v>
      </c>
      <c r="H95" s="8"/>
      <c r="I95" s="1268"/>
      <c r="L95" s="217"/>
    </row>
    <row r="96" spans="2:12" s="179" customFormat="1" ht="18" customHeight="1">
      <c r="B96" s="207"/>
      <c r="C96" s="1227" t="s">
        <v>1599</v>
      </c>
      <c r="D96" s="209" t="s">
        <v>66</v>
      </c>
      <c r="E96" s="204">
        <v>3</v>
      </c>
      <c r="F96" s="210">
        <v>0</v>
      </c>
      <c r="G96" s="211">
        <f t="shared" si="7"/>
        <v>0</v>
      </c>
      <c r="H96" s="8"/>
      <c r="I96" s="1268"/>
    </row>
    <row r="97" spans="2:9" s="179" customFormat="1" ht="18" customHeight="1">
      <c r="B97" s="207"/>
      <c r="C97" s="1227" t="s">
        <v>1600</v>
      </c>
      <c r="D97" s="209" t="s">
        <v>66</v>
      </c>
      <c r="E97" s="204">
        <v>3</v>
      </c>
      <c r="F97" s="210">
        <v>0</v>
      </c>
      <c r="G97" s="211">
        <f t="shared" si="7"/>
        <v>0</v>
      </c>
      <c r="H97" s="8"/>
      <c r="I97" s="1268"/>
    </row>
    <row r="98" spans="2:9" s="179" customFormat="1" ht="18" customHeight="1">
      <c r="B98" s="207"/>
      <c r="C98" s="1227" t="s">
        <v>1601</v>
      </c>
      <c r="D98" s="209" t="s">
        <v>66</v>
      </c>
      <c r="E98" s="204">
        <v>12</v>
      </c>
      <c r="F98" s="210">
        <v>0</v>
      </c>
      <c r="G98" s="211">
        <f t="shared" si="7"/>
        <v>0</v>
      </c>
      <c r="H98" s="8"/>
      <c r="I98" s="1268"/>
    </row>
    <row r="99" spans="2:9">
      <c r="B99" s="125"/>
      <c r="C99" s="1256" t="s">
        <v>124</v>
      </c>
      <c r="D99" s="209"/>
      <c r="E99" s="204"/>
      <c r="F99" s="205"/>
      <c r="G99" s="206"/>
      <c r="H99" s="8"/>
    </row>
    <row r="100" spans="2:9" s="179" customFormat="1" ht="18" customHeight="1">
      <c r="B100" s="207"/>
      <c r="C100" s="1227" t="s">
        <v>199</v>
      </c>
      <c r="D100" s="209" t="s">
        <v>66</v>
      </c>
      <c r="E100" s="204">
        <v>4</v>
      </c>
      <c r="F100" s="210">
        <v>0</v>
      </c>
      <c r="G100" s="211">
        <f t="shared" ref="G100:G101" si="8">E100*F100</f>
        <v>0</v>
      </c>
      <c r="H100" s="1192"/>
      <c r="I100" s="802"/>
    </row>
    <row r="101" spans="2:9" s="179" customFormat="1" ht="18" customHeight="1">
      <c r="B101" s="207"/>
      <c r="C101" s="1227" t="s">
        <v>217</v>
      </c>
      <c r="D101" s="209" t="s">
        <v>66</v>
      </c>
      <c r="E101" s="204">
        <v>2</v>
      </c>
      <c r="F101" s="210">
        <v>0</v>
      </c>
      <c r="G101" s="211">
        <f t="shared" si="8"/>
        <v>0</v>
      </c>
      <c r="H101" s="1192"/>
      <c r="I101" s="802"/>
    </row>
    <row r="102" spans="2:9" s="217" customFormat="1">
      <c r="B102" s="201" t="s">
        <v>126</v>
      </c>
      <c r="C102" s="223" t="s">
        <v>137</v>
      </c>
      <c r="D102" s="1232"/>
      <c r="E102" s="225"/>
      <c r="F102" s="226"/>
      <c r="G102" s="227"/>
      <c r="H102" s="1192"/>
      <c r="I102" s="8"/>
    </row>
    <row r="103" spans="2:9" s="217" customFormat="1">
      <c r="B103" s="218"/>
      <c r="C103" s="223" t="s">
        <v>1602</v>
      </c>
      <c r="D103" s="1232"/>
      <c r="E103" s="225"/>
      <c r="F103" s="226">
        <v>0</v>
      </c>
      <c r="G103" s="227"/>
      <c r="H103" s="1192"/>
      <c r="I103" s="8"/>
    </row>
    <row r="104" spans="2:9" s="217" customFormat="1">
      <c r="B104" s="218"/>
      <c r="C104" s="228" t="s">
        <v>520</v>
      </c>
      <c r="D104" s="1232" t="s">
        <v>66</v>
      </c>
      <c r="E104" s="225">
        <v>1</v>
      </c>
      <c r="F104" s="229">
        <v>0</v>
      </c>
      <c r="G104" s="230">
        <f t="shared" ref="G104:G117" si="9">E104*F104</f>
        <v>0</v>
      </c>
      <c r="H104" s="1192"/>
      <c r="I104" s="8"/>
    </row>
    <row r="105" spans="2:9" s="217" customFormat="1" ht="12.75" customHeight="1">
      <c r="B105" s="218"/>
      <c r="C105" s="231" t="s">
        <v>140</v>
      </c>
      <c r="D105" s="1232" t="s">
        <v>66</v>
      </c>
      <c r="E105" s="225">
        <v>1</v>
      </c>
      <c r="F105" s="229">
        <v>0</v>
      </c>
      <c r="G105" s="230">
        <f t="shared" si="9"/>
        <v>0</v>
      </c>
      <c r="H105" s="1192"/>
      <c r="I105" s="8"/>
    </row>
    <row r="106" spans="2:9" s="217" customFormat="1" ht="12.75" customHeight="1">
      <c r="B106" s="218"/>
      <c r="C106" s="231" t="s">
        <v>521</v>
      </c>
      <c r="D106" s="1232" t="s">
        <v>66</v>
      </c>
      <c r="E106" s="225">
        <v>2</v>
      </c>
      <c r="F106" s="229">
        <v>0</v>
      </c>
      <c r="G106" s="230">
        <f t="shared" si="9"/>
        <v>0</v>
      </c>
      <c r="H106" s="1192"/>
      <c r="I106" s="8"/>
    </row>
    <row r="107" spans="2:9" s="217" customFormat="1" ht="12.75" customHeight="1">
      <c r="B107" s="218"/>
      <c r="C107" s="231" t="s">
        <v>1603</v>
      </c>
      <c r="D107" s="1232" t="s">
        <v>66</v>
      </c>
      <c r="E107" s="225">
        <v>1</v>
      </c>
      <c r="F107" s="229">
        <v>0</v>
      </c>
      <c r="G107" s="230">
        <f t="shared" si="9"/>
        <v>0</v>
      </c>
      <c r="H107" s="1192"/>
      <c r="I107" s="8"/>
    </row>
    <row r="108" spans="2:9" s="217" customFormat="1" ht="12.75" customHeight="1">
      <c r="B108" s="218"/>
      <c r="C108" s="231" t="s">
        <v>1545</v>
      </c>
      <c r="D108" s="1232" t="s">
        <v>66</v>
      </c>
      <c r="E108" s="225">
        <v>1</v>
      </c>
      <c r="F108" s="229">
        <v>0</v>
      </c>
      <c r="G108" s="230">
        <f t="shared" si="9"/>
        <v>0</v>
      </c>
      <c r="H108" s="1192"/>
      <c r="I108" s="8"/>
    </row>
    <row r="109" spans="2:9" s="217" customFormat="1">
      <c r="B109" s="218"/>
      <c r="C109" s="231" t="s">
        <v>1604</v>
      </c>
      <c r="D109" s="1232" t="s">
        <v>66</v>
      </c>
      <c r="E109" s="225">
        <v>1</v>
      </c>
      <c r="F109" s="229">
        <v>0</v>
      </c>
      <c r="G109" s="230">
        <f t="shared" si="9"/>
        <v>0</v>
      </c>
      <c r="H109" s="1192"/>
      <c r="I109" s="8"/>
    </row>
    <row r="110" spans="2:9" s="217" customFormat="1">
      <c r="B110" s="218"/>
      <c r="C110" s="231" t="s">
        <v>155</v>
      </c>
      <c r="D110" s="1232" t="s">
        <v>66</v>
      </c>
      <c r="E110" s="225">
        <v>1</v>
      </c>
      <c r="F110" s="229">
        <v>0</v>
      </c>
      <c r="G110" s="230">
        <f t="shared" si="9"/>
        <v>0</v>
      </c>
      <c r="H110" s="1192"/>
      <c r="I110" s="8"/>
    </row>
    <row r="111" spans="2:9" s="217" customFormat="1">
      <c r="B111" s="218"/>
      <c r="C111" s="231" t="s">
        <v>142</v>
      </c>
      <c r="D111" s="1232" t="s">
        <v>66</v>
      </c>
      <c r="E111" s="225">
        <v>1</v>
      </c>
      <c r="F111" s="229">
        <v>0</v>
      </c>
      <c r="G111" s="230">
        <f t="shared" si="9"/>
        <v>0</v>
      </c>
      <c r="H111" s="1192"/>
      <c r="I111" s="8"/>
    </row>
    <row r="112" spans="2:9" s="217" customFormat="1">
      <c r="B112" s="218"/>
      <c r="C112" s="231" t="s">
        <v>146</v>
      </c>
      <c r="D112" s="1232" t="s">
        <v>66</v>
      </c>
      <c r="E112" s="225">
        <v>1</v>
      </c>
      <c r="F112" s="229">
        <v>0</v>
      </c>
      <c r="G112" s="230">
        <f t="shared" si="9"/>
        <v>0</v>
      </c>
      <c r="H112" s="1192"/>
      <c r="I112" s="8"/>
    </row>
    <row r="113" spans="2:10" s="217" customFormat="1">
      <c r="B113" s="218"/>
      <c r="C113" s="279" t="s">
        <v>147</v>
      </c>
      <c r="D113" s="1232" t="s">
        <v>66</v>
      </c>
      <c r="E113" s="225">
        <v>2</v>
      </c>
      <c r="F113" s="229">
        <v>0</v>
      </c>
      <c r="G113" s="230">
        <f t="shared" si="9"/>
        <v>0</v>
      </c>
      <c r="H113" s="1192"/>
      <c r="I113" s="8"/>
    </row>
    <row r="114" spans="2:10" s="217" customFormat="1">
      <c r="B114" s="218"/>
      <c r="C114" s="279" t="s">
        <v>499</v>
      </c>
      <c r="D114" s="1232" t="s">
        <v>66</v>
      </c>
      <c r="E114" s="225">
        <v>2</v>
      </c>
      <c r="F114" s="229">
        <v>0</v>
      </c>
      <c r="G114" s="230">
        <f t="shared" si="9"/>
        <v>0</v>
      </c>
      <c r="H114" s="1192"/>
      <c r="I114" s="8"/>
    </row>
    <row r="115" spans="2:10" s="217" customFormat="1">
      <c r="B115" s="218"/>
      <c r="C115" s="279" t="s">
        <v>149</v>
      </c>
      <c r="D115" s="1232" t="s">
        <v>66</v>
      </c>
      <c r="E115" s="225">
        <v>1</v>
      </c>
      <c r="F115" s="229">
        <v>0</v>
      </c>
      <c r="G115" s="230">
        <f t="shared" si="9"/>
        <v>0</v>
      </c>
      <c r="H115" s="1192"/>
      <c r="I115" s="8"/>
    </row>
    <row r="116" spans="2:10" s="217" customFormat="1">
      <c r="B116" s="218"/>
      <c r="C116" s="279" t="s">
        <v>150</v>
      </c>
      <c r="D116" s="1232" t="s">
        <v>66</v>
      </c>
      <c r="E116" s="225">
        <v>1</v>
      </c>
      <c r="F116" s="229">
        <v>0</v>
      </c>
      <c r="G116" s="230">
        <f t="shared" si="9"/>
        <v>0</v>
      </c>
      <c r="H116" s="1192"/>
      <c r="I116" s="8"/>
    </row>
    <row r="117" spans="2:10" s="217" customFormat="1">
      <c r="B117" s="218"/>
      <c r="C117" s="1233" t="s">
        <v>1537</v>
      </c>
      <c r="D117" s="1232" t="s">
        <v>66</v>
      </c>
      <c r="E117" s="225">
        <v>1</v>
      </c>
      <c r="F117" s="229">
        <v>0</v>
      </c>
      <c r="G117" s="230">
        <f t="shared" si="9"/>
        <v>0</v>
      </c>
      <c r="H117" s="1192"/>
      <c r="I117" s="8"/>
    </row>
    <row r="118" spans="2:10" s="217" customFormat="1">
      <c r="B118" s="201" t="s">
        <v>136</v>
      </c>
      <c r="C118" s="223" t="s">
        <v>160</v>
      </c>
      <c r="D118" s="1232"/>
      <c r="E118" s="225"/>
      <c r="F118" s="226"/>
      <c r="G118" s="227"/>
      <c r="H118" s="1192"/>
      <c r="I118" s="8"/>
    </row>
    <row r="119" spans="2:10" s="217" customFormat="1">
      <c r="B119" s="218"/>
      <c r="C119" s="223" t="s">
        <v>1546</v>
      </c>
      <c r="D119" s="1232"/>
      <c r="E119" s="225"/>
      <c r="F119" s="226">
        <v>0</v>
      </c>
      <c r="G119" s="227"/>
      <c r="H119" s="1192"/>
      <c r="I119" s="8"/>
      <c r="J119" s="1226"/>
    </row>
    <row r="120" spans="2:10" s="217" customFormat="1">
      <c r="B120" s="218"/>
      <c r="C120" s="228" t="s">
        <v>1547</v>
      </c>
      <c r="D120" s="1232" t="s">
        <v>66</v>
      </c>
      <c r="E120" s="225">
        <v>2</v>
      </c>
      <c r="F120" s="229">
        <v>0</v>
      </c>
      <c r="G120" s="230">
        <f t="shared" ref="G120:G125" si="10">E120*F120</f>
        <v>0</v>
      </c>
      <c r="H120" s="1192"/>
      <c r="I120" s="8"/>
      <c r="J120" s="1226"/>
    </row>
    <row r="121" spans="2:10" s="217" customFormat="1">
      <c r="B121" s="218"/>
      <c r="C121" s="231" t="s">
        <v>521</v>
      </c>
      <c r="D121" s="1232" t="s">
        <v>66</v>
      </c>
      <c r="E121" s="225">
        <v>4</v>
      </c>
      <c r="F121" s="229">
        <v>0</v>
      </c>
      <c r="G121" s="230">
        <f t="shared" si="10"/>
        <v>0</v>
      </c>
      <c r="H121" s="1192"/>
      <c r="I121" s="8"/>
      <c r="J121" s="1226"/>
    </row>
    <row r="122" spans="2:10" s="217" customFormat="1">
      <c r="B122" s="218"/>
      <c r="C122" s="279" t="s">
        <v>499</v>
      </c>
      <c r="D122" s="1232" t="s">
        <v>66</v>
      </c>
      <c r="E122" s="225">
        <v>8</v>
      </c>
      <c r="F122" s="229">
        <v>0</v>
      </c>
      <c r="G122" s="230">
        <f t="shared" si="10"/>
        <v>0</v>
      </c>
      <c r="H122" s="1192"/>
      <c r="I122" s="8"/>
      <c r="J122" s="1226"/>
    </row>
    <row r="123" spans="2:10" s="217" customFormat="1">
      <c r="B123" s="218"/>
      <c r="C123" s="231" t="s">
        <v>1605</v>
      </c>
      <c r="D123" s="1232" t="s">
        <v>66</v>
      </c>
      <c r="E123" s="225">
        <v>2</v>
      </c>
      <c r="F123" s="229">
        <v>0</v>
      </c>
      <c r="G123" s="230">
        <f t="shared" si="10"/>
        <v>0</v>
      </c>
      <c r="H123" s="1192"/>
      <c r="I123" s="8"/>
      <c r="J123" s="1226"/>
    </row>
    <row r="124" spans="2:10" s="217" customFormat="1">
      <c r="B124" s="218"/>
      <c r="C124" s="279" t="s">
        <v>150</v>
      </c>
      <c r="D124" s="1232" t="s">
        <v>66</v>
      </c>
      <c r="E124" s="225">
        <v>4</v>
      </c>
      <c r="F124" s="229">
        <v>0</v>
      </c>
      <c r="G124" s="230">
        <f t="shared" si="10"/>
        <v>0</v>
      </c>
      <c r="H124" s="1192"/>
      <c r="I124" s="8"/>
      <c r="J124" s="1226"/>
    </row>
    <row r="125" spans="2:10" s="217" customFormat="1">
      <c r="B125" s="218"/>
      <c r="C125" s="1233" t="s">
        <v>1537</v>
      </c>
      <c r="D125" s="1232" t="s">
        <v>66</v>
      </c>
      <c r="E125" s="225">
        <v>4</v>
      </c>
      <c r="F125" s="229">
        <v>0</v>
      </c>
      <c r="G125" s="230">
        <f t="shared" si="10"/>
        <v>0</v>
      </c>
      <c r="H125" s="1192"/>
      <c r="I125" s="8"/>
      <c r="J125" s="1226"/>
    </row>
    <row r="126" spans="2:10" s="217" customFormat="1">
      <c r="B126" s="218"/>
      <c r="C126" s="223" t="s">
        <v>1606</v>
      </c>
      <c r="D126" s="1232"/>
      <c r="E126" s="225"/>
      <c r="F126" s="225"/>
      <c r="G126" s="225"/>
      <c r="H126" s="1192"/>
      <c r="I126" s="8"/>
    </row>
    <row r="127" spans="2:10" s="217" customFormat="1">
      <c r="B127" s="218"/>
      <c r="C127" s="228" t="s">
        <v>1547</v>
      </c>
      <c r="D127" s="1232" t="s">
        <v>66</v>
      </c>
      <c r="E127" s="225">
        <v>1</v>
      </c>
      <c r="F127" s="229">
        <v>0</v>
      </c>
      <c r="G127" s="230">
        <f t="shared" ref="G127:G131" si="11">E127*F127</f>
        <v>0</v>
      </c>
      <c r="H127" s="1192"/>
      <c r="I127" s="8"/>
    </row>
    <row r="128" spans="2:10" s="217" customFormat="1">
      <c r="B128" s="218"/>
      <c r="C128" s="231" t="s">
        <v>521</v>
      </c>
      <c r="D128" s="1232" t="s">
        <v>66</v>
      </c>
      <c r="E128" s="225">
        <v>2</v>
      </c>
      <c r="F128" s="229">
        <v>0</v>
      </c>
      <c r="G128" s="230">
        <f t="shared" si="11"/>
        <v>0</v>
      </c>
      <c r="H128" s="1192"/>
      <c r="I128" s="8"/>
    </row>
    <row r="129" spans="2:11" s="217" customFormat="1">
      <c r="B129" s="218"/>
      <c r="C129" s="279" t="s">
        <v>499</v>
      </c>
      <c r="D129" s="1232" t="s">
        <v>66</v>
      </c>
      <c r="E129" s="225">
        <v>2</v>
      </c>
      <c r="F129" s="229">
        <v>0</v>
      </c>
      <c r="G129" s="230">
        <f t="shared" si="11"/>
        <v>0</v>
      </c>
      <c r="H129" s="1192"/>
      <c r="I129" s="8"/>
    </row>
    <row r="130" spans="2:11" s="217" customFormat="1">
      <c r="B130" s="218"/>
      <c r="C130" s="279" t="s">
        <v>150</v>
      </c>
      <c r="D130" s="1232" t="s">
        <v>66</v>
      </c>
      <c r="E130" s="225">
        <v>2</v>
      </c>
      <c r="F130" s="229">
        <v>0</v>
      </c>
      <c r="G130" s="230">
        <f t="shared" si="11"/>
        <v>0</v>
      </c>
      <c r="H130" s="1192"/>
      <c r="I130" s="8"/>
    </row>
    <row r="131" spans="2:11" s="217" customFormat="1">
      <c r="B131" s="218"/>
      <c r="C131" s="1233" t="s">
        <v>1537</v>
      </c>
      <c r="D131" s="1232" t="s">
        <v>66</v>
      </c>
      <c r="E131" s="225">
        <v>2</v>
      </c>
      <c r="F131" s="229">
        <v>0</v>
      </c>
      <c r="G131" s="230">
        <f t="shared" si="11"/>
        <v>0</v>
      </c>
      <c r="H131" s="1192"/>
      <c r="I131" s="8"/>
    </row>
    <row r="132" spans="2:11" s="217" customFormat="1">
      <c r="B132" s="218"/>
      <c r="C132" s="223" t="s">
        <v>1607</v>
      </c>
      <c r="D132" s="1232"/>
      <c r="E132" s="225"/>
      <c r="F132" s="227"/>
      <c r="G132" s="227"/>
      <c r="H132" s="1192"/>
      <c r="I132" s="8"/>
      <c r="K132" s="1226"/>
    </row>
    <row r="133" spans="2:11" s="217" customFormat="1">
      <c r="B133" s="218"/>
      <c r="C133" s="228" t="s">
        <v>1608</v>
      </c>
      <c r="D133" s="1232" t="s">
        <v>66</v>
      </c>
      <c r="E133" s="225">
        <v>1</v>
      </c>
      <c r="F133" s="229">
        <v>0</v>
      </c>
      <c r="G133" s="230">
        <f t="shared" ref="G133:G139" si="12">E133*F133</f>
        <v>0</v>
      </c>
      <c r="H133" s="1192"/>
      <c r="I133" s="8"/>
    </row>
    <row r="134" spans="2:11" s="217" customFormat="1">
      <c r="B134" s="218"/>
      <c r="C134" s="231" t="s">
        <v>139</v>
      </c>
      <c r="D134" s="1232" t="s">
        <v>66</v>
      </c>
      <c r="E134" s="225">
        <v>1</v>
      </c>
      <c r="F134" s="229">
        <v>0</v>
      </c>
      <c r="G134" s="230">
        <f t="shared" si="12"/>
        <v>0</v>
      </c>
      <c r="H134" s="1192"/>
      <c r="I134" s="8"/>
    </row>
    <row r="135" spans="2:11" s="217" customFormat="1">
      <c r="B135" s="218"/>
      <c r="C135" s="279" t="s">
        <v>499</v>
      </c>
      <c r="D135" s="1232" t="s">
        <v>66</v>
      </c>
      <c r="E135" s="225">
        <v>2</v>
      </c>
      <c r="F135" s="229">
        <v>0</v>
      </c>
      <c r="G135" s="230">
        <f t="shared" si="12"/>
        <v>0</v>
      </c>
      <c r="H135" s="1192"/>
      <c r="I135" s="8"/>
    </row>
    <row r="136" spans="2:11" s="217" customFormat="1">
      <c r="B136" s="218"/>
      <c r="C136" s="279" t="s">
        <v>132</v>
      </c>
      <c r="D136" s="1232" t="s">
        <v>66</v>
      </c>
      <c r="E136" s="225">
        <v>2</v>
      </c>
      <c r="F136" s="229">
        <v>0</v>
      </c>
      <c r="G136" s="230">
        <f t="shared" si="12"/>
        <v>0</v>
      </c>
      <c r="H136" s="1192"/>
      <c r="I136" s="8"/>
    </row>
    <row r="137" spans="2:11" s="217" customFormat="1">
      <c r="B137" s="218"/>
      <c r="C137" s="279" t="s">
        <v>202</v>
      </c>
      <c r="D137" s="1232" t="s">
        <v>66</v>
      </c>
      <c r="E137" s="225">
        <v>4</v>
      </c>
      <c r="F137" s="229">
        <v>0</v>
      </c>
      <c r="G137" s="230">
        <f t="shared" si="12"/>
        <v>0</v>
      </c>
      <c r="H137" s="1192"/>
      <c r="I137" s="8"/>
    </row>
    <row r="138" spans="2:11" s="217" customFormat="1">
      <c r="B138" s="218"/>
      <c r="C138" s="279" t="s">
        <v>150</v>
      </c>
      <c r="D138" s="1232" t="s">
        <v>66</v>
      </c>
      <c r="E138" s="225">
        <v>1</v>
      </c>
      <c r="F138" s="229">
        <v>0</v>
      </c>
      <c r="G138" s="230">
        <f t="shared" si="12"/>
        <v>0</v>
      </c>
      <c r="H138" s="1192"/>
      <c r="I138" s="8"/>
    </row>
    <row r="139" spans="2:11" s="217" customFormat="1">
      <c r="B139" s="218"/>
      <c r="C139" s="1233" t="s">
        <v>1537</v>
      </c>
      <c r="D139" s="1232" t="s">
        <v>66</v>
      </c>
      <c r="E139" s="225">
        <v>1</v>
      </c>
      <c r="F139" s="229">
        <v>0</v>
      </c>
      <c r="G139" s="230">
        <f t="shared" si="12"/>
        <v>0</v>
      </c>
      <c r="H139" s="1192"/>
      <c r="I139" s="8"/>
    </row>
    <row r="140" spans="2:11" s="217" customFormat="1">
      <c r="B140" s="218"/>
      <c r="C140" s="223" t="s">
        <v>196</v>
      </c>
      <c r="D140" s="1232"/>
      <c r="E140" s="225"/>
      <c r="F140" s="227"/>
      <c r="G140" s="227"/>
      <c r="H140" s="1192"/>
      <c r="I140" s="8"/>
      <c r="K140" s="1"/>
    </row>
    <row r="141" spans="2:11" s="1229" customFormat="1">
      <c r="B141" s="218"/>
      <c r="C141" s="228" t="s">
        <v>1575</v>
      </c>
      <c r="D141" s="1232" t="s">
        <v>66</v>
      </c>
      <c r="E141" s="225">
        <v>1</v>
      </c>
      <c r="F141" s="229">
        <v>0</v>
      </c>
      <c r="G141" s="230">
        <f t="shared" ref="G141:G147" si="13">E141*F141</f>
        <v>0</v>
      </c>
      <c r="H141" s="1258"/>
      <c r="I141" s="267"/>
    </row>
    <row r="142" spans="2:11" s="217" customFormat="1">
      <c r="B142" s="218"/>
      <c r="C142" s="279" t="s">
        <v>132</v>
      </c>
      <c r="D142" s="1232" t="s">
        <v>66</v>
      </c>
      <c r="E142" s="225">
        <v>1</v>
      </c>
      <c r="F142" s="229">
        <v>0</v>
      </c>
      <c r="G142" s="230">
        <f t="shared" si="13"/>
        <v>0</v>
      </c>
      <c r="H142" s="1192"/>
      <c r="I142" s="8"/>
    </row>
    <row r="143" spans="2:11" s="217" customFormat="1">
      <c r="B143" s="218"/>
      <c r="C143" s="279" t="s">
        <v>202</v>
      </c>
      <c r="D143" s="1232" t="s">
        <v>66</v>
      </c>
      <c r="E143" s="225">
        <v>1</v>
      </c>
      <c r="F143" s="229">
        <v>0</v>
      </c>
      <c r="G143" s="230">
        <f t="shared" si="13"/>
        <v>0</v>
      </c>
      <c r="H143" s="1192"/>
      <c r="I143" s="8"/>
    </row>
    <row r="144" spans="2:11" s="217" customFormat="1">
      <c r="B144" s="218"/>
      <c r="C144" s="279" t="s">
        <v>139</v>
      </c>
      <c r="D144" s="1232" t="s">
        <v>66</v>
      </c>
      <c r="E144" s="225">
        <v>1</v>
      </c>
      <c r="F144" s="229">
        <v>0</v>
      </c>
      <c r="G144" s="230">
        <f t="shared" si="13"/>
        <v>0</v>
      </c>
      <c r="H144" s="1192"/>
      <c r="I144" s="8"/>
    </row>
    <row r="145" spans="2:11" s="217" customFormat="1">
      <c r="B145" s="218"/>
      <c r="C145" s="279" t="s">
        <v>1574</v>
      </c>
      <c r="D145" s="1232" t="s">
        <v>66</v>
      </c>
      <c r="E145" s="225">
        <v>2</v>
      </c>
      <c r="F145" s="229">
        <v>0</v>
      </c>
      <c r="G145" s="230">
        <f t="shared" si="13"/>
        <v>0</v>
      </c>
      <c r="H145" s="1192"/>
      <c r="I145" s="8"/>
    </row>
    <row r="146" spans="2:11" s="217" customFormat="1">
      <c r="B146" s="218"/>
      <c r="C146" s="279" t="s">
        <v>150</v>
      </c>
      <c r="D146" s="1232" t="s">
        <v>66</v>
      </c>
      <c r="E146" s="225">
        <v>1</v>
      </c>
      <c r="F146" s="229">
        <v>0</v>
      </c>
      <c r="G146" s="230">
        <f t="shared" si="13"/>
        <v>0</v>
      </c>
      <c r="H146" s="1192"/>
      <c r="I146" s="8"/>
    </row>
    <row r="147" spans="2:11" s="217" customFormat="1">
      <c r="B147" s="218"/>
      <c r="C147" s="1233" t="s">
        <v>1537</v>
      </c>
      <c r="D147" s="1232" t="s">
        <v>66</v>
      </c>
      <c r="E147" s="225">
        <v>1</v>
      </c>
      <c r="F147" s="229">
        <v>0</v>
      </c>
      <c r="G147" s="230">
        <f t="shared" si="13"/>
        <v>0</v>
      </c>
      <c r="H147" s="1192"/>
      <c r="I147" s="8"/>
    </row>
    <row r="148" spans="2:11" s="217" customFormat="1">
      <c r="B148" s="218"/>
      <c r="C148" s="223" t="s">
        <v>228</v>
      </c>
      <c r="D148" s="1232"/>
      <c r="E148" s="225"/>
      <c r="F148" s="227"/>
      <c r="G148" s="227"/>
      <c r="H148" s="1192"/>
      <c r="I148" s="8"/>
      <c r="K148" s="1"/>
    </row>
    <row r="149" spans="2:11" s="1229" customFormat="1" ht="26.25" customHeight="1">
      <c r="B149" s="218"/>
      <c r="C149" s="228" t="s">
        <v>2066</v>
      </c>
      <c r="D149" s="1232" t="s">
        <v>66</v>
      </c>
      <c r="E149" s="225">
        <v>1</v>
      </c>
      <c r="F149" s="229">
        <v>0</v>
      </c>
      <c r="G149" s="230">
        <f t="shared" ref="G149:G157" si="14">E149*F149</f>
        <v>0</v>
      </c>
      <c r="H149" s="1258"/>
      <c r="I149" s="267"/>
    </row>
    <row r="150" spans="2:11" s="217" customFormat="1">
      <c r="B150" s="218"/>
      <c r="C150" s="279" t="s">
        <v>132</v>
      </c>
      <c r="D150" s="1232" t="s">
        <v>66</v>
      </c>
      <c r="E150" s="225">
        <v>2</v>
      </c>
      <c r="F150" s="229">
        <v>0</v>
      </c>
      <c r="G150" s="230">
        <f t="shared" si="14"/>
        <v>0</v>
      </c>
      <c r="H150" s="1192"/>
      <c r="I150" s="8"/>
    </row>
    <row r="151" spans="2:11" s="217" customFormat="1">
      <c r="B151" s="218"/>
      <c r="C151" s="279" t="s">
        <v>166</v>
      </c>
      <c r="D151" s="1232" t="s">
        <v>66</v>
      </c>
      <c r="E151" s="225">
        <v>1</v>
      </c>
      <c r="F151" s="229">
        <v>0</v>
      </c>
      <c r="G151" s="230">
        <f t="shared" si="14"/>
        <v>0</v>
      </c>
      <c r="H151" s="1192"/>
      <c r="I151" s="8"/>
    </row>
    <row r="152" spans="2:11" s="217" customFormat="1">
      <c r="B152" s="218"/>
      <c r="C152" s="279" t="s">
        <v>202</v>
      </c>
      <c r="D152" s="1232" t="s">
        <v>66</v>
      </c>
      <c r="E152" s="225">
        <v>2</v>
      </c>
      <c r="F152" s="229">
        <v>0</v>
      </c>
      <c r="G152" s="230">
        <f t="shared" si="14"/>
        <v>0</v>
      </c>
      <c r="H152" s="1192"/>
      <c r="I152" s="8"/>
    </row>
    <row r="153" spans="2:11" s="217" customFormat="1">
      <c r="B153" s="218"/>
      <c r="C153" s="279" t="s">
        <v>203</v>
      </c>
      <c r="D153" s="1232" t="s">
        <v>66</v>
      </c>
      <c r="E153" s="225">
        <v>1</v>
      </c>
      <c r="F153" s="229">
        <v>0</v>
      </c>
      <c r="G153" s="230">
        <f t="shared" si="14"/>
        <v>0</v>
      </c>
      <c r="H153" s="1192"/>
      <c r="I153" s="8"/>
    </row>
    <row r="154" spans="2:11" s="217" customFormat="1">
      <c r="B154" s="218"/>
      <c r="C154" s="279" t="s">
        <v>1541</v>
      </c>
      <c r="D154" s="1232" t="s">
        <v>66</v>
      </c>
      <c r="E154" s="225">
        <v>1</v>
      </c>
      <c r="F154" s="229">
        <v>0</v>
      </c>
      <c r="G154" s="230">
        <f t="shared" si="14"/>
        <v>0</v>
      </c>
      <c r="H154" s="1192"/>
      <c r="I154" s="8"/>
    </row>
    <row r="155" spans="2:11" s="217" customFormat="1">
      <c r="B155" s="218"/>
      <c r="C155" s="279" t="s">
        <v>1542</v>
      </c>
      <c r="D155" s="1232" t="s">
        <v>66</v>
      </c>
      <c r="E155" s="225">
        <v>1</v>
      </c>
      <c r="F155" s="229">
        <v>0</v>
      </c>
      <c r="G155" s="230">
        <f t="shared" si="14"/>
        <v>0</v>
      </c>
      <c r="H155" s="1192"/>
      <c r="I155" s="8"/>
    </row>
    <row r="156" spans="2:11" s="217" customFormat="1">
      <c r="B156" s="218"/>
      <c r="C156" s="279" t="s">
        <v>150</v>
      </c>
      <c r="D156" s="1232" t="s">
        <v>66</v>
      </c>
      <c r="E156" s="225">
        <v>1</v>
      </c>
      <c r="F156" s="229">
        <v>0</v>
      </c>
      <c r="G156" s="230">
        <f t="shared" si="14"/>
        <v>0</v>
      </c>
      <c r="H156" s="1192"/>
      <c r="I156" s="8"/>
    </row>
    <row r="157" spans="2:11" s="217" customFormat="1">
      <c r="B157" s="218"/>
      <c r="C157" s="1233" t="s">
        <v>1537</v>
      </c>
      <c r="D157" s="1232" t="s">
        <v>66</v>
      </c>
      <c r="E157" s="225">
        <v>1</v>
      </c>
      <c r="F157" s="229">
        <v>0</v>
      </c>
      <c r="G157" s="230">
        <f t="shared" si="14"/>
        <v>0</v>
      </c>
      <c r="H157" s="1192"/>
      <c r="I157" s="8"/>
    </row>
    <row r="158" spans="2:11" s="217" customFormat="1">
      <c r="B158" s="201" t="s">
        <v>151</v>
      </c>
      <c r="C158" s="238" t="s">
        <v>169</v>
      </c>
      <c r="D158" s="260"/>
      <c r="E158" s="240"/>
      <c r="F158" s="241"/>
      <c r="G158" s="242"/>
      <c r="H158" s="8"/>
    </row>
    <row r="159" spans="2:11" s="217" customFormat="1">
      <c r="B159" s="218"/>
      <c r="C159" s="238" t="s">
        <v>1609</v>
      </c>
      <c r="D159" s="260"/>
      <c r="E159" s="240"/>
      <c r="F159" s="241">
        <v>0</v>
      </c>
      <c r="G159" s="242"/>
      <c r="H159" s="8"/>
    </row>
    <row r="160" spans="2:11" s="217" customFormat="1" ht="37.5" customHeight="1">
      <c r="B160" s="218"/>
      <c r="C160" s="243" t="s">
        <v>2086</v>
      </c>
      <c r="D160" s="260" t="s">
        <v>66</v>
      </c>
      <c r="E160" s="240">
        <v>1</v>
      </c>
      <c r="F160" s="244">
        <v>0</v>
      </c>
      <c r="G160" s="245">
        <f t="shared" ref="G160:G162" si="15">E160*F160</f>
        <v>0</v>
      </c>
      <c r="H160" s="8"/>
    </row>
    <row r="161" spans="2:10" s="217" customFormat="1">
      <c r="B161" s="218"/>
      <c r="C161" s="109" t="s">
        <v>171</v>
      </c>
      <c r="D161" s="260" t="s">
        <v>66</v>
      </c>
      <c r="E161" s="240">
        <v>1</v>
      </c>
      <c r="F161" s="244">
        <v>0</v>
      </c>
      <c r="G161" s="245">
        <f t="shared" si="15"/>
        <v>0</v>
      </c>
      <c r="H161" s="8"/>
    </row>
    <row r="162" spans="2:10" s="217" customFormat="1">
      <c r="B162" s="218"/>
      <c r="C162" s="1237" t="s">
        <v>342</v>
      </c>
      <c r="D162" s="260" t="s">
        <v>66</v>
      </c>
      <c r="E162" s="240">
        <v>1</v>
      </c>
      <c r="F162" s="244">
        <v>0</v>
      </c>
      <c r="G162" s="245">
        <f t="shared" si="15"/>
        <v>0</v>
      </c>
      <c r="H162" s="8"/>
    </row>
    <row r="163" spans="2:10" s="179" customFormat="1" ht="16.5" customHeight="1">
      <c r="B163" s="258" t="s">
        <v>47</v>
      </c>
      <c r="C163" s="259" t="s">
        <v>175</v>
      </c>
      <c r="D163" s="260"/>
      <c r="E163" s="261"/>
      <c r="F163" s="262"/>
      <c r="G163" s="263">
        <f>SUM(G78:G162)</f>
        <v>0</v>
      </c>
      <c r="H163" s="1192"/>
      <c r="I163" s="802"/>
    </row>
    <row r="167" spans="2:10">
      <c r="J167" s="270"/>
    </row>
  </sheetData>
  <mergeCells count="6">
    <mergeCell ref="B83:B86"/>
    <mergeCell ref="B41:G41"/>
    <mergeCell ref="B54:B58"/>
    <mergeCell ref="B75:G75"/>
    <mergeCell ref="B76:G76"/>
    <mergeCell ref="B77:G77"/>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6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6920-E76A-4E57-98E7-95BDADB876C3}">
  <sheetPr>
    <tabColor theme="9" tint="-0.249977111117893"/>
  </sheetPr>
  <dimension ref="A1:AO280"/>
  <sheetViews>
    <sheetView showZeros="0" topLeftCell="A26" workbookViewId="0">
      <selection activeCell="B28" sqref="B28:B36"/>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1.28515625" style="8" bestFit="1" customWidth="1"/>
    <col min="9" max="9" width="8.140625" style="1" customWidth="1"/>
    <col min="10" max="10" width="5.85546875" style="1" customWidth="1"/>
    <col min="11" max="11" width="10.42578125" style="1"/>
    <col min="12" max="12" width="6.28515625" style="1" customWidth="1"/>
    <col min="13" max="13" width="6.140625" style="1" customWidth="1"/>
    <col min="14" max="14" width="14.7109375" style="1" customWidth="1"/>
    <col min="15" max="15" width="7.140625" style="1" customWidth="1"/>
    <col min="16" max="16" width="9.5703125" style="1" customWidth="1"/>
    <col min="17" max="17" width="14.85546875" style="1" customWidth="1"/>
    <col min="18" max="18" width="7.7109375" style="1" customWidth="1"/>
    <col min="19" max="19" width="14.7109375" style="1" customWidth="1"/>
    <col min="20" max="20" width="10.42578125" style="1"/>
    <col min="21" max="21" width="7.42578125" style="1" customWidth="1"/>
    <col min="22" max="22" width="7.28515625" style="1" customWidth="1"/>
    <col min="23" max="23" width="7.5703125" style="1" customWidth="1"/>
    <col min="24" max="24" width="7.85546875" style="1" customWidth="1"/>
    <col min="25" max="25" width="10" style="1" customWidth="1"/>
    <col min="26" max="26" width="7.5703125" style="1" customWidth="1"/>
    <col min="27" max="27" width="7.7109375" style="1" customWidth="1"/>
    <col min="28" max="28" width="12.140625" style="1" customWidth="1"/>
    <col min="29" max="29" width="7.7109375" style="1" customWidth="1"/>
    <col min="30" max="30" width="7.5703125" style="1" customWidth="1"/>
    <col min="31" max="31" width="7.42578125" style="1" customWidth="1"/>
    <col min="32" max="32" width="8" style="1" customWidth="1"/>
    <col min="33" max="33" width="7.42578125" style="1" customWidth="1"/>
    <col min="34" max="34" width="12.85546875" style="1" customWidth="1"/>
    <col min="35" max="35" width="7.5703125" style="1" customWidth="1"/>
    <col min="36" max="36" width="7.85546875" style="1" customWidth="1"/>
    <col min="37" max="37" width="7.5703125" style="1" customWidth="1"/>
    <col min="38" max="38" width="7.7109375" style="1" customWidth="1"/>
    <col min="39" max="40" width="7.85546875" style="1" customWidth="1"/>
    <col min="41" max="41" width="7.42578125" style="1" customWidth="1"/>
    <col min="42"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1" spans="1:29" ht="16.5" customHeight="1">
      <c r="B1" s="2"/>
      <c r="C1" s="3" t="s">
        <v>0</v>
      </c>
      <c r="D1" s="4"/>
      <c r="E1" s="5"/>
      <c r="F1" s="6"/>
      <c r="G1" s="672" t="s">
        <v>1</v>
      </c>
      <c r="H1" s="938"/>
    </row>
    <row r="3" spans="1:29" s="73" customFormat="1" ht="15">
      <c r="B3" s="74" t="s">
        <v>35</v>
      </c>
      <c r="C3" s="75" t="s">
        <v>9</v>
      </c>
      <c r="D3" s="1175"/>
      <c r="E3" s="77"/>
      <c r="F3" s="78"/>
      <c r="G3" s="79"/>
      <c r="H3" s="37"/>
    </row>
    <row r="4" spans="1:29" s="73" customFormat="1" ht="12" customHeight="1">
      <c r="B4" s="80"/>
      <c r="C4" s="81"/>
      <c r="D4" s="1176"/>
      <c r="E4" s="83"/>
      <c r="F4" s="84"/>
      <c r="G4" s="85"/>
      <c r="H4" s="37"/>
    </row>
    <row r="5" spans="1:29" s="86" customFormat="1" ht="14.25">
      <c r="B5" s="74" t="s">
        <v>37</v>
      </c>
      <c r="C5" s="75" t="s">
        <v>1610</v>
      </c>
      <c r="D5" s="1175"/>
      <c r="E5" s="77"/>
      <c r="F5" s="78"/>
      <c r="G5" s="79"/>
      <c r="H5" s="27"/>
      <c r="I5" s="87"/>
      <c r="J5" s="87"/>
      <c r="K5" s="87"/>
      <c r="L5" s="87"/>
    </row>
    <row r="6" spans="1:29" s="86" customFormat="1" ht="14.25">
      <c r="B6" s="80"/>
      <c r="C6" s="81"/>
      <c r="D6" s="1176"/>
      <c r="E6" s="83"/>
      <c r="F6" s="84"/>
      <c r="G6" s="88"/>
      <c r="H6" s="27"/>
      <c r="I6" s="87"/>
      <c r="J6" s="87"/>
      <c r="K6" s="87"/>
      <c r="L6" s="87"/>
    </row>
    <row r="7" spans="1:29" s="14" customFormat="1" ht="18" customHeight="1">
      <c r="A7" s="9"/>
      <c r="B7" s="10" t="s">
        <v>38</v>
      </c>
      <c r="C7" s="11"/>
      <c r="D7" s="1177"/>
      <c r="E7" s="12"/>
      <c r="F7" s="12"/>
      <c r="G7" s="13"/>
    </row>
    <row r="8" spans="1:29" s="14" customFormat="1" ht="18" customHeight="1">
      <c r="A8" s="15"/>
      <c r="B8" s="16" t="s">
        <v>39</v>
      </c>
      <c r="C8" s="17"/>
      <c r="D8" s="1179"/>
      <c r="E8" s="19"/>
      <c r="F8" s="19"/>
      <c r="G8" s="18"/>
    </row>
    <row r="9" spans="1:29" s="14" customFormat="1" ht="18" customHeight="1">
      <c r="A9" s="9"/>
      <c r="B9" s="10" t="s">
        <v>4</v>
      </c>
      <c r="C9" s="11"/>
      <c r="D9" s="1180"/>
      <c r="E9" s="12"/>
      <c r="F9" s="12"/>
      <c r="G9" s="13"/>
    </row>
    <row r="10" spans="1:29" s="14" customFormat="1" ht="18" customHeight="1">
      <c r="A10" s="15"/>
      <c r="B10" s="16" t="s">
        <v>5</v>
      </c>
      <c r="C10" s="17"/>
      <c r="D10" s="1181"/>
      <c r="E10" s="19"/>
      <c r="F10" s="19"/>
      <c r="G10" s="18"/>
    </row>
    <row r="11" spans="1:29" s="86" customFormat="1" ht="14.25">
      <c r="B11" s="89"/>
      <c r="C11" s="90"/>
      <c r="D11" s="1182"/>
      <c r="E11" s="92"/>
      <c r="F11" s="93"/>
      <c r="G11" s="94"/>
      <c r="H11" s="27"/>
      <c r="I11" s="87"/>
      <c r="J11" s="87"/>
      <c r="K11" s="87"/>
      <c r="L11" s="87"/>
    </row>
    <row r="12" spans="1:29" s="86" customFormat="1" ht="14.25">
      <c r="B12" s="95"/>
      <c r="C12" s="96" t="s">
        <v>40</v>
      </c>
      <c r="D12" s="1183"/>
      <c r="E12" s="98"/>
      <c r="F12" s="99"/>
      <c r="G12" s="100"/>
      <c r="H12" s="27"/>
      <c r="I12" s="87"/>
      <c r="J12" s="87"/>
      <c r="K12" s="87"/>
      <c r="L12" s="87"/>
    </row>
    <row r="13" spans="1:29" s="101" customFormat="1" ht="15">
      <c r="B13" s="95" t="s">
        <v>41</v>
      </c>
      <c r="C13" s="102" t="s">
        <v>42</v>
      </c>
      <c r="D13" s="118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185"/>
      <c r="E14" s="110"/>
      <c r="F14" s="111"/>
      <c r="G14" s="112">
        <f>G37</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185"/>
      <c r="E15" s="110"/>
      <c r="F15" s="111"/>
      <c r="G15" s="112">
        <f>G96</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185"/>
      <c r="E16" s="110"/>
      <c r="F16" s="111"/>
      <c r="G16" s="112">
        <f>G280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87"/>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c r="B20" s="119" t="s">
        <v>50</v>
      </c>
      <c r="C20" s="120" t="s">
        <v>51</v>
      </c>
      <c r="D20" s="120" t="s">
        <v>52</v>
      </c>
      <c r="E20" s="122" t="s">
        <v>53</v>
      </c>
      <c r="F20" s="123" t="s">
        <v>54</v>
      </c>
      <c r="G20" s="124" t="s">
        <v>55</v>
      </c>
    </row>
    <row r="21" spans="2:29">
      <c r="B21" s="125"/>
      <c r="C21" s="126"/>
      <c r="D21" s="140"/>
      <c r="E21" s="128"/>
      <c r="F21" s="129"/>
      <c r="G21" s="130"/>
    </row>
    <row r="22" spans="2:29" s="138" customFormat="1" ht="20.25">
      <c r="B22" s="131" t="s">
        <v>43</v>
      </c>
      <c r="C22" s="132" t="s">
        <v>44</v>
      </c>
      <c r="D22" s="165"/>
      <c r="E22" s="134"/>
      <c r="F22" s="135"/>
      <c r="G22" s="136"/>
      <c r="H22" s="137"/>
    </row>
    <row r="23" spans="2:29" ht="24">
      <c r="B23" s="125">
        <v>1</v>
      </c>
      <c r="C23" s="139" t="s">
        <v>56</v>
      </c>
      <c r="D23" s="140" t="s">
        <v>57</v>
      </c>
      <c r="E23" s="198">
        <v>1109</v>
      </c>
      <c r="F23" s="1191">
        <v>0</v>
      </c>
      <c r="G23" s="1083">
        <f t="shared" ref="G23" si="0">E23*F23</f>
        <v>0</v>
      </c>
    </row>
    <row r="24" spans="2:29">
      <c r="B24" s="125">
        <v>2</v>
      </c>
      <c r="C24" s="139" t="s">
        <v>58</v>
      </c>
      <c r="D24" s="140" t="s">
        <v>57</v>
      </c>
      <c r="E24" s="198">
        <v>1109</v>
      </c>
      <c r="F24" s="1191">
        <v>0</v>
      </c>
      <c r="G24" s="1083">
        <f>E24*F24</f>
        <v>0</v>
      </c>
    </row>
    <row r="25" spans="2:29" ht="48">
      <c r="B25" s="125">
        <v>3</v>
      </c>
      <c r="C25" s="139" t="s">
        <v>59</v>
      </c>
      <c r="D25" s="140" t="s">
        <v>60</v>
      </c>
      <c r="E25" s="198">
        <v>1</v>
      </c>
      <c r="F25" s="1191">
        <v>0</v>
      </c>
      <c r="G25" s="1083">
        <f t="shared" ref="G25:G36" si="1">E25*F25</f>
        <v>0</v>
      </c>
      <c r="H25" s="143"/>
    </row>
    <row r="26" spans="2:29" ht="48">
      <c r="B26" s="125">
        <v>4</v>
      </c>
      <c r="C26" s="139" t="s">
        <v>1611</v>
      </c>
      <c r="D26" s="140" t="s">
        <v>60</v>
      </c>
      <c r="E26" s="198">
        <v>1</v>
      </c>
      <c r="F26" s="1191">
        <v>0</v>
      </c>
      <c r="G26" s="1083">
        <f t="shared" si="1"/>
        <v>0</v>
      </c>
      <c r="H26" s="143"/>
    </row>
    <row r="27" spans="2:29" ht="132">
      <c r="B27" s="125">
        <v>5</v>
      </c>
      <c r="C27" s="144" t="s">
        <v>61</v>
      </c>
      <c r="D27" s="145" t="s">
        <v>60</v>
      </c>
      <c r="E27" s="198">
        <v>1</v>
      </c>
      <c r="F27" s="1191">
        <v>0</v>
      </c>
      <c r="G27" s="1083">
        <f t="shared" si="1"/>
        <v>0</v>
      </c>
    </row>
    <row r="28" spans="2:29" ht="24">
      <c r="B28" s="125">
        <v>6</v>
      </c>
      <c r="C28" s="144" t="s">
        <v>62</v>
      </c>
      <c r="D28" s="146" t="s">
        <v>60</v>
      </c>
      <c r="E28" s="198">
        <v>1</v>
      </c>
      <c r="F28" s="1191">
        <v>0</v>
      </c>
      <c r="G28" s="1083">
        <f t="shared" si="1"/>
        <v>0</v>
      </c>
    </row>
    <row r="29" spans="2:29" ht="24">
      <c r="B29" s="125">
        <v>7</v>
      </c>
      <c r="C29" s="1080" t="s">
        <v>63</v>
      </c>
      <c r="D29" s="140" t="s">
        <v>57</v>
      </c>
      <c r="E29" s="198">
        <v>1109</v>
      </c>
      <c r="F29" s="1191">
        <v>0</v>
      </c>
      <c r="G29" s="1083">
        <f t="shared" si="1"/>
        <v>0</v>
      </c>
    </row>
    <row r="30" spans="2:29" ht="48">
      <c r="B30" s="125">
        <v>8</v>
      </c>
      <c r="C30" s="1080" t="s">
        <v>64</v>
      </c>
      <c r="D30" s="146" t="s">
        <v>60</v>
      </c>
      <c r="E30" s="198">
        <v>1</v>
      </c>
      <c r="F30" s="1191">
        <v>0</v>
      </c>
      <c r="G30" s="1083">
        <f t="shared" si="1"/>
        <v>0</v>
      </c>
    </row>
    <row r="31" spans="2:29" ht="48">
      <c r="B31" s="125">
        <v>9</v>
      </c>
      <c r="C31" s="1080" t="s">
        <v>2292</v>
      </c>
      <c r="D31" s="275" t="s">
        <v>66</v>
      </c>
      <c r="E31" s="173">
        <v>10</v>
      </c>
      <c r="F31" s="1191">
        <v>0</v>
      </c>
      <c r="G31" s="175">
        <f t="shared" si="1"/>
        <v>0</v>
      </c>
    </row>
    <row r="32" spans="2:29" ht="36">
      <c r="B32" s="125">
        <v>10</v>
      </c>
      <c r="C32" s="1080" t="s">
        <v>2294</v>
      </c>
      <c r="D32" s="146" t="s">
        <v>57</v>
      </c>
      <c r="E32" s="198">
        <v>1120</v>
      </c>
      <c r="F32" s="1191">
        <v>0</v>
      </c>
      <c r="G32" s="1083">
        <f t="shared" si="1"/>
        <v>0</v>
      </c>
      <c r="H32" s="143"/>
    </row>
    <row r="33" spans="2:12" ht="24">
      <c r="B33" s="125">
        <v>11</v>
      </c>
      <c r="C33" s="1080" t="s">
        <v>2293</v>
      </c>
      <c r="D33" s="146" t="s">
        <v>57</v>
      </c>
      <c r="E33" s="198">
        <v>1120</v>
      </c>
      <c r="F33" s="1191">
        <v>0</v>
      </c>
      <c r="G33" s="1083">
        <f t="shared" si="1"/>
        <v>0</v>
      </c>
    </row>
    <row r="34" spans="2:12">
      <c r="B34" s="125">
        <v>12</v>
      </c>
      <c r="C34" s="1080" t="s">
        <v>67</v>
      </c>
      <c r="D34" s="146" t="s">
        <v>60</v>
      </c>
      <c r="E34" s="198">
        <v>1</v>
      </c>
      <c r="F34" s="1191">
        <v>0</v>
      </c>
      <c r="G34" s="1083">
        <f t="shared" si="1"/>
        <v>0</v>
      </c>
    </row>
    <row r="35" spans="2:12" ht="36">
      <c r="B35" s="125">
        <v>13</v>
      </c>
      <c r="C35" s="148" t="s">
        <v>68</v>
      </c>
      <c r="D35" s="146" t="s">
        <v>60</v>
      </c>
      <c r="E35" s="1199">
        <v>1</v>
      </c>
      <c r="F35" s="1191">
        <v>0</v>
      </c>
      <c r="G35" s="1083">
        <f t="shared" si="1"/>
        <v>0</v>
      </c>
    </row>
    <row r="36" spans="2:12" ht="36">
      <c r="B36" s="125">
        <v>14</v>
      </c>
      <c r="C36" s="150" t="s">
        <v>69</v>
      </c>
      <c r="D36" s="146" t="s">
        <v>60</v>
      </c>
      <c r="E36" s="1199">
        <v>1</v>
      </c>
      <c r="F36" s="1191">
        <v>0</v>
      </c>
      <c r="G36" s="1083">
        <f t="shared" si="1"/>
        <v>0</v>
      </c>
      <c r="H36" s="143"/>
    </row>
    <row r="37" spans="2:12">
      <c r="B37" s="151" t="s">
        <v>43</v>
      </c>
      <c r="C37" s="152" t="s">
        <v>70</v>
      </c>
      <c r="D37" s="185"/>
      <c r="E37" s="741"/>
      <c r="F37" s="1122"/>
      <c r="G37" s="263">
        <f>SUM(G23:G36)</f>
        <v>0</v>
      </c>
    </row>
    <row r="38" spans="2:12">
      <c r="B38" s="125"/>
      <c r="C38" s="126"/>
      <c r="D38" s="140"/>
      <c r="E38" s="128"/>
      <c r="F38" s="129"/>
      <c r="G38" s="130"/>
    </row>
    <row r="39" spans="2:12">
      <c r="B39" s="1202" t="s">
        <v>50</v>
      </c>
      <c r="C39" s="1203" t="s">
        <v>51</v>
      </c>
      <c r="D39" s="1203" t="s">
        <v>52</v>
      </c>
      <c r="E39" s="1204" t="s">
        <v>53</v>
      </c>
      <c r="F39" s="1205" t="s">
        <v>54</v>
      </c>
      <c r="G39" s="1206" t="s">
        <v>55</v>
      </c>
    </row>
    <row r="40" spans="2:12">
      <c r="B40" s="125"/>
      <c r="C40" s="163"/>
      <c r="D40" s="140"/>
      <c r="E40" s="128"/>
      <c r="F40" s="129"/>
      <c r="G40" s="130"/>
    </row>
    <row r="41" spans="2:12" s="138" customFormat="1" ht="20.25">
      <c r="B41" s="131" t="s">
        <v>45</v>
      </c>
      <c r="C41" s="164" t="s">
        <v>71</v>
      </c>
      <c r="D41" s="165"/>
      <c r="E41" s="134"/>
      <c r="F41" s="135"/>
      <c r="G41" s="136"/>
      <c r="H41" s="137"/>
    </row>
    <row r="42" spans="2:12" s="166" customFormat="1" ht="71.25" customHeight="1">
      <c r="B42" s="2399" t="s">
        <v>72</v>
      </c>
      <c r="C42" s="2400"/>
      <c r="D42" s="2400"/>
      <c r="E42" s="2400"/>
      <c r="F42" s="2400"/>
      <c r="G42" s="2401"/>
      <c r="H42" s="8"/>
    </row>
    <row r="43" spans="2:12" ht="24">
      <c r="B43" s="167">
        <v>1</v>
      </c>
      <c r="C43" s="139" t="s">
        <v>73</v>
      </c>
      <c r="D43" s="140" t="s">
        <v>74</v>
      </c>
      <c r="E43" s="128">
        <v>25</v>
      </c>
      <c r="F43" s="141">
        <v>0</v>
      </c>
      <c r="G43" s="142">
        <f t="shared" ref="G43:G76" si="2">E43*F43</f>
        <v>0</v>
      </c>
      <c r="I43" s="266"/>
    </row>
    <row r="44" spans="2:12" ht="36">
      <c r="B44" s="167">
        <v>2</v>
      </c>
      <c r="C44" s="139" t="s">
        <v>1499</v>
      </c>
      <c r="D44" s="145" t="s">
        <v>74</v>
      </c>
      <c r="E44" s="128">
        <v>30</v>
      </c>
      <c r="F44" s="141">
        <v>0</v>
      </c>
      <c r="G44" s="142">
        <f t="shared" si="2"/>
        <v>0</v>
      </c>
      <c r="I44" s="266"/>
    </row>
    <row r="45" spans="2:12" ht="36">
      <c r="B45" s="167">
        <v>3</v>
      </c>
      <c r="C45" s="139" t="s">
        <v>1500</v>
      </c>
      <c r="D45" s="145" t="s">
        <v>74</v>
      </c>
      <c r="E45" s="128">
        <v>1470</v>
      </c>
      <c r="F45" s="141">
        <v>0</v>
      </c>
      <c r="G45" s="142">
        <f t="shared" si="2"/>
        <v>0</v>
      </c>
      <c r="I45" s="1209"/>
      <c r="K45" s="270"/>
      <c r="L45" s="270"/>
    </row>
    <row r="46" spans="2:12" ht="24">
      <c r="B46" s="167">
        <v>4</v>
      </c>
      <c r="C46" s="716" t="s">
        <v>77</v>
      </c>
      <c r="D46" s="169" t="s">
        <v>78</v>
      </c>
      <c r="E46" s="170">
        <v>3320</v>
      </c>
      <c r="F46" s="141">
        <v>0</v>
      </c>
      <c r="G46" s="142">
        <f t="shared" si="2"/>
        <v>0</v>
      </c>
      <c r="I46" s="1209"/>
    </row>
    <row r="47" spans="2:12" ht="36">
      <c r="B47" s="167">
        <v>5</v>
      </c>
      <c r="C47" s="139" t="s">
        <v>79</v>
      </c>
      <c r="D47" s="145" t="s">
        <v>78</v>
      </c>
      <c r="E47" s="128">
        <v>750</v>
      </c>
      <c r="F47" s="141">
        <v>0</v>
      </c>
      <c r="G47" s="142">
        <f t="shared" si="2"/>
        <v>0</v>
      </c>
      <c r="I47" s="266"/>
    </row>
    <row r="48" spans="2:12" ht="24">
      <c r="B48" s="167">
        <v>6</v>
      </c>
      <c r="C48" s="139" t="s">
        <v>80</v>
      </c>
      <c r="D48" s="145" t="s">
        <v>74</v>
      </c>
      <c r="E48" s="128">
        <v>310</v>
      </c>
      <c r="F48" s="141">
        <v>0</v>
      </c>
      <c r="G48" s="142">
        <f t="shared" si="2"/>
        <v>0</v>
      </c>
      <c r="I48" s="266"/>
    </row>
    <row r="49" spans="2:9" ht="36">
      <c r="B49" s="167">
        <v>7</v>
      </c>
      <c r="C49" s="144" t="s">
        <v>248</v>
      </c>
      <c r="D49" s="145" t="s">
        <v>74</v>
      </c>
      <c r="E49" s="128">
        <v>975</v>
      </c>
      <c r="F49" s="141">
        <v>0</v>
      </c>
      <c r="G49" s="142">
        <f>E49*F49</f>
        <v>0</v>
      </c>
      <c r="I49" s="1209"/>
    </row>
    <row r="50" spans="2:9" ht="36">
      <c r="B50" s="167">
        <v>8</v>
      </c>
      <c r="C50" s="397" t="s">
        <v>249</v>
      </c>
      <c r="D50" s="146" t="s">
        <v>74</v>
      </c>
      <c r="E50" s="128">
        <v>110</v>
      </c>
      <c r="F50" s="141">
        <v>0</v>
      </c>
      <c r="G50" s="142">
        <f t="shared" si="2"/>
        <v>0</v>
      </c>
      <c r="I50" s="270"/>
    </row>
    <row r="51" spans="2:9" ht="36">
      <c r="B51" s="715" t="s">
        <v>864</v>
      </c>
      <c r="C51" s="397" t="s">
        <v>251</v>
      </c>
      <c r="D51" s="146" t="s">
        <v>74</v>
      </c>
      <c r="E51" s="128">
        <v>200</v>
      </c>
      <c r="F51" s="141">
        <v>0</v>
      </c>
      <c r="G51" s="142">
        <f t="shared" si="2"/>
        <v>0</v>
      </c>
    </row>
    <row r="52" spans="2:9" s="166" customFormat="1" ht="24">
      <c r="B52" s="167">
        <v>10</v>
      </c>
      <c r="C52" s="139" t="s">
        <v>1612</v>
      </c>
      <c r="D52" s="145" t="s">
        <v>57</v>
      </c>
      <c r="E52" s="128">
        <v>1510</v>
      </c>
      <c r="F52" s="141">
        <v>0</v>
      </c>
      <c r="G52" s="142">
        <f t="shared" si="2"/>
        <v>0</v>
      </c>
      <c r="H52" s="8"/>
    </row>
    <row r="53" spans="2:9" s="166" customFormat="1" ht="36">
      <c r="B53" s="167">
        <v>11</v>
      </c>
      <c r="C53" s="139" t="s">
        <v>1613</v>
      </c>
      <c r="D53" s="140" t="s">
        <v>78</v>
      </c>
      <c r="E53" s="128">
        <v>1700</v>
      </c>
      <c r="F53" s="141">
        <v>0</v>
      </c>
      <c r="G53" s="142">
        <f t="shared" si="2"/>
        <v>0</v>
      </c>
      <c r="H53" s="8"/>
    </row>
    <row r="54" spans="2:9" s="179" customFormat="1" ht="24">
      <c r="B54" s="167">
        <v>12</v>
      </c>
      <c r="C54" s="139" t="s">
        <v>1614</v>
      </c>
      <c r="D54" s="140" t="s">
        <v>78</v>
      </c>
      <c r="E54" s="128">
        <v>150</v>
      </c>
      <c r="F54" s="141">
        <v>0</v>
      </c>
      <c r="G54" s="142">
        <f t="shared" si="2"/>
        <v>0</v>
      </c>
      <c r="H54" s="269"/>
    </row>
    <row r="55" spans="2:9" s="179" customFormat="1" ht="48">
      <c r="B55" s="167">
        <v>13</v>
      </c>
      <c r="C55" s="139" t="s">
        <v>1615</v>
      </c>
      <c r="D55" s="140" t="s">
        <v>78</v>
      </c>
      <c r="E55" s="128">
        <v>1700</v>
      </c>
      <c r="F55" s="141">
        <v>0</v>
      </c>
      <c r="G55" s="142">
        <f t="shared" si="2"/>
        <v>0</v>
      </c>
      <c r="H55" s="269"/>
    </row>
    <row r="56" spans="2:9" s="179" customFormat="1" ht="48">
      <c r="B56" s="167">
        <v>14</v>
      </c>
      <c r="C56" s="139" t="s">
        <v>1616</v>
      </c>
      <c r="D56" s="140" t="s">
        <v>78</v>
      </c>
      <c r="E56" s="128">
        <v>150</v>
      </c>
      <c r="F56" s="141">
        <v>0</v>
      </c>
      <c r="G56" s="142">
        <f t="shared" si="2"/>
        <v>0</v>
      </c>
      <c r="H56" s="269"/>
    </row>
    <row r="57" spans="2:9" ht="72">
      <c r="B57" s="728" t="s">
        <v>1238</v>
      </c>
      <c r="C57" s="144" t="s">
        <v>1617</v>
      </c>
      <c r="D57" s="145" t="s">
        <v>78</v>
      </c>
      <c r="E57" s="128">
        <v>600</v>
      </c>
      <c r="F57" s="141">
        <v>0</v>
      </c>
      <c r="G57" s="142">
        <f t="shared" si="2"/>
        <v>0</v>
      </c>
      <c r="H57" s="143"/>
    </row>
    <row r="58" spans="2:9" ht="84">
      <c r="B58" s="728" t="s">
        <v>1240</v>
      </c>
      <c r="C58" s="144" t="s">
        <v>1618</v>
      </c>
      <c r="D58" s="145" t="s">
        <v>78</v>
      </c>
      <c r="E58" s="128">
        <v>600</v>
      </c>
      <c r="F58" s="141">
        <v>0</v>
      </c>
      <c r="G58" s="142">
        <f t="shared" si="2"/>
        <v>0</v>
      </c>
      <c r="H58" s="143"/>
    </row>
    <row r="59" spans="2:9" ht="48">
      <c r="B59" s="728" t="s">
        <v>1242</v>
      </c>
      <c r="C59" s="139" t="s">
        <v>1619</v>
      </c>
      <c r="D59" s="145" t="s">
        <v>78</v>
      </c>
      <c r="E59" s="128">
        <v>1100</v>
      </c>
      <c r="F59" s="141">
        <v>0</v>
      </c>
      <c r="G59" s="142">
        <f>E59*F59</f>
        <v>0</v>
      </c>
      <c r="H59" s="143"/>
    </row>
    <row r="60" spans="2:9" ht="72">
      <c r="B60" s="728" t="s">
        <v>1244</v>
      </c>
      <c r="C60" s="171" t="s">
        <v>1620</v>
      </c>
      <c r="D60" s="172" t="s">
        <v>78</v>
      </c>
      <c r="E60" s="173">
        <v>150</v>
      </c>
      <c r="F60" s="141">
        <v>0</v>
      </c>
      <c r="G60" s="175">
        <f>E60*F60</f>
        <v>0</v>
      </c>
      <c r="H60" s="143"/>
    </row>
    <row r="61" spans="2:9" ht="36">
      <c r="B61" s="167">
        <v>19</v>
      </c>
      <c r="C61" s="139" t="s">
        <v>90</v>
      </c>
      <c r="D61" s="140" t="s">
        <v>78</v>
      </c>
      <c r="E61" s="173">
        <v>30</v>
      </c>
      <c r="F61" s="141">
        <v>0</v>
      </c>
      <c r="G61" s="142">
        <f t="shared" si="2"/>
        <v>0</v>
      </c>
      <c r="H61" s="143"/>
    </row>
    <row r="62" spans="2:9" ht="24">
      <c r="B62" s="167">
        <v>20</v>
      </c>
      <c r="C62" s="139" t="s">
        <v>263</v>
      </c>
      <c r="D62" s="145" t="s">
        <v>74</v>
      </c>
      <c r="E62" s="173">
        <v>25</v>
      </c>
      <c r="F62" s="141">
        <v>0</v>
      </c>
      <c r="G62" s="142">
        <f>E62*F62</f>
        <v>0</v>
      </c>
      <c r="H62" s="143"/>
    </row>
    <row r="63" spans="2:9" ht="24">
      <c r="B63" s="167">
        <v>21</v>
      </c>
      <c r="C63" s="139" t="s">
        <v>92</v>
      </c>
      <c r="D63" s="145" t="s">
        <v>74</v>
      </c>
      <c r="E63" s="128">
        <v>1500</v>
      </c>
      <c r="F63" s="141">
        <v>0</v>
      </c>
      <c r="G63" s="142">
        <f>E63*F63</f>
        <v>0</v>
      </c>
      <c r="H63" s="143"/>
    </row>
    <row r="64" spans="2:9">
      <c r="B64" s="167">
        <v>22</v>
      </c>
      <c r="C64" s="139" t="s">
        <v>93</v>
      </c>
      <c r="D64" s="145" t="s">
        <v>74</v>
      </c>
      <c r="E64" s="128">
        <v>1500</v>
      </c>
      <c r="F64" s="141">
        <v>0</v>
      </c>
      <c r="G64" s="142">
        <f>E64*F64</f>
        <v>0</v>
      </c>
      <c r="H64" s="143"/>
    </row>
    <row r="65" spans="2:9" ht="24">
      <c r="B65" s="167">
        <v>23</v>
      </c>
      <c r="C65" s="139" t="s">
        <v>94</v>
      </c>
      <c r="D65" s="145" t="s">
        <v>78</v>
      </c>
      <c r="E65" s="128">
        <v>1700</v>
      </c>
      <c r="F65" s="141">
        <v>0</v>
      </c>
      <c r="G65" s="142">
        <f>E65*F65</f>
        <v>0</v>
      </c>
      <c r="H65" s="143"/>
    </row>
    <row r="66" spans="2:9" ht="24">
      <c r="B66" s="167">
        <v>24</v>
      </c>
      <c r="C66" s="171" t="s">
        <v>1621</v>
      </c>
      <c r="D66" s="172" t="s">
        <v>78</v>
      </c>
      <c r="E66" s="173">
        <v>150</v>
      </c>
      <c r="F66" s="141">
        <v>0</v>
      </c>
      <c r="G66" s="175">
        <f>E66*F66</f>
        <v>0</v>
      </c>
      <c r="H66" s="143"/>
    </row>
    <row r="67" spans="2:9" ht="48">
      <c r="B67" s="2406">
        <v>25</v>
      </c>
      <c r="C67" s="429" t="s">
        <v>292</v>
      </c>
      <c r="D67" s="194"/>
      <c r="E67" s="128"/>
      <c r="F67" s="141"/>
      <c r="G67" s="142"/>
      <c r="H67" s="143"/>
    </row>
    <row r="68" spans="2:9">
      <c r="B68" s="2417"/>
      <c r="C68" s="195" t="s">
        <v>1523</v>
      </c>
      <c r="D68" s="194" t="s">
        <v>57</v>
      </c>
      <c r="E68" s="128">
        <v>40</v>
      </c>
      <c r="F68" s="141">
        <v>0</v>
      </c>
      <c r="G68" s="142">
        <f>E68*F68</f>
        <v>0</v>
      </c>
      <c r="H68" s="143"/>
    </row>
    <row r="69" spans="2:9" ht="36">
      <c r="B69" s="2406">
        <v>26</v>
      </c>
      <c r="C69" s="177" t="s">
        <v>295</v>
      </c>
      <c r="D69" s="140"/>
      <c r="E69" s="128"/>
      <c r="F69" s="141"/>
      <c r="G69" s="142"/>
    </row>
    <row r="70" spans="2:9">
      <c r="B70" s="2417"/>
      <c r="C70" s="195" t="s">
        <v>1524</v>
      </c>
      <c r="D70" s="194" t="s">
        <v>57</v>
      </c>
      <c r="E70" s="128">
        <v>100</v>
      </c>
      <c r="F70" s="141">
        <v>0</v>
      </c>
      <c r="G70" s="142">
        <f t="shared" ref="G70" si="3">E70*F70</f>
        <v>0</v>
      </c>
      <c r="I70" s="270"/>
    </row>
    <row r="71" spans="2:9" ht="24">
      <c r="B71" s="167">
        <v>27</v>
      </c>
      <c r="C71" s="177" t="s">
        <v>96</v>
      </c>
      <c r="D71" s="140" t="s">
        <v>57</v>
      </c>
      <c r="E71" s="128">
        <v>30</v>
      </c>
      <c r="F71" s="141">
        <v>0</v>
      </c>
      <c r="G71" s="142">
        <f>E71*F71</f>
        <v>0</v>
      </c>
    </row>
    <row r="72" spans="2:9" ht="24">
      <c r="B72" s="728" t="s">
        <v>1263</v>
      </c>
      <c r="C72" s="177" t="s">
        <v>268</v>
      </c>
      <c r="D72" s="140" t="s">
        <v>57</v>
      </c>
      <c r="E72" s="128">
        <v>50</v>
      </c>
      <c r="F72" s="141">
        <v>0</v>
      </c>
      <c r="G72" s="142">
        <f t="shared" si="2"/>
        <v>0</v>
      </c>
    </row>
    <row r="73" spans="2:9" ht="27.75" customHeight="1">
      <c r="B73" s="729">
        <v>29</v>
      </c>
      <c r="C73" s="402" t="s">
        <v>269</v>
      </c>
      <c r="D73" s="182" t="s">
        <v>74</v>
      </c>
      <c r="E73" s="183">
        <v>8</v>
      </c>
      <c r="F73" s="141">
        <v>0</v>
      </c>
      <c r="G73" s="142">
        <f t="shared" si="2"/>
        <v>0</v>
      </c>
    </row>
    <row r="74" spans="2:9" ht="36">
      <c r="B74" s="167">
        <v>30</v>
      </c>
      <c r="C74" s="1269" t="s">
        <v>270</v>
      </c>
      <c r="D74" s="1221" t="s">
        <v>66</v>
      </c>
      <c r="E74" s="173">
        <v>67</v>
      </c>
      <c r="F74" s="141">
        <v>0</v>
      </c>
      <c r="G74" s="175">
        <f t="shared" si="2"/>
        <v>0</v>
      </c>
    </row>
    <row r="75" spans="2:9" s="166" customFormat="1" ht="24">
      <c r="B75" s="729">
        <v>31</v>
      </c>
      <c r="C75" s="184" t="s">
        <v>99</v>
      </c>
      <c r="D75" s="182" t="s">
        <v>74</v>
      </c>
      <c r="E75" s="183">
        <v>5</v>
      </c>
      <c r="F75" s="141">
        <v>0</v>
      </c>
      <c r="G75" s="142">
        <f t="shared" si="2"/>
        <v>0</v>
      </c>
      <c r="H75" s="8"/>
    </row>
    <row r="76" spans="2:9" s="166" customFormat="1" ht="24">
      <c r="B76" s="167">
        <v>32</v>
      </c>
      <c r="C76" s="184" t="s">
        <v>100</v>
      </c>
      <c r="D76" s="182" t="s">
        <v>65</v>
      </c>
      <c r="E76" s="183">
        <v>170</v>
      </c>
      <c r="F76" s="141">
        <v>0</v>
      </c>
      <c r="G76" s="142">
        <f t="shared" si="2"/>
        <v>0</v>
      </c>
      <c r="H76" s="8"/>
    </row>
    <row r="77" spans="2:9" s="166" customFormat="1" ht="72">
      <c r="B77" s="2408">
        <v>33</v>
      </c>
      <c r="C77" s="1270" t="s">
        <v>1622</v>
      </c>
      <c r="D77" s="182"/>
      <c r="E77" s="183"/>
      <c r="F77" s="141"/>
      <c r="G77" s="142"/>
      <c r="H77" s="8"/>
    </row>
    <row r="78" spans="2:9" s="166" customFormat="1" ht="24">
      <c r="B78" s="2418"/>
      <c r="C78" s="1271" t="s">
        <v>1623</v>
      </c>
      <c r="D78" s="182" t="s">
        <v>57</v>
      </c>
      <c r="E78" s="128">
        <v>50</v>
      </c>
      <c r="F78" s="141">
        <v>0</v>
      </c>
      <c r="G78" s="142">
        <f t="shared" ref="G78:G95" si="4">E78*F78</f>
        <v>0</v>
      </c>
      <c r="H78" s="8"/>
    </row>
    <row r="79" spans="2:9" s="166" customFormat="1" ht="24">
      <c r="B79" s="2419"/>
      <c r="C79" s="1271" t="s">
        <v>1624</v>
      </c>
      <c r="D79" s="182" t="s">
        <v>57</v>
      </c>
      <c r="E79" s="128">
        <v>70</v>
      </c>
      <c r="F79" s="141">
        <v>0</v>
      </c>
      <c r="G79" s="142">
        <f t="shared" si="4"/>
        <v>0</v>
      </c>
      <c r="H79" s="8"/>
    </row>
    <row r="80" spans="2:9" s="166" customFormat="1">
      <c r="B80" s="2419"/>
      <c r="C80" s="1271" t="s">
        <v>1625</v>
      </c>
      <c r="D80" s="182" t="s">
        <v>57</v>
      </c>
      <c r="E80" s="128">
        <v>820</v>
      </c>
      <c r="F80" s="141">
        <v>0</v>
      </c>
      <c r="G80" s="142">
        <f t="shared" si="4"/>
        <v>0</v>
      </c>
      <c r="H80" s="8"/>
    </row>
    <row r="81" spans="2:8" s="166" customFormat="1">
      <c r="B81" s="2419"/>
      <c r="C81" s="1271" t="s">
        <v>1626</v>
      </c>
      <c r="D81" s="182" t="s">
        <v>57</v>
      </c>
      <c r="E81" s="128">
        <v>250</v>
      </c>
      <c r="F81" s="141">
        <v>0</v>
      </c>
      <c r="G81" s="142">
        <f t="shared" si="4"/>
        <v>0</v>
      </c>
      <c r="H81" s="8"/>
    </row>
    <row r="82" spans="2:8">
      <c r="B82" s="2419"/>
      <c r="C82" s="1271" t="s">
        <v>1627</v>
      </c>
      <c r="D82" s="182" t="s">
        <v>57</v>
      </c>
      <c r="E82" s="128">
        <v>20</v>
      </c>
      <c r="F82" s="141">
        <v>0</v>
      </c>
      <c r="G82" s="142">
        <f t="shared" si="4"/>
        <v>0</v>
      </c>
    </row>
    <row r="83" spans="2:8" s="166" customFormat="1">
      <c r="B83" s="2419"/>
      <c r="C83" s="1271" t="s">
        <v>1628</v>
      </c>
      <c r="D83" s="182" t="s">
        <v>78</v>
      </c>
      <c r="E83" s="128">
        <v>15</v>
      </c>
      <c r="F83" s="141">
        <v>0</v>
      </c>
      <c r="G83" s="142">
        <f t="shared" si="4"/>
        <v>0</v>
      </c>
      <c r="H83" s="8"/>
    </row>
    <row r="84" spans="2:8" s="166" customFormat="1">
      <c r="B84" s="2419"/>
      <c r="C84" s="1271" t="s">
        <v>1629</v>
      </c>
      <c r="D84" s="182" t="s">
        <v>78</v>
      </c>
      <c r="E84" s="128">
        <v>20</v>
      </c>
      <c r="F84" s="141">
        <v>0</v>
      </c>
      <c r="G84" s="142">
        <f t="shared" si="4"/>
        <v>0</v>
      </c>
      <c r="H84" s="8"/>
    </row>
    <row r="85" spans="2:8" s="166" customFormat="1">
      <c r="B85" s="2419"/>
      <c r="C85" s="1271" t="s">
        <v>1630</v>
      </c>
      <c r="D85" s="182" t="s">
        <v>66</v>
      </c>
      <c r="E85" s="128">
        <v>5</v>
      </c>
      <c r="F85" s="141">
        <v>0</v>
      </c>
      <c r="G85" s="142">
        <f t="shared" si="4"/>
        <v>0</v>
      </c>
      <c r="H85" s="8"/>
    </row>
    <row r="86" spans="2:8" s="166" customFormat="1">
      <c r="B86" s="2419"/>
      <c r="C86" s="1271" t="s">
        <v>1631</v>
      </c>
      <c r="D86" s="182" t="s">
        <v>66</v>
      </c>
      <c r="E86" s="128">
        <v>2</v>
      </c>
      <c r="F86" s="141">
        <v>0</v>
      </c>
      <c r="G86" s="142">
        <f t="shared" si="4"/>
        <v>0</v>
      </c>
      <c r="H86" s="8"/>
    </row>
    <row r="87" spans="2:8" s="166" customFormat="1">
      <c r="B87" s="2419"/>
      <c r="C87" s="1271" t="s">
        <v>1632</v>
      </c>
      <c r="D87" s="182" t="s">
        <v>66</v>
      </c>
      <c r="E87" s="128">
        <v>2</v>
      </c>
      <c r="F87" s="141">
        <v>0</v>
      </c>
      <c r="G87" s="142">
        <f t="shared" si="4"/>
        <v>0</v>
      </c>
      <c r="H87" s="8"/>
    </row>
    <row r="88" spans="2:8" s="166" customFormat="1">
      <c r="B88" s="2419"/>
      <c r="C88" s="1271" t="s">
        <v>1633</v>
      </c>
      <c r="D88" s="182" t="s">
        <v>66</v>
      </c>
      <c r="E88" s="128">
        <v>1</v>
      </c>
      <c r="F88" s="141">
        <v>0</v>
      </c>
      <c r="G88" s="142">
        <f t="shared" si="4"/>
        <v>0</v>
      </c>
      <c r="H88" s="8"/>
    </row>
    <row r="89" spans="2:8" s="166" customFormat="1">
      <c r="B89" s="2419"/>
      <c r="C89" s="1271" t="s">
        <v>1634</v>
      </c>
      <c r="D89" s="182" t="s">
        <v>66</v>
      </c>
      <c r="E89" s="128">
        <v>12</v>
      </c>
      <c r="F89" s="141">
        <v>0</v>
      </c>
      <c r="G89" s="142">
        <f t="shared" si="4"/>
        <v>0</v>
      </c>
      <c r="H89" s="8"/>
    </row>
    <row r="90" spans="2:8">
      <c r="B90" s="2419"/>
      <c r="C90" s="1271" t="s">
        <v>1635</v>
      </c>
      <c r="D90" s="182" t="s">
        <v>66</v>
      </c>
      <c r="E90" s="128">
        <v>12</v>
      </c>
      <c r="F90" s="141">
        <v>0</v>
      </c>
      <c r="G90" s="142">
        <f t="shared" si="4"/>
        <v>0</v>
      </c>
    </row>
    <row r="91" spans="2:8" ht="25.5" customHeight="1">
      <c r="B91" s="2419"/>
      <c r="C91" s="1271" t="s">
        <v>1636</v>
      </c>
      <c r="D91" s="182" t="s">
        <v>57</v>
      </c>
      <c r="E91" s="128">
        <v>30</v>
      </c>
      <c r="F91" s="141">
        <v>0</v>
      </c>
      <c r="G91" s="142">
        <f t="shared" si="4"/>
        <v>0</v>
      </c>
      <c r="H91" s="143"/>
    </row>
    <row r="92" spans="2:8">
      <c r="B92" s="2419"/>
      <c r="C92" s="1271" t="s">
        <v>1637</v>
      </c>
      <c r="D92" s="182" t="s">
        <v>57</v>
      </c>
      <c r="E92" s="128">
        <v>10</v>
      </c>
      <c r="F92" s="141">
        <v>0</v>
      </c>
      <c r="G92" s="142">
        <f t="shared" si="4"/>
        <v>0</v>
      </c>
      <c r="H92" s="143"/>
    </row>
    <row r="93" spans="2:8">
      <c r="B93" s="2419"/>
      <c r="C93" s="1271" t="s">
        <v>1638</v>
      </c>
      <c r="D93" s="182" t="s">
        <v>57</v>
      </c>
      <c r="E93" s="128">
        <v>120</v>
      </c>
      <c r="F93" s="141">
        <v>0</v>
      </c>
      <c r="G93" s="142">
        <f t="shared" si="4"/>
        <v>0</v>
      </c>
    </row>
    <row r="94" spans="2:8">
      <c r="B94" s="2419"/>
      <c r="C94" s="1271" t="s">
        <v>1639</v>
      </c>
      <c r="D94" s="182" t="s">
        <v>66</v>
      </c>
      <c r="E94" s="128">
        <v>1</v>
      </c>
      <c r="F94" s="141">
        <v>0</v>
      </c>
      <c r="G94" s="142">
        <f t="shared" si="4"/>
        <v>0</v>
      </c>
    </row>
    <row r="95" spans="2:8">
      <c r="B95" s="2420"/>
      <c r="C95" s="1271" t="s">
        <v>1640</v>
      </c>
      <c r="D95" s="182" t="s">
        <v>57</v>
      </c>
      <c r="E95" s="128">
        <v>5</v>
      </c>
      <c r="F95" s="141">
        <v>0</v>
      </c>
      <c r="G95" s="142">
        <f t="shared" si="4"/>
        <v>0</v>
      </c>
    </row>
    <row r="96" spans="2:8">
      <c r="B96" s="151" t="s">
        <v>45</v>
      </c>
      <c r="C96" s="152" t="s">
        <v>101</v>
      </c>
      <c r="D96" s="185"/>
      <c r="E96" s="154"/>
      <c r="F96" s="155"/>
      <c r="G96" s="263">
        <f>SUM(G43:G95)</f>
        <v>0</v>
      </c>
    </row>
    <row r="97" spans="1:11">
      <c r="B97" s="125"/>
      <c r="C97" s="126"/>
      <c r="D97" s="140"/>
      <c r="E97" s="128"/>
      <c r="F97" s="129"/>
      <c r="G97" s="130"/>
    </row>
    <row r="98" spans="1:11">
      <c r="B98" s="1202" t="s">
        <v>50</v>
      </c>
      <c r="C98" s="1203" t="s">
        <v>51</v>
      </c>
      <c r="D98" s="1203" t="s">
        <v>52</v>
      </c>
      <c r="E98" s="1204" t="s">
        <v>53</v>
      </c>
      <c r="F98" s="1205" t="s">
        <v>54</v>
      </c>
      <c r="G98" s="1206" t="s">
        <v>55</v>
      </c>
    </row>
    <row r="99" spans="1:11">
      <c r="B99" s="125"/>
      <c r="C99" s="126"/>
      <c r="D99" s="140"/>
      <c r="E99" s="128"/>
      <c r="F99" s="129"/>
      <c r="G99" s="130"/>
    </row>
    <row r="100" spans="1:11" s="138" customFormat="1" ht="20.25">
      <c r="B100" s="186" t="s">
        <v>47</v>
      </c>
      <c r="C100" s="187" t="s">
        <v>102</v>
      </c>
      <c r="D100" s="165"/>
      <c r="E100" s="134"/>
      <c r="F100" s="135"/>
      <c r="G100" s="136"/>
      <c r="H100" s="137"/>
    </row>
    <row r="101" spans="1:11" s="14" customFormat="1" ht="18" customHeight="1">
      <c r="A101" s="9"/>
      <c r="B101" s="10" t="s">
        <v>38</v>
      </c>
      <c r="C101" s="11"/>
      <c r="D101" s="1177"/>
      <c r="E101" s="12"/>
      <c r="F101" s="12"/>
      <c r="G101" s="13"/>
    </row>
    <row r="102" spans="1:11" s="14" customFormat="1" ht="18" customHeight="1">
      <c r="A102" s="15"/>
      <c r="B102" s="16" t="s">
        <v>39</v>
      </c>
      <c r="C102" s="17"/>
      <c r="D102" s="1179"/>
      <c r="E102" s="19"/>
      <c r="F102" s="19"/>
      <c r="G102" s="18"/>
    </row>
    <row r="103" spans="1:11" s="14" customFormat="1" ht="18" customHeight="1">
      <c r="A103" s="9"/>
      <c r="B103" s="10" t="s">
        <v>4</v>
      </c>
      <c r="C103" s="11"/>
      <c r="D103" s="1180"/>
      <c r="E103" s="12"/>
      <c r="F103" s="12"/>
      <c r="G103" s="13"/>
    </row>
    <row r="104" spans="1:11" s="14" customFormat="1" ht="18" customHeight="1">
      <c r="A104" s="15"/>
      <c r="B104" s="16" t="s">
        <v>5</v>
      </c>
      <c r="C104" s="17"/>
      <c r="D104" s="1181"/>
      <c r="E104" s="19"/>
      <c r="F104" s="19"/>
      <c r="G104" s="18"/>
    </row>
    <row r="105" spans="1:11" s="166" customFormat="1" ht="31.5" customHeight="1">
      <c r="B105" s="2399" t="s">
        <v>103</v>
      </c>
      <c r="C105" s="2400"/>
      <c r="D105" s="2400"/>
      <c r="E105" s="2400"/>
      <c r="F105" s="2400"/>
      <c r="G105" s="2401"/>
      <c r="H105" s="8"/>
    </row>
    <row r="106" spans="1:11" s="166" customFormat="1" ht="18.75" customHeight="1">
      <c r="B106" s="2399" t="s">
        <v>104</v>
      </c>
      <c r="C106" s="2400"/>
      <c r="D106" s="2400"/>
      <c r="E106" s="2400"/>
      <c r="F106" s="2400"/>
      <c r="G106" s="2401"/>
      <c r="H106" s="8"/>
    </row>
    <row r="107" spans="1:11" s="166" customFormat="1" ht="18.75" customHeight="1">
      <c r="B107" s="2399" t="s">
        <v>105</v>
      </c>
      <c r="C107" s="2400"/>
      <c r="D107" s="2400"/>
      <c r="E107" s="2400"/>
      <c r="F107" s="2400"/>
      <c r="G107" s="2401"/>
      <c r="H107" s="8"/>
    </row>
    <row r="108" spans="1:11" ht="30" customHeight="1">
      <c r="B108" s="188">
        <v>1</v>
      </c>
      <c r="C108" s="189" t="s">
        <v>106</v>
      </c>
      <c r="D108" s="190"/>
      <c r="E108" s="128"/>
      <c r="F108" s="129"/>
      <c r="G108" s="130"/>
    </row>
    <row r="109" spans="1:11" s="179" customFormat="1" ht="18.75" customHeight="1">
      <c r="B109" s="191"/>
      <c r="C109" s="271" t="s">
        <v>487</v>
      </c>
      <c r="D109" s="190" t="s">
        <v>57</v>
      </c>
      <c r="E109" s="128">
        <v>257</v>
      </c>
      <c r="F109" s="141">
        <v>0</v>
      </c>
      <c r="G109" s="142">
        <f t="shared" ref="G109:G121" si="5">E109*F109</f>
        <v>0</v>
      </c>
      <c r="H109" s="802"/>
      <c r="K109" s="2371"/>
    </row>
    <row r="110" spans="1:11" s="179" customFormat="1" ht="18.75" customHeight="1">
      <c r="B110" s="191"/>
      <c r="C110" s="271" t="s">
        <v>488</v>
      </c>
      <c r="D110" s="190" t="s">
        <v>57</v>
      </c>
      <c r="E110" s="128">
        <v>568</v>
      </c>
      <c r="F110" s="141">
        <v>0</v>
      </c>
      <c r="G110" s="142">
        <f t="shared" si="5"/>
        <v>0</v>
      </c>
      <c r="H110" s="802"/>
    </row>
    <row r="111" spans="1:11" s="179" customFormat="1" ht="18.75" customHeight="1">
      <c r="B111" s="191"/>
      <c r="C111" s="192" t="s">
        <v>107</v>
      </c>
      <c r="D111" s="190" t="s">
        <v>57</v>
      </c>
      <c r="E111" s="128">
        <v>44</v>
      </c>
      <c r="F111" s="141">
        <v>0</v>
      </c>
      <c r="G111" s="142">
        <f t="shared" si="5"/>
        <v>0</v>
      </c>
      <c r="H111" s="802"/>
    </row>
    <row r="112" spans="1:11" s="179" customFormat="1" ht="24.75" customHeight="1">
      <c r="B112" s="191"/>
      <c r="C112" s="192" t="s">
        <v>108</v>
      </c>
      <c r="D112" s="190" t="s">
        <v>57</v>
      </c>
      <c r="E112" s="128">
        <v>5</v>
      </c>
      <c r="F112" s="141">
        <v>0</v>
      </c>
      <c r="G112" s="142">
        <f t="shared" si="5"/>
        <v>0</v>
      </c>
      <c r="H112" s="802"/>
    </row>
    <row r="113" spans="2:40" s="179" customFormat="1" ht="18.75" customHeight="1">
      <c r="B113" s="191"/>
      <c r="C113" s="192" t="s">
        <v>226</v>
      </c>
      <c r="D113" s="190" t="s">
        <v>57</v>
      </c>
      <c r="E113" s="128">
        <v>211</v>
      </c>
      <c r="F113" s="141">
        <v>0</v>
      </c>
      <c r="G113" s="142">
        <f t="shared" si="5"/>
        <v>0</v>
      </c>
      <c r="H113" s="802"/>
    </row>
    <row r="114" spans="2:40" s="179" customFormat="1" ht="27.75" customHeight="1">
      <c r="B114" s="191"/>
      <c r="C114" s="192" t="s">
        <v>227</v>
      </c>
      <c r="D114" s="190" t="s">
        <v>57</v>
      </c>
      <c r="E114" s="128">
        <v>24</v>
      </c>
      <c r="F114" s="141">
        <v>0</v>
      </c>
      <c r="G114" s="142">
        <f t="shared" si="5"/>
        <v>0</v>
      </c>
      <c r="H114" s="802"/>
    </row>
    <row r="115" spans="2:40" s="179" customFormat="1" ht="19.5" customHeight="1">
      <c r="B115" s="191"/>
      <c r="C115" s="192" t="s">
        <v>109</v>
      </c>
      <c r="D115" s="190" t="s">
        <v>57</v>
      </c>
      <c r="E115" s="128">
        <v>10</v>
      </c>
      <c r="F115" s="141">
        <v>0</v>
      </c>
      <c r="G115" s="142">
        <f t="shared" si="5"/>
        <v>0</v>
      </c>
      <c r="H115" s="802"/>
    </row>
    <row r="116" spans="2:40" s="179" customFormat="1" ht="27.75" customHeight="1">
      <c r="B116" s="191"/>
      <c r="C116" s="192" t="s">
        <v>110</v>
      </c>
      <c r="D116" s="190" t="s">
        <v>57</v>
      </c>
      <c r="E116" s="128">
        <v>1</v>
      </c>
      <c r="F116" s="141">
        <v>0</v>
      </c>
      <c r="G116" s="142">
        <f t="shared" si="5"/>
        <v>0</v>
      </c>
      <c r="H116" s="802"/>
    </row>
    <row r="117" spans="2:40" s="166" customFormat="1" ht="40.5" customHeight="1">
      <c r="B117" s="2404" t="s">
        <v>111</v>
      </c>
      <c r="C117" s="193" t="s">
        <v>112</v>
      </c>
      <c r="D117" s="194"/>
      <c r="E117" s="128"/>
      <c r="F117" s="141"/>
      <c r="G117" s="142"/>
      <c r="H117" s="8"/>
    </row>
    <row r="118" spans="2:40" s="166" customFormat="1">
      <c r="B118" s="2405"/>
      <c r="C118" s="195" t="s">
        <v>113</v>
      </c>
      <c r="D118" s="194" t="s">
        <v>57</v>
      </c>
      <c r="E118" s="128">
        <v>69</v>
      </c>
      <c r="F118" s="141">
        <v>0</v>
      </c>
      <c r="G118" s="142">
        <f t="shared" ref="G118:G120" si="6">E118*F118</f>
        <v>0</v>
      </c>
      <c r="H118" s="8"/>
    </row>
    <row r="119" spans="2:40" s="166" customFormat="1">
      <c r="B119" s="2405"/>
      <c r="C119" s="195" t="s">
        <v>274</v>
      </c>
      <c r="D119" s="194" t="s">
        <v>57</v>
      </c>
      <c r="E119" s="128">
        <v>195</v>
      </c>
      <c r="F119" s="141">
        <v>0</v>
      </c>
      <c r="G119" s="142">
        <f t="shared" si="6"/>
        <v>0</v>
      </c>
      <c r="H119" s="8"/>
    </row>
    <row r="120" spans="2:40" s="166" customFormat="1">
      <c r="B120" s="2413"/>
      <c r="C120" s="195" t="s">
        <v>275</v>
      </c>
      <c r="D120" s="194" t="s">
        <v>57</v>
      </c>
      <c r="E120" s="128">
        <v>15</v>
      </c>
      <c r="F120" s="141">
        <v>0</v>
      </c>
      <c r="G120" s="142">
        <f t="shared" si="6"/>
        <v>0</v>
      </c>
      <c r="H120" s="8"/>
    </row>
    <row r="121" spans="2:40" ht="40.5" customHeight="1">
      <c r="B121" s="196">
        <v>2</v>
      </c>
      <c r="C121" s="197" t="s">
        <v>114</v>
      </c>
      <c r="D121" s="145" t="s">
        <v>57</v>
      </c>
      <c r="E121" s="128">
        <v>1120</v>
      </c>
      <c r="F121" s="141">
        <v>0</v>
      </c>
      <c r="G121" s="142">
        <f t="shared" si="5"/>
        <v>0</v>
      </c>
    </row>
    <row r="122" spans="2:40" ht="41.25" customHeight="1">
      <c r="B122" s="199" t="s">
        <v>115</v>
      </c>
      <c r="C122" s="197" t="s">
        <v>116</v>
      </c>
      <c r="D122" s="145" t="s">
        <v>57</v>
      </c>
      <c r="E122" s="128">
        <v>1120</v>
      </c>
      <c r="F122" s="141">
        <v>0</v>
      </c>
      <c r="G122" s="142">
        <f>E122*F122</f>
        <v>0</v>
      </c>
    </row>
    <row r="123" spans="2:40" ht="27" customHeight="1">
      <c r="B123" s="199" t="s">
        <v>117</v>
      </c>
      <c r="C123" s="197" t="s">
        <v>118</v>
      </c>
      <c r="D123" s="145" t="s">
        <v>57</v>
      </c>
      <c r="E123" s="128">
        <v>1120</v>
      </c>
      <c r="F123" s="141">
        <v>0</v>
      </c>
      <c r="G123" s="142">
        <f>E123*F123</f>
        <v>0</v>
      </c>
    </row>
    <row r="124" spans="2:40" ht="39" customHeight="1">
      <c r="B124" s="199" t="s">
        <v>119</v>
      </c>
      <c r="C124" s="197" t="s">
        <v>120</v>
      </c>
      <c r="D124" s="145" t="s">
        <v>57</v>
      </c>
      <c r="E124" s="128">
        <v>1120</v>
      </c>
      <c r="F124" s="141">
        <v>0</v>
      </c>
      <c r="G124" s="142">
        <f>E124*F124</f>
        <v>0</v>
      </c>
    </row>
    <row r="125" spans="2:40" ht="27.75" customHeight="1">
      <c r="B125" s="188">
        <v>3</v>
      </c>
      <c r="C125" s="200" t="s">
        <v>121</v>
      </c>
      <c r="D125" s="140"/>
      <c r="E125" s="128"/>
      <c r="F125" s="141">
        <v>0</v>
      </c>
      <c r="G125" s="130"/>
    </row>
    <row r="126" spans="2:40">
      <c r="B126" s="201" t="s">
        <v>122</v>
      </c>
      <c r="C126" s="202" t="s">
        <v>123</v>
      </c>
      <c r="D126" s="209"/>
      <c r="E126" s="204"/>
      <c r="F126" s="205"/>
      <c r="G126" s="206"/>
    </row>
    <row r="127" spans="2:40">
      <c r="B127" s="125"/>
      <c r="C127" s="1256" t="s">
        <v>276</v>
      </c>
      <c r="D127" s="209"/>
      <c r="E127" s="204"/>
      <c r="F127" s="205"/>
      <c r="G127" s="206"/>
      <c r="AE127" s="217"/>
      <c r="AG127" s="217"/>
      <c r="AI127" s="217"/>
      <c r="AK127" s="217"/>
      <c r="AM127" s="217"/>
      <c r="AN127" s="217"/>
    </row>
    <row r="128" spans="2:40" ht="18" customHeight="1">
      <c r="B128" s="125"/>
      <c r="C128" s="1272" t="s">
        <v>277</v>
      </c>
      <c r="D128" s="209" t="s">
        <v>66</v>
      </c>
      <c r="E128" s="204">
        <v>26</v>
      </c>
      <c r="F128" s="210">
        <v>0</v>
      </c>
      <c r="G128" s="211">
        <f t="shared" ref="G128:G132" si="7">E128*F128</f>
        <v>0</v>
      </c>
    </row>
    <row r="129" spans="2:36" ht="18" customHeight="1">
      <c r="B129" s="125"/>
      <c r="C129" s="1272" t="s">
        <v>278</v>
      </c>
      <c r="D129" s="209" t="s">
        <v>66</v>
      </c>
      <c r="E129" s="204">
        <v>30</v>
      </c>
      <c r="F129" s="210">
        <v>0</v>
      </c>
      <c r="G129" s="211">
        <f t="shared" si="7"/>
        <v>0</v>
      </c>
    </row>
    <row r="130" spans="2:36" ht="18" customHeight="1">
      <c r="B130" s="125"/>
      <c r="C130" s="1272" t="s">
        <v>1533</v>
      </c>
      <c r="D130" s="209" t="s">
        <v>66</v>
      </c>
      <c r="E130" s="204">
        <v>10</v>
      </c>
      <c r="F130" s="210">
        <v>0</v>
      </c>
      <c r="G130" s="211">
        <f t="shared" si="7"/>
        <v>0</v>
      </c>
    </row>
    <row r="131" spans="2:36" ht="18" customHeight="1">
      <c r="B131" s="125"/>
      <c r="C131" s="1272" t="s">
        <v>279</v>
      </c>
      <c r="D131" s="209" t="s">
        <v>66</v>
      </c>
      <c r="E131" s="204">
        <v>14</v>
      </c>
      <c r="F131" s="210">
        <v>0</v>
      </c>
      <c r="G131" s="211">
        <f t="shared" si="7"/>
        <v>0</v>
      </c>
    </row>
    <row r="132" spans="2:36" s="179" customFormat="1" ht="18" customHeight="1">
      <c r="B132" s="207"/>
      <c r="C132" s="1227" t="s">
        <v>280</v>
      </c>
      <c r="D132" s="209" t="s">
        <v>66</v>
      </c>
      <c r="E132" s="204">
        <v>159</v>
      </c>
      <c r="F132" s="210">
        <v>0</v>
      </c>
      <c r="G132" s="211">
        <f t="shared" si="7"/>
        <v>0</v>
      </c>
      <c r="H132" s="8"/>
    </row>
    <row r="133" spans="2:36">
      <c r="B133" s="125"/>
      <c r="C133" s="1256" t="s">
        <v>210</v>
      </c>
      <c r="D133" s="209"/>
      <c r="E133" s="204"/>
      <c r="F133" s="205"/>
      <c r="G133" s="206"/>
    </row>
    <row r="134" spans="2:36" ht="18" customHeight="1">
      <c r="B134" s="125"/>
      <c r="C134" s="1272" t="s">
        <v>211</v>
      </c>
      <c r="D134" s="209" t="s">
        <v>66</v>
      </c>
      <c r="E134" s="204">
        <v>2</v>
      </c>
      <c r="F134" s="210">
        <v>0</v>
      </c>
      <c r="G134" s="211">
        <f t="shared" ref="G134:G138" si="8">E134*F134</f>
        <v>0</v>
      </c>
    </row>
    <row r="135" spans="2:36" ht="18" customHeight="1">
      <c r="B135" s="125"/>
      <c r="C135" s="1272" t="s">
        <v>212</v>
      </c>
      <c r="D135" s="209" t="s">
        <v>66</v>
      </c>
      <c r="E135" s="204">
        <v>2</v>
      </c>
      <c r="F135" s="210">
        <v>0</v>
      </c>
      <c r="G135" s="211">
        <f t="shared" si="8"/>
        <v>0</v>
      </c>
    </row>
    <row r="136" spans="2:36" ht="18" customHeight="1">
      <c r="B136" s="125"/>
      <c r="C136" s="1272" t="s">
        <v>885</v>
      </c>
      <c r="D136" s="209" t="s">
        <v>66</v>
      </c>
      <c r="E136" s="204">
        <v>2</v>
      </c>
      <c r="F136" s="210">
        <v>0</v>
      </c>
      <c r="G136" s="211">
        <f t="shared" si="8"/>
        <v>0</v>
      </c>
    </row>
    <row r="137" spans="2:36" ht="18" customHeight="1">
      <c r="B137" s="125"/>
      <c r="C137" s="1272" t="s">
        <v>213</v>
      </c>
      <c r="D137" s="209" t="s">
        <v>66</v>
      </c>
      <c r="E137" s="204">
        <v>2</v>
      </c>
      <c r="F137" s="210">
        <v>0</v>
      </c>
      <c r="G137" s="211">
        <f t="shared" si="8"/>
        <v>0</v>
      </c>
    </row>
    <row r="138" spans="2:36" s="179" customFormat="1" ht="15.75" customHeight="1">
      <c r="B138" s="207"/>
      <c r="C138" s="1227" t="s">
        <v>214</v>
      </c>
      <c r="D138" s="209" t="s">
        <v>66</v>
      </c>
      <c r="E138" s="204">
        <v>4</v>
      </c>
      <c r="F138" s="210">
        <v>0</v>
      </c>
      <c r="G138" s="211">
        <f t="shared" si="8"/>
        <v>0</v>
      </c>
      <c r="H138" s="8"/>
    </row>
    <row r="139" spans="2:36">
      <c r="B139" s="125"/>
      <c r="C139" s="1256" t="s">
        <v>124</v>
      </c>
      <c r="D139" s="209"/>
      <c r="E139" s="204"/>
      <c r="F139" s="205"/>
      <c r="G139" s="206"/>
      <c r="Q139" s="217"/>
      <c r="R139" s="217"/>
      <c r="U139" s="217"/>
      <c r="AC139" s="217"/>
      <c r="AD139" s="217"/>
      <c r="AF139" s="217"/>
      <c r="AJ139" s="217"/>
    </row>
    <row r="140" spans="2:36" s="179" customFormat="1" ht="18" customHeight="1">
      <c r="B140" s="207"/>
      <c r="C140" s="1227" t="s">
        <v>199</v>
      </c>
      <c r="D140" s="209" t="s">
        <v>66</v>
      </c>
      <c r="E140" s="204">
        <v>19</v>
      </c>
      <c r="F140" s="210">
        <v>0</v>
      </c>
      <c r="G140" s="211">
        <f t="shared" ref="G140:G141" si="9">E140*F140</f>
        <v>0</v>
      </c>
      <c r="H140" s="8"/>
    </row>
    <row r="141" spans="2:36" s="179" customFormat="1" ht="18" customHeight="1">
      <c r="B141" s="207"/>
      <c r="C141" s="1227" t="s">
        <v>217</v>
      </c>
      <c r="D141" s="209" t="s">
        <v>66</v>
      </c>
      <c r="E141" s="204">
        <v>2</v>
      </c>
      <c r="F141" s="210">
        <v>0</v>
      </c>
      <c r="G141" s="211">
        <f t="shared" si="9"/>
        <v>0</v>
      </c>
      <c r="H141" s="8"/>
    </row>
    <row r="142" spans="2:36">
      <c r="B142" s="125"/>
      <c r="C142" s="1256" t="s">
        <v>1641</v>
      </c>
      <c r="D142" s="209"/>
      <c r="E142" s="204"/>
      <c r="F142" s="205"/>
      <c r="G142" s="206"/>
      <c r="I142" s="217"/>
      <c r="L142" s="217"/>
      <c r="M142" s="217"/>
    </row>
    <row r="143" spans="2:36" s="179" customFormat="1" ht="18" customHeight="1">
      <c r="B143" s="207"/>
      <c r="C143" s="1227" t="s">
        <v>1642</v>
      </c>
      <c r="D143" s="209" t="s">
        <v>66</v>
      </c>
      <c r="E143" s="204">
        <v>6</v>
      </c>
      <c r="F143" s="210">
        <v>0</v>
      </c>
      <c r="G143" s="211">
        <f t="shared" ref="G143:G144" si="10">E143*F143</f>
        <v>0</v>
      </c>
      <c r="H143" s="8"/>
    </row>
    <row r="144" spans="2:36" s="179" customFormat="1" ht="18" customHeight="1">
      <c r="B144" s="207"/>
      <c r="C144" s="1227" t="s">
        <v>1643</v>
      </c>
      <c r="D144" s="209" t="s">
        <v>66</v>
      </c>
      <c r="E144" s="204">
        <v>2</v>
      </c>
      <c r="F144" s="210">
        <v>0</v>
      </c>
      <c r="G144" s="211">
        <f t="shared" si="10"/>
        <v>0</v>
      </c>
      <c r="H144" s="8"/>
    </row>
    <row r="145" spans="2:41" s="217" customFormat="1">
      <c r="B145" s="201" t="s">
        <v>126</v>
      </c>
      <c r="C145" s="212" t="s">
        <v>127</v>
      </c>
      <c r="D145" s="1228"/>
      <c r="E145" s="214"/>
      <c r="F145" s="215">
        <v>0</v>
      </c>
      <c r="G145" s="216"/>
      <c r="H145" s="8"/>
    </row>
    <row r="146" spans="2:41" s="217" customFormat="1">
      <c r="B146" s="218"/>
      <c r="C146" s="212" t="s">
        <v>281</v>
      </c>
      <c r="D146" s="1228"/>
      <c r="E146" s="214"/>
      <c r="F146" s="215">
        <v>0</v>
      </c>
      <c r="G146" s="216"/>
      <c r="H146" s="8"/>
      <c r="AO146" s="217" t="s">
        <v>1644</v>
      </c>
    </row>
    <row r="147" spans="2:41" s="1229" customFormat="1">
      <c r="B147" s="218"/>
      <c r="C147" s="219" t="s">
        <v>282</v>
      </c>
      <c r="D147" s="1228" t="s">
        <v>66</v>
      </c>
      <c r="E147" s="214">
        <v>3</v>
      </c>
      <c r="F147" s="220">
        <v>0</v>
      </c>
      <c r="G147" s="221">
        <f t="shared" ref="G147:G155" si="11">E147*F147</f>
        <v>0</v>
      </c>
      <c r="H147" s="1273"/>
      <c r="AO147" s="1229">
        <v>1</v>
      </c>
    </row>
    <row r="148" spans="2:41" s="217" customFormat="1" ht="38.25" customHeight="1">
      <c r="B148" s="218"/>
      <c r="C148" s="222" t="s">
        <v>283</v>
      </c>
      <c r="D148" s="1228" t="s">
        <v>66</v>
      </c>
      <c r="E148" s="214">
        <v>3</v>
      </c>
      <c r="F148" s="220">
        <v>0</v>
      </c>
      <c r="G148" s="221">
        <f t="shared" si="11"/>
        <v>0</v>
      </c>
      <c r="H148" s="1274"/>
      <c r="AO148" s="217">
        <v>1</v>
      </c>
    </row>
    <row r="149" spans="2:41" s="217" customFormat="1">
      <c r="B149" s="218"/>
      <c r="C149" s="222" t="s">
        <v>1645</v>
      </c>
      <c r="D149" s="1228" t="s">
        <v>66</v>
      </c>
      <c r="E149" s="214">
        <v>2</v>
      </c>
      <c r="F149" s="220">
        <v>0</v>
      </c>
      <c r="G149" s="221">
        <f t="shared" si="11"/>
        <v>0</v>
      </c>
      <c r="H149" s="1274"/>
      <c r="AO149" s="217">
        <v>1</v>
      </c>
    </row>
    <row r="150" spans="2:41" s="217" customFormat="1">
      <c r="B150" s="218"/>
      <c r="C150" s="222" t="s">
        <v>183</v>
      </c>
      <c r="D150" s="1228" t="s">
        <v>66</v>
      </c>
      <c r="E150" s="214">
        <v>2</v>
      </c>
      <c r="F150" s="220">
        <v>0</v>
      </c>
      <c r="G150" s="221">
        <f t="shared" si="11"/>
        <v>0</v>
      </c>
      <c r="H150" s="1274"/>
      <c r="AO150" s="217" t="s">
        <v>568</v>
      </c>
    </row>
    <row r="151" spans="2:41" s="217" customFormat="1">
      <c r="B151" s="218"/>
      <c r="C151" s="222" t="s">
        <v>145</v>
      </c>
      <c r="D151" s="1228" t="s">
        <v>66</v>
      </c>
      <c r="E151" s="214">
        <v>3</v>
      </c>
      <c r="F151" s="220">
        <v>0</v>
      </c>
      <c r="G151" s="221">
        <f t="shared" si="11"/>
        <v>0</v>
      </c>
      <c r="H151" s="1274"/>
      <c r="AO151" s="217">
        <v>1</v>
      </c>
    </row>
    <row r="152" spans="2:41" s="217" customFormat="1">
      <c r="B152" s="218"/>
      <c r="C152" s="222" t="s">
        <v>1646</v>
      </c>
      <c r="D152" s="1228" t="s">
        <v>66</v>
      </c>
      <c r="E152" s="214">
        <v>2</v>
      </c>
      <c r="F152" s="220">
        <v>0</v>
      </c>
      <c r="G152" s="221">
        <f t="shared" si="11"/>
        <v>0</v>
      </c>
      <c r="H152" s="1274"/>
      <c r="AO152" s="217" t="s">
        <v>568</v>
      </c>
    </row>
    <row r="153" spans="2:41" s="217" customFormat="1">
      <c r="B153" s="218"/>
      <c r="C153" s="1230" t="s">
        <v>216</v>
      </c>
      <c r="D153" s="1228" t="s">
        <v>66</v>
      </c>
      <c r="E153" s="214">
        <v>6</v>
      </c>
      <c r="F153" s="220">
        <v>0</v>
      </c>
      <c r="G153" s="221">
        <f t="shared" si="11"/>
        <v>0</v>
      </c>
      <c r="H153" s="1274"/>
      <c r="AO153" s="217">
        <v>2</v>
      </c>
    </row>
    <row r="154" spans="2:41" s="217" customFormat="1">
      <c r="B154" s="218"/>
      <c r="C154" s="1230" t="s">
        <v>134</v>
      </c>
      <c r="D154" s="1228" t="s">
        <v>66</v>
      </c>
      <c r="E154" s="214">
        <v>4</v>
      </c>
      <c r="F154" s="220">
        <v>0</v>
      </c>
      <c r="G154" s="221">
        <f t="shared" si="11"/>
        <v>0</v>
      </c>
      <c r="H154" s="1274"/>
      <c r="AO154" s="217">
        <v>1</v>
      </c>
    </row>
    <row r="155" spans="2:41" s="217" customFormat="1">
      <c r="B155" s="218"/>
      <c r="C155" s="1231" t="s">
        <v>1537</v>
      </c>
      <c r="D155" s="1228" t="s">
        <v>66</v>
      </c>
      <c r="E155" s="214">
        <v>3</v>
      </c>
      <c r="F155" s="220">
        <v>0</v>
      </c>
      <c r="G155" s="221">
        <f t="shared" si="11"/>
        <v>0</v>
      </c>
      <c r="H155" s="1274"/>
      <c r="AO155" s="217">
        <v>1</v>
      </c>
    </row>
    <row r="156" spans="2:41" s="217" customFormat="1">
      <c r="B156" s="201" t="s">
        <v>136</v>
      </c>
      <c r="C156" s="223" t="s">
        <v>137</v>
      </c>
      <c r="D156" s="1232"/>
      <c r="E156" s="225"/>
      <c r="F156" s="226"/>
      <c r="G156" s="227"/>
      <c r="H156" s="8"/>
    </row>
    <row r="157" spans="2:41" s="217" customFormat="1">
      <c r="B157" s="218"/>
      <c r="C157" s="223" t="s">
        <v>284</v>
      </c>
      <c r="D157" s="1232"/>
      <c r="E157" s="225"/>
      <c r="F157" s="226">
        <v>0</v>
      </c>
      <c r="G157" s="227"/>
      <c r="H157" s="8"/>
      <c r="W157" s="1"/>
    </row>
    <row r="158" spans="2:41" s="1229" customFormat="1">
      <c r="B158" s="218"/>
      <c r="C158" s="228" t="s">
        <v>1538</v>
      </c>
      <c r="D158" s="1232" t="s">
        <v>66</v>
      </c>
      <c r="E158" s="225">
        <v>2</v>
      </c>
      <c r="F158" s="229">
        <v>0</v>
      </c>
      <c r="G158" s="230">
        <f t="shared" ref="G158:G172" si="12">E158*F158</f>
        <v>0</v>
      </c>
      <c r="H158" s="267"/>
    </row>
    <row r="159" spans="2:41" s="1229" customFormat="1">
      <c r="B159" s="218"/>
      <c r="C159" s="228" t="s">
        <v>1539</v>
      </c>
      <c r="D159" s="1232" t="s">
        <v>66</v>
      </c>
      <c r="E159" s="225">
        <v>4</v>
      </c>
      <c r="F159" s="229">
        <v>0</v>
      </c>
      <c r="G159" s="230">
        <f t="shared" si="12"/>
        <v>0</v>
      </c>
      <c r="H159" s="267"/>
    </row>
    <row r="160" spans="2:41" s="217" customFormat="1" ht="12.75" customHeight="1">
      <c r="B160" s="218"/>
      <c r="C160" s="231" t="s">
        <v>328</v>
      </c>
      <c r="D160" s="1232" t="s">
        <v>66</v>
      </c>
      <c r="E160" s="225">
        <v>2</v>
      </c>
      <c r="F160" s="229">
        <v>0</v>
      </c>
      <c r="G160" s="230">
        <f t="shared" si="12"/>
        <v>0</v>
      </c>
      <c r="H160" s="8"/>
    </row>
    <row r="161" spans="2:8" s="217" customFormat="1">
      <c r="B161" s="218"/>
      <c r="C161" s="231" t="s">
        <v>156</v>
      </c>
      <c r="D161" s="1232" t="s">
        <v>66</v>
      </c>
      <c r="E161" s="225">
        <v>2</v>
      </c>
      <c r="F161" s="229">
        <v>0</v>
      </c>
      <c r="G161" s="230">
        <f t="shared" si="12"/>
        <v>0</v>
      </c>
      <c r="H161" s="8"/>
    </row>
    <row r="162" spans="2:8" s="217" customFormat="1">
      <c r="B162" s="218"/>
      <c r="C162" s="231" t="s">
        <v>142</v>
      </c>
      <c r="D162" s="1232" t="s">
        <v>66</v>
      </c>
      <c r="E162" s="225">
        <v>2</v>
      </c>
      <c r="F162" s="229">
        <v>0</v>
      </c>
      <c r="G162" s="230">
        <f t="shared" si="12"/>
        <v>0</v>
      </c>
      <c r="H162" s="8"/>
    </row>
    <row r="163" spans="2:8" s="217" customFormat="1">
      <c r="B163" s="218"/>
      <c r="C163" s="231" t="s">
        <v>522</v>
      </c>
      <c r="D163" s="1232" t="s">
        <v>66</v>
      </c>
      <c r="E163" s="225">
        <v>2</v>
      </c>
      <c r="F163" s="229">
        <v>0</v>
      </c>
      <c r="G163" s="230">
        <f t="shared" si="12"/>
        <v>0</v>
      </c>
      <c r="H163" s="8"/>
    </row>
    <row r="164" spans="2:8" s="217" customFormat="1">
      <c r="B164" s="218"/>
      <c r="C164" s="231" t="s">
        <v>144</v>
      </c>
      <c r="D164" s="1232" t="s">
        <v>66</v>
      </c>
      <c r="E164" s="225">
        <v>2</v>
      </c>
      <c r="F164" s="229">
        <v>0</v>
      </c>
      <c r="G164" s="230">
        <f t="shared" si="12"/>
        <v>0</v>
      </c>
      <c r="H164" s="8"/>
    </row>
    <row r="165" spans="2:8" s="217" customFormat="1">
      <c r="B165" s="218"/>
      <c r="C165" s="231" t="s">
        <v>330</v>
      </c>
      <c r="D165" s="1232" t="s">
        <v>66</v>
      </c>
      <c r="E165" s="225">
        <v>1</v>
      </c>
      <c r="F165" s="229">
        <v>0</v>
      </c>
      <c r="G165" s="230">
        <f t="shared" si="12"/>
        <v>0</v>
      </c>
      <c r="H165" s="8"/>
    </row>
    <row r="166" spans="2:8" s="217" customFormat="1">
      <c r="B166" s="218"/>
      <c r="C166" s="231" t="s">
        <v>146</v>
      </c>
      <c r="D166" s="1232" t="s">
        <v>66</v>
      </c>
      <c r="E166" s="225">
        <v>2</v>
      </c>
      <c r="F166" s="229">
        <v>0</v>
      </c>
      <c r="G166" s="230">
        <f t="shared" si="12"/>
        <v>0</v>
      </c>
      <c r="H166" s="8"/>
    </row>
    <row r="167" spans="2:8" s="217" customFormat="1">
      <c r="B167" s="218"/>
      <c r="C167" s="279" t="s">
        <v>147</v>
      </c>
      <c r="D167" s="1232" t="s">
        <v>66</v>
      </c>
      <c r="E167" s="225">
        <v>4</v>
      </c>
      <c r="F167" s="229">
        <v>0</v>
      </c>
      <c r="G167" s="230">
        <f t="shared" si="12"/>
        <v>0</v>
      </c>
      <c r="H167" s="8"/>
    </row>
    <row r="168" spans="2:8" s="217" customFormat="1">
      <c r="B168" s="218"/>
      <c r="C168" s="279" t="s">
        <v>216</v>
      </c>
      <c r="D168" s="1232" t="s">
        <v>66</v>
      </c>
      <c r="E168" s="225">
        <v>4</v>
      </c>
      <c r="F168" s="229">
        <v>0</v>
      </c>
      <c r="G168" s="230">
        <f t="shared" si="12"/>
        <v>0</v>
      </c>
      <c r="H168" s="8"/>
    </row>
    <row r="169" spans="2:8" s="217" customFormat="1">
      <c r="B169" s="218"/>
      <c r="C169" s="231" t="s">
        <v>1558</v>
      </c>
      <c r="D169" s="1232" t="s">
        <v>66</v>
      </c>
      <c r="E169" s="225">
        <v>2</v>
      </c>
      <c r="F169" s="229">
        <v>0</v>
      </c>
      <c r="G169" s="230">
        <f t="shared" si="12"/>
        <v>0</v>
      </c>
      <c r="H169" s="8"/>
    </row>
    <row r="170" spans="2:8" s="217" customFormat="1">
      <c r="B170" s="218"/>
      <c r="C170" s="279" t="s">
        <v>149</v>
      </c>
      <c r="D170" s="1232" t="s">
        <v>66</v>
      </c>
      <c r="E170" s="225">
        <v>2</v>
      </c>
      <c r="F170" s="229">
        <v>0</v>
      </c>
      <c r="G170" s="230">
        <f t="shared" si="12"/>
        <v>0</v>
      </c>
      <c r="H170" s="8"/>
    </row>
    <row r="171" spans="2:8" s="217" customFormat="1">
      <c r="B171" s="218"/>
      <c r="C171" s="279" t="s">
        <v>150</v>
      </c>
      <c r="D171" s="1232" t="s">
        <v>66</v>
      </c>
      <c r="E171" s="225">
        <v>4</v>
      </c>
      <c r="F171" s="229">
        <v>0</v>
      </c>
      <c r="G171" s="230">
        <f t="shared" si="12"/>
        <v>0</v>
      </c>
      <c r="H171" s="8"/>
    </row>
    <row r="172" spans="2:8" s="217" customFormat="1">
      <c r="B172" s="218"/>
      <c r="C172" s="1233" t="s">
        <v>1537</v>
      </c>
      <c r="D172" s="1232" t="s">
        <v>66</v>
      </c>
      <c r="E172" s="225">
        <v>6</v>
      </c>
      <c r="F172" s="229">
        <v>0</v>
      </c>
      <c r="G172" s="230">
        <f t="shared" si="12"/>
        <v>0</v>
      </c>
      <c r="H172" s="8"/>
    </row>
    <row r="173" spans="2:8" s="217" customFormat="1">
      <c r="B173" s="201" t="s">
        <v>151</v>
      </c>
      <c r="C173" s="212" t="s">
        <v>1543</v>
      </c>
      <c r="D173" s="1228"/>
      <c r="E173" s="214"/>
      <c r="F173" s="215"/>
      <c r="G173" s="216"/>
      <c r="H173" s="8"/>
    </row>
    <row r="174" spans="2:8" s="217" customFormat="1">
      <c r="B174" s="218"/>
      <c r="C174" s="212" t="s">
        <v>1544</v>
      </c>
      <c r="D174" s="1228"/>
      <c r="E174" s="214"/>
      <c r="F174" s="215">
        <v>0</v>
      </c>
      <c r="G174" s="216"/>
      <c r="H174" s="8"/>
    </row>
    <row r="175" spans="2:8" s="1229" customFormat="1">
      <c r="B175" s="218"/>
      <c r="C175" s="219" t="s">
        <v>1538</v>
      </c>
      <c r="D175" s="1228" t="s">
        <v>66</v>
      </c>
      <c r="E175" s="214">
        <v>4</v>
      </c>
      <c r="F175" s="220">
        <v>0</v>
      </c>
      <c r="G175" s="221">
        <f t="shared" ref="G175:G184" si="13">E175*F175</f>
        <v>0</v>
      </c>
      <c r="H175" s="267"/>
    </row>
    <row r="176" spans="2:8" s="217" customFormat="1" ht="13.5" customHeight="1">
      <c r="B176" s="218"/>
      <c r="C176" s="222" t="s">
        <v>328</v>
      </c>
      <c r="D176" s="1228" t="s">
        <v>66</v>
      </c>
      <c r="E176" s="214">
        <v>4</v>
      </c>
      <c r="F176" s="220">
        <v>0</v>
      </c>
      <c r="G176" s="221">
        <f t="shared" si="13"/>
        <v>0</v>
      </c>
      <c r="H176" s="8"/>
    </row>
    <row r="177" spans="2:26" s="217" customFormat="1">
      <c r="B177" s="218"/>
      <c r="C177" s="222" t="s">
        <v>155</v>
      </c>
      <c r="D177" s="1228" t="s">
        <v>66</v>
      </c>
      <c r="E177" s="214">
        <v>4</v>
      </c>
      <c r="F177" s="220">
        <v>0</v>
      </c>
      <c r="G177" s="221">
        <f t="shared" si="13"/>
        <v>0</v>
      </c>
      <c r="H177" s="8"/>
    </row>
    <row r="178" spans="2:26" s="217" customFormat="1">
      <c r="B178" s="218"/>
      <c r="C178" s="222" t="s">
        <v>1545</v>
      </c>
      <c r="D178" s="1228" t="s">
        <v>66</v>
      </c>
      <c r="E178" s="214">
        <v>4</v>
      </c>
      <c r="F178" s="220">
        <v>0</v>
      </c>
      <c r="G178" s="221">
        <f t="shared" si="13"/>
        <v>0</v>
      </c>
      <c r="H178" s="8"/>
    </row>
    <row r="179" spans="2:26" s="217" customFormat="1">
      <c r="B179" s="218"/>
      <c r="C179" s="222" t="s">
        <v>157</v>
      </c>
      <c r="D179" s="1228" t="s">
        <v>66</v>
      </c>
      <c r="E179" s="214">
        <v>4</v>
      </c>
      <c r="F179" s="220">
        <v>0</v>
      </c>
      <c r="G179" s="221">
        <f t="shared" si="13"/>
        <v>0</v>
      </c>
      <c r="H179" s="8"/>
    </row>
    <row r="180" spans="2:26" s="217" customFormat="1">
      <c r="B180" s="218"/>
      <c r="C180" s="1230" t="s">
        <v>158</v>
      </c>
      <c r="D180" s="1228" t="s">
        <v>66</v>
      </c>
      <c r="E180" s="214">
        <v>10</v>
      </c>
      <c r="F180" s="220">
        <v>0</v>
      </c>
      <c r="G180" s="221">
        <f t="shared" si="13"/>
        <v>0</v>
      </c>
      <c r="H180" s="8"/>
    </row>
    <row r="181" spans="2:26" s="217" customFormat="1">
      <c r="B181" s="218"/>
      <c r="C181" s="1230" t="s">
        <v>216</v>
      </c>
      <c r="D181" s="1228" t="s">
        <v>66</v>
      </c>
      <c r="E181" s="214">
        <v>8</v>
      </c>
      <c r="F181" s="220">
        <v>0</v>
      </c>
      <c r="G181" s="221">
        <f t="shared" si="13"/>
        <v>0</v>
      </c>
      <c r="H181" s="8"/>
    </row>
    <row r="182" spans="2:26" s="217" customFormat="1">
      <c r="B182" s="218"/>
      <c r="C182" s="1230" t="s">
        <v>150</v>
      </c>
      <c r="D182" s="1228" t="s">
        <v>66</v>
      </c>
      <c r="E182" s="214">
        <v>4</v>
      </c>
      <c r="F182" s="220">
        <v>0</v>
      </c>
      <c r="G182" s="221">
        <f t="shared" si="13"/>
        <v>0</v>
      </c>
      <c r="H182" s="8"/>
    </row>
    <row r="183" spans="2:26" s="217" customFormat="1">
      <c r="B183" s="218"/>
      <c r="C183" s="1231" t="s">
        <v>1537</v>
      </c>
      <c r="D183" s="1228" t="s">
        <v>66</v>
      </c>
      <c r="E183" s="214">
        <v>4</v>
      </c>
      <c r="F183" s="220">
        <v>0</v>
      </c>
      <c r="G183" s="221">
        <f t="shared" si="13"/>
        <v>0</v>
      </c>
      <c r="H183" s="8"/>
    </row>
    <row r="184" spans="2:26" ht="30" customHeight="1">
      <c r="B184" s="199" t="s">
        <v>1416</v>
      </c>
      <c r="C184" s="212" t="s">
        <v>332</v>
      </c>
      <c r="D184" s="1228" t="s">
        <v>66</v>
      </c>
      <c r="E184" s="214">
        <v>4</v>
      </c>
      <c r="F184" s="220">
        <v>0</v>
      </c>
      <c r="G184" s="221">
        <f t="shared" si="13"/>
        <v>0</v>
      </c>
    </row>
    <row r="185" spans="2:26" s="217" customFormat="1">
      <c r="B185" s="201" t="s">
        <v>159</v>
      </c>
      <c r="C185" s="223" t="s">
        <v>160</v>
      </c>
      <c r="D185" s="1232"/>
      <c r="E185" s="225"/>
      <c r="F185" s="226"/>
      <c r="G185" s="227"/>
      <c r="H185" s="8"/>
    </row>
    <row r="186" spans="2:26" s="217" customFormat="1">
      <c r="B186" s="218"/>
      <c r="C186" s="223" t="s">
        <v>1647</v>
      </c>
      <c r="D186" s="1232"/>
      <c r="E186" s="225"/>
      <c r="F186" s="226">
        <v>0</v>
      </c>
      <c r="G186" s="227"/>
      <c r="H186" s="8"/>
      <c r="Z186" s="1"/>
    </row>
    <row r="187" spans="2:26" s="1229" customFormat="1">
      <c r="B187" s="218"/>
      <c r="C187" s="243" t="s">
        <v>1564</v>
      </c>
      <c r="D187" s="260" t="s">
        <v>66</v>
      </c>
      <c r="E187" s="240">
        <v>1</v>
      </c>
      <c r="F187" s="244">
        <v>0</v>
      </c>
      <c r="G187" s="245">
        <f t="shared" ref="G187:G193" si="14">E187*F187</f>
        <v>0</v>
      </c>
      <c r="H187" s="267"/>
    </row>
    <row r="188" spans="2:26" s="217" customFormat="1">
      <c r="B188" s="218"/>
      <c r="C188" s="1123" t="s">
        <v>1558</v>
      </c>
      <c r="D188" s="260" t="s">
        <v>66</v>
      </c>
      <c r="E188" s="240">
        <v>1</v>
      </c>
      <c r="F188" s="244">
        <v>0</v>
      </c>
      <c r="G188" s="245">
        <f t="shared" si="14"/>
        <v>0</v>
      </c>
      <c r="H188" s="8"/>
    </row>
    <row r="189" spans="2:26" s="217" customFormat="1">
      <c r="B189" s="218"/>
      <c r="C189" s="109" t="s">
        <v>216</v>
      </c>
      <c r="D189" s="260" t="s">
        <v>66</v>
      </c>
      <c r="E189" s="240">
        <v>1</v>
      </c>
      <c r="F189" s="244">
        <v>0</v>
      </c>
      <c r="G189" s="245">
        <f t="shared" si="14"/>
        <v>0</v>
      </c>
      <c r="H189" s="8"/>
    </row>
    <row r="190" spans="2:26" s="1229" customFormat="1">
      <c r="B190" s="218"/>
      <c r="C190" s="1123" t="s">
        <v>1539</v>
      </c>
      <c r="D190" s="260" t="s">
        <v>66</v>
      </c>
      <c r="E190" s="240">
        <v>1</v>
      </c>
      <c r="F190" s="244">
        <v>0</v>
      </c>
      <c r="G190" s="245">
        <f t="shared" si="14"/>
        <v>0</v>
      </c>
      <c r="H190" s="267"/>
    </row>
    <row r="191" spans="2:26" s="1229" customFormat="1" ht="15" customHeight="1">
      <c r="B191" s="218"/>
      <c r="C191" s="1123" t="s">
        <v>2088</v>
      </c>
      <c r="D191" s="260" t="s">
        <v>66</v>
      </c>
      <c r="E191" s="240">
        <v>1</v>
      </c>
      <c r="F191" s="244">
        <v>0</v>
      </c>
      <c r="G191" s="245">
        <f t="shared" ref="G191" si="15">E191*F191</f>
        <v>0</v>
      </c>
      <c r="H191" s="267"/>
    </row>
    <row r="192" spans="2:26" s="217" customFormat="1">
      <c r="B192" s="218"/>
      <c r="C192" s="109" t="s">
        <v>150</v>
      </c>
      <c r="D192" s="260" t="s">
        <v>66</v>
      </c>
      <c r="E192" s="240">
        <v>1</v>
      </c>
      <c r="F192" s="244">
        <v>0</v>
      </c>
      <c r="G192" s="245">
        <f t="shared" si="14"/>
        <v>0</v>
      </c>
      <c r="H192" s="8"/>
    </row>
    <row r="193" spans="2:41" s="217" customFormat="1">
      <c r="B193" s="218"/>
      <c r="C193" s="1237" t="s">
        <v>1537</v>
      </c>
      <c r="D193" s="260" t="s">
        <v>66</v>
      </c>
      <c r="E193" s="240">
        <v>1</v>
      </c>
      <c r="F193" s="244">
        <v>0</v>
      </c>
      <c r="G193" s="245">
        <f t="shared" si="14"/>
        <v>0</v>
      </c>
      <c r="H193" s="8"/>
    </row>
    <row r="194" spans="2:41" s="217" customFormat="1">
      <c r="B194" s="218"/>
      <c r="C194" s="223" t="s">
        <v>1556</v>
      </c>
      <c r="D194" s="1232"/>
      <c r="E194" s="225"/>
      <c r="F194" s="225"/>
      <c r="G194" s="227"/>
      <c r="H194" s="8"/>
      <c r="Z194" s="1"/>
      <c r="AO194" s="217" t="s">
        <v>1644</v>
      </c>
    </row>
    <row r="195" spans="2:41" s="1229" customFormat="1" ht="27.75" customHeight="1">
      <c r="B195" s="218"/>
      <c r="C195" s="228" t="s">
        <v>2087</v>
      </c>
      <c r="D195" s="1232" t="s">
        <v>66</v>
      </c>
      <c r="E195" s="225">
        <v>2</v>
      </c>
      <c r="F195" s="229">
        <v>0</v>
      </c>
      <c r="G195" s="230">
        <f t="shared" ref="G195:G199" si="16">E195*F195</f>
        <v>0</v>
      </c>
      <c r="H195" s="267"/>
      <c r="AO195" s="1229">
        <v>1</v>
      </c>
    </row>
    <row r="196" spans="2:41" s="217" customFormat="1">
      <c r="B196" s="218"/>
      <c r="C196" s="279" t="s">
        <v>216</v>
      </c>
      <c r="D196" s="1232" t="s">
        <v>66</v>
      </c>
      <c r="E196" s="225">
        <v>4</v>
      </c>
      <c r="F196" s="229">
        <v>0</v>
      </c>
      <c r="G196" s="230">
        <f t="shared" si="16"/>
        <v>0</v>
      </c>
      <c r="H196" s="8"/>
      <c r="AO196" s="217">
        <v>2</v>
      </c>
    </row>
    <row r="197" spans="2:41" s="217" customFormat="1">
      <c r="B197" s="218"/>
      <c r="C197" s="231" t="s">
        <v>1539</v>
      </c>
      <c r="D197" s="1232" t="s">
        <v>66</v>
      </c>
      <c r="E197" s="225">
        <v>3</v>
      </c>
      <c r="F197" s="229">
        <v>0</v>
      </c>
      <c r="G197" s="230">
        <f t="shared" si="16"/>
        <v>0</v>
      </c>
      <c r="H197" s="8"/>
      <c r="AO197" s="217">
        <v>1</v>
      </c>
    </row>
    <row r="198" spans="2:41" s="217" customFormat="1">
      <c r="B198" s="218"/>
      <c r="C198" s="279" t="s">
        <v>150</v>
      </c>
      <c r="D198" s="1232" t="s">
        <v>66</v>
      </c>
      <c r="E198" s="225">
        <v>5</v>
      </c>
      <c r="F198" s="229">
        <v>0</v>
      </c>
      <c r="G198" s="230">
        <f t="shared" si="16"/>
        <v>0</v>
      </c>
      <c r="H198" s="8"/>
      <c r="AO198" s="217">
        <v>2</v>
      </c>
    </row>
    <row r="199" spans="2:41" s="217" customFormat="1">
      <c r="B199" s="218"/>
      <c r="C199" s="1233" t="s">
        <v>1537</v>
      </c>
      <c r="D199" s="1232" t="s">
        <v>66</v>
      </c>
      <c r="E199" s="225">
        <v>5</v>
      </c>
      <c r="F199" s="229">
        <v>0</v>
      </c>
      <c r="G199" s="230">
        <f t="shared" si="16"/>
        <v>0</v>
      </c>
      <c r="H199" s="8"/>
      <c r="AO199" s="217">
        <v>2</v>
      </c>
    </row>
    <row r="200" spans="2:41" s="217" customFormat="1">
      <c r="B200" s="218"/>
      <c r="C200" s="223" t="s">
        <v>215</v>
      </c>
      <c r="D200" s="1232"/>
      <c r="E200" s="225"/>
      <c r="F200" s="227"/>
      <c r="G200" s="227"/>
      <c r="H200" s="8"/>
    </row>
    <row r="201" spans="2:41" s="1229" customFormat="1" ht="27.75" customHeight="1">
      <c r="B201" s="218"/>
      <c r="C201" s="228" t="s">
        <v>2068</v>
      </c>
      <c r="D201" s="1232" t="s">
        <v>66</v>
      </c>
      <c r="E201" s="225">
        <v>1</v>
      </c>
      <c r="F201" s="229">
        <v>0</v>
      </c>
      <c r="G201" s="230">
        <f t="shared" ref="G201:G205" si="17">E201*F201</f>
        <v>0</v>
      </c>
      <c r="H201" s="267"/>
    </row>
    <row r="202" spans="2:41" s="217" customFormat="1">
      <c r="B202" s="218"/>
      <c r="C202" s="279" t="s">
        <v>216</v>
      </c>
      <c r="D202" s="1232" t="s">
        <v>66</v>
      </c>
      <c r="E202" s="225">
        <v>2</v>
      </c>
      <c r="F202" s="229">
        <v>0</v>
      </c>
      <c r="G202" s="230">
        <f t="shared" si="17"/>
        <v>0</v>
      </c>
      <c r="H202" s="8"/>
    </row>
    <row r="203" spans="2:41" s="217" customFormat="1">
      <c r="B203" s="218"/>
      <c r="C203" s="279" t="s">
        <v>184</v>
      </c>
      <c r="D203" s="1232" t="s">
        <v>66</v>
      </c>
      <c r="E203" s="225">
        <v>2</v>
      </c>
      <c r="F203" s="229">
        <v>0</v>
      </c>
      <c r="G203" s="230">
        <f t="shared" si="17"/>
        <v>0</v>
      </c>
      <c r="H203" s="8"/>
    </row>
    <row r="204" spans="2:41" s="217" customFormat="1">
      <c r="B204" s="218"/>
      <c r="C204" s="279" t="s">
        <v>150</v>
      </c>
      <c r="D204" s="1232" t="s">
        <v>66</v>
      </c>
      <c r="E204" s="225">
        <v>1</v>
      </c>
      <c r="F204" s="229">
        <v>0</v>
      </c>
      <c r="G204" s="230">
        <f t="shared" si="17"/>
        <v>0</v>
      </c>
      <c r="H204" s="8"/>
    </row>
    <row r="205" spans="2:41" s="217" customFormat="1">
      <c r="B205" s="218"/>
      <c r="C205" s="1233" t="s">
        <v>1537</v>
      </c>
      <c r="D205" s="1232" t="s">
        <v>66</v>
      </c>
      <c r="E205" s="225">
        <v>1</v>
      </c>
      <c r="F205" s="229">
        <v>0</v>
      </c>
      <c r="G205" s="230">
        <f t="shared" si="17"/>
        <v>0</v>
      </c>
      <c r="H205" s="8"/>
    </row>
    <row r="206" spans="2:41" s="217" customFormat="1">
      <c r="B206" s="218"/>
      <c r="C206" s="223" t="s">
        <v>1408</v>
      </c>
      <c r="D206" s="1232"/>
      <c r="E206" s="225"/>
      <c r="F206" s="227"/>
      <c r="G206" s="227"/>
      <c r="H206" s="8"/>
      <c r="X206" s="1"/>
      <c r="AA206" s="1"/>
    </row>
    <row r="207" spans="2:41" s="1229" customFormat="1" ht="26.25" customHeight="1">
      <c r="B207" s="218"/>
      <c r="C207" s="228" t="s">
        <v>2064</v>
      </c>
      <c r="D207" s="1232" t="s">
        <v>66</v>
      </c>
      <c r="E207" s="225">
        <v>14</v>
      </c>
      <c r="F207" s="229">
        <v>0</v>
      </c>
      <c r="G207" s="230">
        <f t="shared" ref="G207:G213" si="18">E207*F207</f>
        <v>0</v>
      </c>
      <c r="H207" s="267"/>
    </row>
    <row r="208" spans="2:41" s="217" customFormat="1">
      <c r="B208" s="218"/>
      <c r="C208" s="279" t="s">
        <v>216</v>
      </c>
      <c r="D208" s="1232" t="s">
        <v>66</v>
      </c>
      <c r="E208" s="225">
        <v>28</v>
      </c>
      <c r="F208" s="229">
        <v>0</v>
      </c>
      <c r="G208" s="230">
        <f t="shared" si="18"/>
        <v>0</v>
      </c>
      <c r="H208" s="8"/>
    </row>
    <row r="209" spans="2:8" s="217" customFormat="1">
      <c r="B209" s="218"/>
      <c r="C209" s="279" t="s">
        <v>132</v>
      </c>
      <c r="D209" s="1232" t="s">
        <v>66</v>
      </c>
      <c r="E209" s="225">
        <v>26</v>
      </c>
      <c r="F209" s="229">
        <v>0</v>
      </c>
      <c r="G209" s="230">
        <f t="shared" si="18"/>
        <v>0</v>
      </c>
      <c r="H209" s="8"/>
    </row>
    <row r="210" spans="2:8" s="217" customFormat="1">
      <c r="B210" s="218"/>
      <c r="C210" s="279" t="s">
        <v>202</v>
      </c>
      <c r="D210" s="1232" t="s">
        <v>66</v>
      </c>
      <c r="E210" s="225">
        <v>53</v>
      </c>
      <c r="F210" s="229">
        <v>0</v>
      </c>
      <c r="G210" s="230">
        <f t="shared" si="18"/>
        <v>0</v>
      </c>
      <c r="H210" s="8"/>
    </row>
    <row r="211" spans="2:8" s="217" customFormat="1">
      <c r="B211" s="218"/>
      <c r="C211" s="231" t="s">
        <v>1558</v>
      </c>
      <c r="D211" s="1232" t="s">
        <v>66</v>
      </c>
      <c r="E211" s="225">
        <v>3</v>
      </c>
      <c r="F211" s="229">
        <v>0</v>
      </c>
      <c r="G211" s="230">
        <f t="shared" si="18"/>
        <v>0</v>
      </c>
      <c r="H211" s="8"/>
    </row>
    <row r="212" spans="2:8" s="217" customFormat="1">
      <c r="B212" s="218"/>
      <c r="C212" s="279" t="s">
        <v>150</v>
      </c>
      <c r="D212" s="1232" t="s">
        <v>66</v>
      </c>
      <c r="E212" s="225">
        <v>14</v>
      </c>
      <c r="F212" s="229">
        <v>0</v>
      </c>
      <c r="G212" s="230">
        <f t="shared" si="18"/>
        <v>0</v>
      </c>
      <c r="H212" s="8"/>
    </row>
    <row r="213" spans="2:8" s="217" customFormat="1">
      <c r="B213" s="218"/>
      <c r="C213" s="1233" t="s">
        <v>1537</v>
      </c>
      <c r="D213" s="1232" t="s">
        <v>66</v>
      </c>
      <c r="E213" s="225">
        <v>14</v>
      </c>
      <c r="F213" s="229">
        <v>0</v>
      </c>
      <c r="G213" s="230">
        <f t="shared" si="18"/>
        <v>0</v>
      </c>
      <c r="H213" s="8"/>
    </row>
    <row r="214" spans="2:8" s="217" customFormat="1">
      <c r="B214" s="218"/>
      <c r="C214" s="223" t="s">
        <v>1648</v>
      </c>
      <c r="D214" s="1232"/>
      <c r="E214" s="225"/>
      <c r="F214" s="227"/>
      <c r="G214" s="227"/>
      <c r="H214" s="8"/>
    </row>
    <row r="215" spans="2:8" s="1229" customFormat="1" ht="26.25" customHeight="1">
      <c r="B215" s="218"/>
      <c r="C215" s="228" t="s">
        <v>2076</v>
      </c>
      <c r="D215" s="1232" t="s">
        <v>66</v>
      </c>
      <c r="E215" s="225">
        <v>3</v>
      </c>
      <c r="F215" s="229">
        <v>0</v>
      </c>
      <c r="G215" s="230">
        <f t="shared" ref="G215:G221" si="19">E215*F215</f>
        <v>0</v>
      </c>
      <c r="H215" s="267"/>
    </row>
    <row r="216" spans="2:8" s="217" customFormat="1">
      <c r="B216" s="218"/>
      <c r="C216" s="279" t="s">
        <v>216</v>
      </c>
      <c r="D216" s="1232" t="s">
        <v>66</v>
      </c>
      <c r="E216" s="225">
        <v>6</v>
      </c>
      <c r="F216" s="229">
        <v>0</v>
      </c>
      <c r="G216" s="230">
        <f t="shared" si="19"/>
        <v>0</v>
      </c>
      <c r="H216" s="8"/>
    </row>
    <row r="217" spans="2:8" s="217" customFormat="1">
      <c r="B217" s="218"/>
      <c r="C217" s="279" t="s">
        <v>166</v>
      </c>
      <c r="D217" s="1232" t="s">
        <v>66</v>
      </c>
      <c r="E217" s="225">
        <v>4</v>
      </c>
      <c r="F217" s="229">
        <v>0</v>
      </c>
      <c r="G217" s="230">
        <f t="shared" si="19"/>
        <v>0</v>
      </c>
      <c r="H217" s="8"/>
    </row>
    <row r="218" spans="2:8" s="217" customFormat="1">
      <c r="B218" s="218"/>
      <c r="C218" s="279" t="s">
        <v>203</v>
      </c>
      <c r="D218" s="1232" t="s">
        <v>66</v>
      </c>
      <c r="E218" s="225">
        <v>6</v>
      </c>
      <c r="F218" s="229">
        <v>0</v>
      </c>
      <c r="G218" s="230">
        <f t="shared" si="19"/>
        <v>0</v>
      </c>
      <c r="H218" s="8"/>
    </row>
    <row r="219" spans="2:8" s="217" customFormat="1">
      <c r="B219" s="218"/>
      <c r="C219" s="231" t="s">
        <v>1558</v>
      </c>
      <c r="D219" s="1232" t="s">
        <v>66</v>
      </c>
      <c r="E219" s="225">
        <v>1</v>
      </c>
      <c r="F219" s="229">
        <v>0</v>
      </c>
      <c r="G219" s="230">
        <f t="shared" si="19"/>
        <v>0</v>
      </c>
      <c r="H219" s="8"/>
    </row>
    <row r="220" spans="2:8" s="217" customFormat="1">
      <c r="B220" s="218"/>
      <c r="C220" s="279" t="s">
        <v>150</v>
      </c>
      <c r="D220" s="1232" t="s">
        <v>66</v>
      </c>
      <c r="E220" s="225">
        <v>3</v>
      </c>
      <c r="F220" s="229">
        <v>0</v>
      </c>
      <c r="G220" s="230">
        <f t="shared" si="19"/>
        <v>0</v>
      </c>
      <c r="H220" s="8"/>
    </row>
    <row r="221" spans="2:8" s="217" customFormat="1">
      <c r="B221" s="218"/>
      <c r="C221" s="1233" t="s">
        <v>1537</v>
      </c>
      <c r="D221" s="1232" t="s">
        <v>66</v>
      </c>
      <c r="E221" s="225">
        <v>3</v>
      </c>
      <c r="F221" s="229">
        <v>0</v>
      </c>
      <c r="G221" s="230">
        <f t="shared" si="19"/>
        <v>0</v>
      </c>
      <c r="H221" s="8"/>
    </row>
    <row r="222" spans="2:8" s="217" customFormat="1">
      <c r="B222" s="218"/>
      <c r="C222" s="223" t="s">
        <v>337</v>
      </c>
      <c r="D222" s="1232"/>
      <c r="E222" s="225"/>
      <c r="F222" s="227"/>
      <c r="G222" s="227"/>
      <c r="H222" s="8"/>
    </row>
    <row r="223" spans="2:8" s="1229" customFormat="1" ht="24.75" customHeight="1">
      <c r="B223" s="218"/>
      <c r="C223" s="228" t="s">
        <v>2076</v>
      </c>
      <c r="D223" s="1232" t="s">
        <v>66</v>
      </c>
      <c r="E223" s="225">
        <v>1</v>
      </c>
      <c r="F223" s="229">
        <v>0</v>
      </c>
      <c r="G223" s="230">
        <f t="shared" ref="G223:G229" si="20">E223*F223</f>
        <v>0</v>
      </c>
      <c r="H223" s="267"/>
    </row>
    <row r="224" spans="2:8" s="217" customFormat="1">
      <c r="B224" s="218"/>
      <c r="C224" s="279" t="s">
        <v>216</v>
      </c>
      <c r="D224" s="1232" t="s">
        <v>66</v>
      </c>
      <c r="E224" s="225">
        <v>2</v>
      </c>
      <c r="F224" s="229">
        <v>0</v>
      </c>
      <c r="G224" s="230">
        <f t="shared" si="20"/>
        <v>0</v>
      </c>
      <c r="H224" s="8"/>
    </row>
    <row r="225" spans="2:8" s="217" customFormat="1">
      <c r="B225" s="218"/>
      <c r="C225" s="279" t="s">
        <v>166</v>
      </c>
      <c r="D225" s="1232" t="s">
        <v>66</v>
      </c>
      <c r="E225" s="225">
        <v>1</v>
      </c>
      <c r="F225" s="229">
        <v>0</v>
      </c>
      <c r="G225" s="230">
        <f t="shared" si="20"/>
        <v>0</v>
      </c>
      <c r="H225" s="8"/>
    </row>
    <row r="226" spans="2:8" s="217" customFormat="1">
      <c r="B226" s="218"/>
      <c r="C226" s="279" t="s">
        <v>203</v>
      </c>
      <c r="D226" s="1232" t="s">
        <v>66</v>
      </c>
      <c r="E226" s="225">
        <v>1</v>
      </c>
      <c r="F226" s="229">
        <v>0</v>
      </c>
      <c r="G226" s="230">
        <f t="shared" si="20"/>
        <v>0</v>
      </c>
      <c r="H226" s="8"/>
    </row>
    <row r="227" spans="2:8" s="217" customFormat="1">
      <c r="B227" s="218"/>
      <c r="C227" s="279" t="s">
        <v>1541</v>
      </c>
      <c r="D227" s="1232" t="s">
        <v>66</v>
      </c>
      <c r="E227" s="225">
        <v>1</v>
      </c>
      <c r="F227" s="229">
        <v>0</v>
      </c>
      <c r="G227" s="230">
        <f t="shared" si="20"/>
        <v>0</v>
      </c>
      <c r="H227" s="8"/>
    </row>
    <row r="228" spans="2:8" s="217" customFormat="1">
      <c r="B228" s="218"/>
      <c r="C228" s="279" t="s">
        <v>1542</v>
      </c>
      <c r="D228" s="1232" t="s">
        <v>66</v>
      </c>
      <c r="E228" s="225">
        <v>1</v>
      </c>
      <c r="F228" s="229">
        <v>0</v>
      </c>
      <c r="G228" s="230">
        <f t="shared" si="20"/>
        <v>0</v>
      </c>
      <c r="H228" s="8"/>
    </row>
    <row r="229" spans="2:8" s="217" customFormat="1">
      <c r="B229" s="218"/>
      <c r="C229" s="279" t="s">
        <v>150</v>
      </c>
      <c r="D229" s="1232" t="s">
        <v>66</v>
      </c>
      <c r="E229" s="225">
        <v>1</v>
      </c>
      <c r="F229" s="229">
        <v>0</v>
      </c>
      <c r="G229" s="230">
        <f t="shared" si="20"/>
        <v>0</v>
      </c>
      <c r="H229" s="8"/>
    </row>
    <row r="230" spans="2:8" s="217" customFormat="1">
      <c r="B230" s="218"/>
      <c r="C230" s="1233" t="s">
        <v>1537</v>
      </c>
      <c r="D230" s="1232" t="s">
        <v>66</v>
      </c>
      <c r="E230" s="225">
        <v>1</v>
      </c>
      <c r="F230" s="229">
        <v>0</v>
      </c>
      <c r="G230" s="230">
        <f>E230*F230</f>
        <v>0</v>
      </c>
      <c r="H230" s="8"/>
    </row>
    <row r="231" spans="2:8" s="217" customFormat="1">
      <c r="B231" s="218"/>
      <c r="C231" s="223" t="s">
        <v>1649</v>
      </c>
      <c r="D231" s="1232"/>
      <c r="E231" s="225"/>
      <c r="F231" s="227"/>
      <c r="G231" s="227"/>
      <c r="H231" s="8"/>
    </row>
    <row r="232" spans="2:8" s="217" customFormat="1" ht="14.25" customHeight="1">
      <c r="B232" s="218"/>
      <c r="C232" s="228" t="s">
        <v>1567</v>
      </c>
      <c r="D232" s="1232" t="s">
        <v>66</v>
      </c>
      <c r="E232" s="225">
        <v>1</v>
      </c>
      <c r="F232" s="229">
        <v>0</v>
      </c>
      <c r="G232" s="230">
        <f t="shared" ref="G232:G237" si="21">E232*F232</f>
        <v>0</v>
      </c>
      <c r="H232" s="8"/>
    </row>
    <row r="233" spans="2:8" s="1229" customFormat="1">
      <c r="B233" s="218"/>
      <c r="C233" s="279" t="s">
        <v>184</v>
      </c>
      <c r="D233" s="1232" t="s">
        <v>66</v>
      </c>
      <c r="E233" s="225">
        <v>2</v>
      </c>
      <c r="F233" s="229">
        <v>0</v>
      </c>
      <c r="G233" s="230">
        <f t="shared" si="21"/>
        <v>0</v>
      </c>
      <c r="H233" s="267"/>
    </row>
    <row r="234" spans="2:8" s="217" customFormat="1">
      <c r="B234" s="218"/>
      <c r="C234" s="231" t="s">
        <v>187</v>
      </c>
      <c r="D234" s="1232" t="s">
        <v>66</v>
      </c>
      <c r="E234" s="225">
        <v>1</v>
      </c>
      <c r="F234" s="229">
        <v>0</v>
      </c>
      <c r="G234" s="230">
        <f t="shared" si="21"/>
        <v>0</v>
      </c>
      <c r="H234" s="8"/>
    </row>
    <row r="235" spans="2:8" s="217" customFormat="1">
      <c r="B235" s="218"/>
      <c r="C235" s="231" t="s">
        <v>1561</v>
      </c>
      <c r="D235" s="1232" t="s">
        <v>66</v>
      </c>
      <c r="E235" s="225">
        <v>1</v>
      </c>
      <c r="F235" s="229">
        <v>0</v>
      </c>
      <c r="G235" s="230">
        <f t="shared" si="21"/>
        <v>0</v>
      </c>
      <c r="H235" s="8"/>
    </row>
    <row r="236" spans="2:8" s="217" customFormat="1">
      <c r="B236" s="218"/>
      <c r="C236" s="279" t="s">
        <v>150</v>
      </c>
      <c r="D236" s="1232" t="s">
        <v>66</v>
      </c>
      <c r="E236" s="225">
        <v>1</v>
      </c>
      <c r="F236" s="229">
        <v>0</v>
      </c>
      <c r="G236" s="230">
        <f t="shared" si="21"/>
        <v>0</v>
      </c>
      <c r="H236" s="8"/>
    </row>
    <row r="237" spans="2:8" s="217" customFormat="1">
      <c r="B237" s="218"/>
      <c r="C237" s="1233" t="s">
        <v>1537</v>
      </c>
      <c r="D237" s="1232" t="s">
        <v>66</v>
      </c>
      <c r="E237" s="225">
        <v>1</v>
      </c>
      <c r="F237" s="229">
        <v>0</v>
      </c>
      <c r="G237" s="230">
        <f t="shared" si="21"/>
        <v>0</v>
      </c>
      <c r="H237" s="8"/>
    </row>
    <row r="238" spans="2:8" s="217" customFormat="1">
      <c r="B238" s="218"/>
      <c r="C238" s="223" t="s">
        <v>1568</v>
      </c>
      <c r="D238" s="1232"/>
      <c r="E238" s="225"/>
      <c r="F238" s="227"/>
      <c r="G238" s="227"/>
      <c r="H238" s="8"/>
    </row>
    <row r="239" spans="2:8" s="1229" customFormat="1">
      <c r="B239" s="218"/>
      <c r="C239" s="228" t="s">
        <v>197</v>
      </c>
      <c r="D239" s="1232" t="s">
        <v>66</v>
      </c>
      <c r="E239" s="225">
        <v>1</v>
      </c>
      <c r="F239" s="229">
        <v>0</v>
      </c>
      <c r="G239" s="230">
        <f t="shared" ref="G239:G245" si="22">E239*F239</f>
        <v>0</v>
      </c>
      <c r="H239" s="267"/>
    </row>
    <row r="240" spans="2:8" s="1229" customFormat="1">
      <c r="B240" s="218"/>
      <c r="C240" s="231" t="s">
        <v>139</v>
      </c>
      <c r="D240" s="1232" t="s">
        <v>66</v>
      </c>
      <c r="E240" s="225">
        <v>1</v>
      </c>
      <c r="F240" s="229">
        <v>0</v>
      </c>
      <c r="G240" s="230">
        <f t="shared" si="22"/>
        <v>0</v>
      </c>
      <c r="H240" s="267"/>
    </row>
    <row r="241" spans="2:27" s="217" customFormat="1">
      <c r="B241" s="218"/>
      <c r="C241" s="279" t="s">
        <v>410</v>
      </c>
      <c r="D241" s="1232" t="s">
        <v>66</v>
      </c>
      <c r="E241" s="225">
        <v>2</v>
      </c>
      <c r="F241" s="229">
        <v>0</v>
      </c>
      <c r="G241" s="230">
        <f t="shared" si="22"/>
        <v>0</v>
      </c>
      <c r="H241" s="8"/>
    </row>
    <row r="242" spans="2:27" s="217" customFormat="1">
      <c r="B242" s="218"/>
      <c r="C242" s="279" t="s">
        <v>132</v>
      </c>
      <c r="D242" s="1232" t="s">
        <v>66</v>
      </c>
      <c r="E242" s="225">
        <v>1</v>
      </c>
      <c r="F242" s="229">
        <v>0</v>
      </c>
      <c r="G242" s="230">
        <f t="shared" si="22"/>
        <v>0</v>
      </c>
      <c r="H242" s="8"/>
    </row>
    <row r="243" spans="2:27" s="217" customFormat="1">
      <c r="B243" s="218"/>
      <c r="C243" s="279" t="s">
        <v>202</v>
      </c>
      <c r="D243" s="1232" t="s">
        <v>66</v>
      </c>
      <c r="E243" s="225">
        <v>1</v>
      </c>
      <c r="F243" s="229">
        <v>0</v>
      </c>
      <c r="G243" s="230">
        <f t="shared" si="22"/>
        <v>0</v>
      </c>
      <c r="H243" s="8"/>
    </row>
    <row r="244" spans="2:27" s="217" customFormat="1">
      <c r="B244" s="218"/>
      <c r="C244" s="279" t="s">
        <v>150</v>
      </c>
      <c r="D244" s="1232" t="s">
        <v>66</v>
      </c>
      <c r="E244" s="225">
        <v>1</v>
      </c>
      <c r="F244" s="229">
        <v>0</v>
      </c>
      <c r="G244" s="230">
        <f t="shared" si="22"/>
        <v>0</v>
      </c>
      <c r="H244" s="8"/>
    </row>
    <row r="245" spans="2:27" s="217" customFormat="1">
      <c r="B245" s="218"/>
      <c r="C245" s="1233" t="s">
        <v>1537</v>
      </c>
      <c r="D245" s="1232" t="s">
        <v>66</v>
      </c>
      <c r="E245" s="225">
        <v>1</v>
      </c>
      <c r="F245" s="229">
        <v>0</v>
      </c>
      <c r="G245" s="230">
        <f t="shared" si="22"/>
        <v>0</v>
      </c>
      <c r="H245" s="8"/>
    </row>
    <row r="246" spans="2:27" s="217" customFormat="1">
      <c r="B246" s="218"/>
      <c r="C246" s="223" t="s">
        <v>196</v>
      </c>
      <c r="D246" s="1232"/>
      <c r="E246" s="225"/>
      <c r="F246" s="227"/>
      <c r="G246" s="227"/>
      <c r="H246" s="8"/>
      <c r="X246" s="1"/>
      <c r="AA246" s="1"/>
    </row>
    <row r="247" spans="2:27" s="1229" customFormat="1" ht="14.25" customHeight="1">
      <c r="B247" s="218"/>
      <c r="C247" s="228" t="s">
        <v>1650</v>
      </c>
      <c r="D247" s="1232" t="s">
        <v>66</v>
      </c>
      <c r="E247" s="225">
        <v>11</v>
      </c>
      <c r="F247" s="229">
        <v>0</v>
      </c>
      <c r="G247" s="230">
        <f t="shared" ref="G247:G253" si="23">E247*F247</f>
        <v>0</v>
      </c>
      <c r="H247" s="267"/>
    </row>
    <row r="248" spans="2:27" s="217" customFormat="1" ht="12" customHeight="1">
      <c r="B248" s="218"/>
      <c r="C248" s="231" t="s">
        <v>139</v>
      </c>
      <c r="D248" s="1232" t="s">
        <v>66</v>
      </c>
      <c r="E248" s="225">
        <v>11</v>
      </c>
      <c r="F248" s="229">
        <v>0</v>
      </c>
      <c r="G248" s="230">
        <f t="shared" si="23"/>
        <v>0</v>
      </c>
      <c r="H248" s="8"/>
    </row>
    <row r="249" spans="2:27" s="217" customFormat="1">
      <c r="B249" s="218"/>
      <c r="C249" s="279" t="s">
        <v>132</v>
      </c>
      <c r="D249" s="1232" t="s">
        <v>66</v>
      </c>
      <c r="E249" s="225">
        <v>24</v>
      </c>
      <c r="F249" s="229">
        <v>0</v>
      </c>
      <c r="G249" s="230">
        <f t="shared" si="23"/>
        <v>0</v>
      </c>
      <c r="H249" s="8"/>
    </row>
    <row r="250" spans="2:27" s="217" customFormat="1">
      <c r="B250" s="218"/>
      <c r="C250" s="279" t="s">
        <v>202</v>
      </c>
      <c r="D250" s="1232" t="s">
        <v>66</v>
      </c>
      <c r="E250" s="225">
        <v>25</v>
      </c>
      <c r="F250" s="229">
        <v>0</v>
      </c>
      <c r="G250" s="230">
        <f t="shared" si="23"/>
        <v>0</v>
      </c>
      <c r="H250" s="8"/>
    </row>
    <row r="251" spans="2:27" s="217" customFormat="1">
      <c r="B251" s="218"/>
      <c r="C251" s="231" t="s">
        <v>1651</v>
      </c>
      <c r="D251" s="1232" t="s">
        <v>66</v>
      </c>
      <c r="E251" s="225">
        <v>7</v>
      </c>
      <c r="F251" s="229">
        <v>0</v>
      </c>
      <c r="G251" s="230">
        <f t="shared" si="23"/>
        <v>0</v>
      </c>
      <c r="H251" s="8"/>
    </row>
    <row r="252" spans="2:27" s="217" customFormat="1">
      <c r="B252" s="218"/>
      <c r="C252" s="279" t="s">
        <v>150</v>
      </c>
      <c r="D252" s="1232" t="s">
        <v>66</v>
      </c>
      <c r="E252" s="225">
        <v>11</v>
      </c>
      <c r="F252" s="229">
        <v>0</v>
      </c>
      <c r="G252" s="230">
        <f t="shared" si="23"/>
        <v>0</v>
      </c>
      <c r="H252" s="8"/>
    </row>
    <row r="253" spans="2:27" s="217" customFormat="1">
      <c r="B253" s="218"/>
      <c r="C253" s="1233" t="s">
        <v>1537</v>
      </c>
      <c r="D253" s="1232" t="s">
        <v>66</v>
      </c>
      <c r="E253" s="225">
        <v>11</v>
      </c>
      <c r="F253" s="229">
        <v>0</v>
      </c>
      <c r="G253" s="230">
        <f t="shared" si="23"/>
        <v>0</v>
      </c>
      <c r="H253" s="8"/>
    </row>
    <row r="254" spans="2:27" s="217" customFormat="1">
      <c r="B254" s="218"/>
      <c r="C254" s="223" t="s">
        <v>1652</v>
      </c>
      <c r="D254" s="1232"/>
      <c r="E254" s="225"/>
      <c r="F254" s="227"/>
      <c r="G254" s="227"/>
      <c r="H254" s="8"/>
    </row>
    <row r="255" spans="2:27" s="1229" customFormat="1" ht="14.25" customHeight="1">
      <c r="B255" s="218"/>
      <c r="C255" s="228" t="s">
        <v>319</v>
      </c>
      <c r="D255" s="1232" t="s">
        <v>66</v>
      </c>
      <c r="E255" s="225">
        <v>4</v>
      </c>
      <c r="F255" s="229">
        <v>0</v>
      </c>
      <c r="G255" s="230">
        <f t="shared" ref="G255:G261" si="24">E255*F255</f>
        <v>0</v>
      </c>
      <c r="H255" s="267"/>
    </row>
    <row r="256" spans="2:27" s="217" customFormat="1" ht="12.75" customHeight="1">
      <c r="B256" s="218"/>
      <c r="C256" s="231" t="s">
        <v>155</v>
      </c>
      <c r="D256" s="1232" t="s">
        <v>66</v>
      </c>
      <c r="E256" s="225">
        <v>4</v>
      </c>
      <c r="F256" s="229">
        <v>0</v>
      </c>
      <c r="G256" s="230">
        <f t="shared" si="24"/>
        <v>0</v>
      </c>
      <c r="H256" s="8"/>
    </row>
    <row r="257" spans="2:8" s="217" customFormat="1">
      <c r="B257" s="218"/>
      <c r="C257" s="279" t="s">
        <v>166</v>
      </c>
      <c r="D257" s="1232" t="s">
        <v>66</v>
      </c>
      <c r="E257" s="225">
        <v>8</v>
      </c>
      <c r="F257" s="229">
        <v>0</v>
      </c>
      <c r="G257" s="230">
        <f t="shared" si="24"/>
        <v>0</v>
      </c>
      <c r="H257" s="8"/>
    </row>
    <row r="258" spans="2:8" s="217" customFormat="1">
      <c r="B258" s="218"/>
      <c r="C258" s="279" t="s">
        <v>203</v>
      </c>
      <c r="D258" s="1232" t="s">
        <v>66</v>
      </c>
      <c r="E258" s="225">
        <v>9</v>
      </c>
      <c r="F258" s="229">
        <v>0</v>
      </c>
      <c r="G258" s="230">
        <f t="shared" si="24"/>
        <v>0</v>
      </c>
      <c r="H258" s="8"/>
    </row>
    <row r="259" spans="2:8" s="217" customFormat="1">
      <c r="B259" s="218"/>
      <c r="C259" s="231" t="s">
        <v>1653</v>
      </c>
      <c r="D259" s="1232" t="s">
        <v>66</v>
      </c>
      <c r="E259" s="225">
        <v>4</v>
      </c>
      <c r="F259" s="229">
        <v>0</v>
      </c>
      <c r="G259" s="230">
        <f t="shared" si="24"/>
        <v>0</v>
      </c>
      <c r="H259" s="8"/>
    </row>
    <row r="260" spans="2:8" s="217" customFormat="1">
      <c r="B260" s="218"/>
      <c r="C260" s="279" t="s">
        <v>150</v>
      </c>
      <c r="D260" s="1232" t="s">
        <v>66</v>
      </c>
      <c r="E260" s="225">
        <v>4</v>
      </c>
      <c r="F260" s="229">
        <v>0</v>
      </c>
      <c r="G260" s="230">
        <f t="shared" si="24"/>
        <v>0</v>
      </c>
      <c r="H260" s="8"/>
    </row>
    <row r="261" spans="2:8" s="217" customFormat="1">
      <c r="B261" s="218"/>
      <c r="C261" s="1233" t="s">
        <v>1537</v>
      </c>
      <c r="D261" s="1232" t="s">
        <v>66</v>
      </c>
      <c r="E261" s="225">
        <v>4</v>
      </c>
      <c r="F261" s="229">
        <v>0</v>
      </c>
      <c r="G261" s="230">
        <f t="shared" si="24"/>
        <v>0</v>
      </c>
      <c r="H261" s="8"/>
    </row>
    <row r="262" spans="2:8" s="217" customFormat="1">
      <c r="B262" s="218"/>
      <c r="C262" s="223" t="s">
        <v>228</v>
      </c>
      <c r="D262" s="1232"/>
      <c r="E262" s="225"/>
      <c r="F262" s="227"/>
      <c r="G262" s="227"/>
      <c r="H262" s="8"/>
    </row>
    <row r="263" spans="2:8" s="1229" customFormat="1" ht="25.5" customHeight="1">
      <c r="B263" s="218"/>
      <c r="C263" s="228" t="s">
        <v>2066</v>
      </c>
      <c r="D263" s="1232" t="s">
        <v>66</v>
      </c>
      <c r="E263" s="225">
        <v>1</v>
      </c>
      <c r="F263" s="229">
        <v>0</v>
      </c>
      <c r="G263" s="230">
        <f t="shared" ref="G263:G272" si="25">E263*F263</f>
        <v>0</v>
      </c>
      <c r="H263" s="267"/>
    </row>
    <row r="264" spans="2:8" s="217" customFormat="1">
      <c r="B264" s="218"/>
      <c r="C264" s="231" t="s">
        <v>1651</v>
      </c>
      <c r="D264" s="1232" t="s">
        <v>66</v>
      </c>
      <c r="E264" s="225">
        <v>1</v>
      </c>
      <c r="F264" s="229">
        <v>0</v>
      </c>
      <c r="G264" s="230">
        <f t="shared" si="25"/>
        <v>0</v>
      </c>
      <c r="H264" s="8"/>
    </row>
    <row r="265" spans="2:8" s="217" customFormat="1">
      <c r="B265" s="218"/>
      <c r="C265" s="279" t="s">
        <v>132</v>
      </c>
      <c r="D265" s="1232" t="s">
        <v>66</v>
      </c>
      <c r="E265" s="225">
        <v>1</v>
      </c>
      <c r="F265" s="229">
        <v>0</v>
      </c>
      <c r="G265" s="230">
        <f t="shared" si="25"/>
        <v>0</v>
      </c>
      <c r="H265" s="8"/>
    </row>
    <row r="266" spans="2:8" s="217" customFormat="1">
      <c r="B266" s="218"/>
      <c r="C266" s="279" t="s">
        <v>166</v>
      </c>
      <c r="D266" s="1232" t="s">
        <v>66</v>
      </c>
      <c r="E266" s="225">
        <v>1</v>
      </c>
      <c r="F266" s="229">
        <v>0</v>
      </c>
      <c r="G266" s="230">
        <f t="shared" si="25"/>
        <v>0</v>
      </c>
      <c r="H266" s="8"/>
    </row>
    <row r="267" spans="2:8" s="217" customFormat="1">
      <c r="B267" s="218"/>
      <c r="C267" s="279" t="s">
        <v>202</v>
      </c>
      <c r="D267" s="1232" t="s">
        <v>66</v>
      </c>
      <c r="E267" s="225">
        <v>2</v>
      </c>
      <c r="F267" s="229">
        <v>0</v>
      </c>
      <c r="G267" s="230">
        <f t="shared" si="25"/>
        <v>0</v>
      </c>
      <c r="H267" s="8"/>
    </row>
    <row r="268" spans="2:8" s="217" customFormat="1">
      <c r="B268" s="218"/>
      <c r="C268" s="279" t="s">
        <v>203</v>
      </c>
      <c r="D268" s="1232" t="s">
        <v>66</v>
      </c>
      <c r="E268" s="225">
        <v>1</v>
      </c>
      <c r="F268" s="229">
        <v>0</v>
      </c>
      <c r="G268" s="230">
        <f t="shared" si="25"/>
        <v>0</v>
      </c>
      <c r="H268" s="8"/>
    </row>
    <row r="269" spans="2:8" s="217" customFormat="1">
      <c r="B269" s="218"/>
      <c r="C269" s="279" t="s">
        <v>1541</v>
      </c>
      <c r="D269" s="1232" t="s">
        <v>66</v>
      </c>
      <c r="E269" s="225">
        <v>1</v>
      </c>
      <c r="F269" s="229">
        <v>0</v>
      </c>
      <c r="G269" s="230">
        <f t="shared" si="25"/>
        <v>0</v>
      </c>
      <c r="H269" s="8"/>
    </row>
    <row r="270" spans="2:8" s="217" customFormat="1">
      <c r="B270" s="218"/>
      <c r="C270" s="279" t="s">
        <v>1542</v>
      </c>
      <c r="D270" s="1232" t="s">
        <v>66</v>
      </c>
      <c r="E270" s="225">
        <v>1</v>
      </c>
      <c r="F270" s="229">
        <v>0</v>
      </c>
      <c r="G270" s="230">
        <f t="shared" si="25"/>
        <v>0</v>
      </c>
      <c r="H270" s="8"/>
    </row>
    <row r="271" spans="2:8" s="217" customFormat="1">
      <c r="B271" s="218"/>
      <c r="C271" s="279" t="s">
        <v>150</v>
      </c>
      <c r="D271" s="1232" t="s">
        <v>66</v>
      </c>
      <c r="E271" s="225">
        <v>1</v>
      </c>
      <c r="F271" s="229">
        <v>0</v>
      </c>
      <c r="G271" s="230">
        <f t="shared" si="25"/>
        <v>0</v>
      </c>
      <c r="H271" s="8"/>
    </row>
    <row r="272" spans="2:8" s="217" customFormat="1">
      <c r="B272" s="218"/>
      <c r="C272" s="1233" t="s">
        <v>1537</v>
      </c>
      <c r="D272" s="1232" t="s">
        <v>66</v>
      </c>
      <c r="E272" s="225">
        <v>1</v>
      </c>
      <c r="F272" s="229">
        <v>0</v>
      </c>
      <c r="G272" s="230">
        <f t="shared" si="25"/>
        <v>0</v>
      </c>
      <c r="H272" s="8"/>
    </row>
    <row r="273" spans="2:8" s="217" customFormat="1">
      <c r="B273" s="201" t="s">
        <v>159</v>
      </c>
      <c r="C273" s="238" t="s">
        <v>169</v>
      </c>
      <c r="D273" s="260"/>
      <c r="E273" s="240"/>
      <c r="F273" s="241"/>
      <c r="G273" s="242"/>
      <c r="H273" s="8"/>
    </row>
    <row r="274" spans="2:8" s="217" customFormat="1">
      <c r="B274" s="218"/>
      <c r="C274" s="238" t="s">
        <v>234</v>
      </c>
      <c r="D274" s="260"/>
      <c r="E274" s="240"/>
      <c r="F274" s="241">
        <v>0</v>
      </c>
      <c r="G274" s="242"/>
      <c r="H274" s="8"/>
    </row>
    <row r="275" spans="2:8" s="217" customFormat="1" ht="36">
      <c r="B275" s="218"/>
      <c r="C275" s="243" t="s">
        <v>2074</v>
      </c>
      <c r="D275" s="260" t="s">
        <v>66</v>
      </c>
      <c r="E275" s="240">
        <v>10</v>
      </c>
      <c r="F275" s="244">
        <v>0</v>
      </c>
      <c r="G275" s="245">
        <f t="shared" ref="G275:G277" si="26">E275*F275</f>
        <v>0</v>
      </c>
      <c r="H275" s="8"/>
    </row>
    <row r="276" spans="2:8" s="217" customFormat="1">
      <c r="B276" s="218"/>
      <c r="C276" s="109" t="s">
        <v>171</v>
      </c>
      <c r="D276" s="260" t="s">
        <v>66</v>
      </c>
      <c r="E276" s="240">
        <v>10</v>
      </c>
      <c r="F276" s="244">
        <v>0</v>
      </c>
      <c r="G276" s="245">
        <f t="shared" si="26"/>
        <v>0</v>
      </c>
      <c r="H276" s="8"/>
    </row>
    <row r="277" spans="2:8" s="217" customFormat="1">
      <c r="B277" s="218"/>
      <c r="C277" s="1237" t="s">
        <v>1537</v>
      </c>
      <c r="D277" s="260" t="s">
        <v>66</v>
      </c>
      <c r="E277" s="240">
        <v>10</v>
      </c>
      <c r="F277" s="244">
        <v>0</v>
      </c>
      <c r="G277" s="245">
        <f t="shared" si="26"/>
        <v>0</v>
      </c>
      <c r="H277" s="8"/>
    </row>
    <row r="278" spans="2:8">
      <c r="B278" s="201" t="s">
        <v>168</v>
      </c>
      <c r="C278" s="248" t="s">
        <v>173</v>
      </c>
      <c r="D278" s="249"/>
      <c r="E278" s="250"/>
      <c r="F278" s="251"/>
      <c r="G278" s="252"/>
    </row>
    <row r="279" spans="2:8" s="217" customFormat="1" ht="63" customHeight="1">
      <c r="B279" s="218"/>
      <c r="C279" s="253" t="s">
        <v>174</v>
      </c>
      <c r="D279" s="1238" t="s">
        <v>66</v>
      </c>
      <c r="E279" s="255">
        <v>10</v>
      </c>
      <c r="F279" s="256">
        <v>0</v>
      </c>
      <c r="G279" s="257">
        <f t="shared" ref="G279" si="27">E279*F279</f>
        <v>0</v>
      </c>
      <c r="H279" s="8"/>
    </row>
    <row r="280" spans="2:8" s="179" customFormat="1" ht="16.5" customHeight="1">
      <c r="B280" s="258" t="s">
        <v>47</v>
      </c>
      <c r="C280" s="259" t="s">
        <v>175</v>
      </c>
      <c r="D280" s="260"/>
      <c r="E280" s="261"/>
      <c r="F280" s="262"/>
      <c r="G280" s="263">
        <f>SUM(G108:G279)</f>
        <v>0</v>
      </c>
      <c r="H280" s="8"/>
    </row>
  </sheetData>
  <mergeCells count="8">
    <mergeCell ref="B107:G107"/>
    <mergeCell ref="B117:B120"/>
    <mergeCell ref="B42:G42"/>
    <mergeCell ref="B67:B68"/>
    <mergeCell ref="B69:B70"/>
    <mergeCell ref="B77:B95"/>
    <mergeCell ref="B105:G105"/>
    <mergeCell ref="B106:G106"/>
  </mergeCells>
  <pageMargins left="0.7" right="0.7" top="0.75" bottom="0.75" header="0.3" footer="0.3"/>
  <pageSetup paperSize="9" scale="85" orientation="portrait" r:id="rId1"/>
  <headerFooter alignWithMargins="0">
    <oddFooter>&amp;C&amp;8&amp;P/&amp;N</oddFooter>
  </headerFooter>
  <rowBreaks count="3" manualBreakCount="3">
    <brk id="18" max="16383" man="1"/>
    <brk id="38" max="16383" man="1"/>
    <brk id="9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52C2-EC6B-46FC-970C-5DCC809C2235}">
  <sheetPr>
    <tabColor theme="9" tint="-0.249977111117893"/>
  </sheetPr>
  <dimension ref="A1:Z253"/>
  <sheetViews>
    <sheetView showZeros="0" topLeftCell="A25" workbookViewId="0">
      <selection activeCell="B27" sqref="B27:B35"/>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2.5703125" style="66" customWidth="1"/>
    <col min="9" max="9" width="9" style="1198" customWidth="1"/>
    <col min="10" max="10" width="10" style="1" customWidth="1"/>
    <col min="11" max="11" width="6.42578125" style="1" customWidth="1"/>
    <col min="12" max="12" width="6.28515625" style="1" customWidth="1"/>
    <col min="13" max="13" width="7.85546875" style="1" customWidth="1"/>
    <col min="14" max="14" width="7.5703125" style="1" customWidth="1"/>
    <col min="15" max="15" width="7.7109375" style="1" customWidth="1"/>
    <col min="16" max="16" width="7.5703125" style="1" customWidth="1"/>
    <col min="17" max="17" width="7.7109375" style="1" customWidth="1"/>
    <col min="18" max="18" width="7.42578125" style="1" customWidth="1"/>
    <col min="19" max="20" width="7.7109375" style="1" customWidth="1"/>
    <col min="21" max="21" width="15.5703125" style="1" customWidth="1"/>
    <col min="22" max="22" width="15.85546875" style="1" customWidth="1"/>
    <col min="23" max="23" width="10.42578125" style="1"/>
    <col min="24" max="24" width="7.85546875" style="1" customWidth="1"/>
    <col min="25" max="25" width="7.42578125" style="1" customWidth="1"/>
    <col min="26" max="26" width="8.28515625" style="1" customWidth="1"/>
    <col min="27" max="251" width="10.42578125" style="1"/>
    <col min="252" max="252" width="7.42578125" style="1" customWidth="1"/>
    <col min="253" max="253" width="37.42578125" style="1" customWidth="1"/>
    <col min="254" max="254" width="10.42578125" style="1"/>
    <col min="255" max="255" width="9.28515625" style="1" customWidth="1"/>
    <col min="256" max="257" width="12.140625" style="1" customWidth="1"/>
    <col min="258" max="258" width="16" style="1" customWidth="1"/>
    <col min="259" max="259" width="26.28515625" style="1" customWidth="1"/>
    <col min="260" max="507" width="10.42578125" style="1"/>
    <col min="508" max="508" width="7.42578125" style="1" customWidth="1"/>
    <col min="509" max="509" width="37.42578125" style="1" customWidth="1"/>
    <col min="510" max="510" width="10.42578125" style="1"/>
    <col min="511" max="511" width="9.28515625" style="1" customWidth="1"/>
    <col min="512" max="513" width="12.140625" style="1" customWidth="1"/>
    <col min="514" max="514" width="16" style="1" customWidth="1"/>
    <col min="515" max="515" width="26.28515625" style="1" customWidth="1"/>
    <col min="516" max="763" width="10.42578125" style="1"/>
    <col min="764" max="764" width="7.42578125" style="1" customWidth="1"/>
    <col min="765" max="765" width="37.42578125" style="1" customWidth="1"/>
    <col min="766" max="766" width="10.42578125" style="1"/>
    <col min="767" max="767" width="9.28515625" style="1" customWidth="1"/>
    <col min="768" max="769" width="12.140625" style="1" customWidth="1"/>
    <col min="770" max="770" width="16" style="1" customWidth="1"/>
    <col min="771" max="771" width="26.28515625" style="1" customWidth="1"/>
    <col min="772" max="1019" width="10.42578125" style="1"/>
    <col min="1020" max="1020" width="7.42578125" style="1" customWidth="1"/>
    <col min="1021" max="1021" width="37.42578125" style="1" customWidth="1"/>
    <col min="1022" max="1022" width="10.42578125" style="1"/>
    <col min="1023" max="1023" width="9.28515625" style="1" customWidth="1"/>
    <col min="1024" max="1025" width="12.140625" style="1" customWidth="1"/>
    <col min="1026" max="1026" width="16" style="1" customWidth="1"/>
    <col min="1027" max="1027" width="26.28515625" style="1" customWidth="1"/>
    <col min="1028" max="1275" width="10.42578125" style="1"/>
    <col min="1276" max="1276" width="7.42578125" style="1" customWidth="1"/>
    <col min="1277" max="1277" width="37.42578125" style="1" customWidth="1"/>
    <col min="1278" max="1278" width="10.42578125" style="1"/>
    <col min="1279" max="1279" width="9.28515625" style="1" customWidth="1"/>
    <col min="1280" max="1281" width="12.140625" style="1" customWidth="1"/>
    <col min="1282" max="1282" width="16" style="1" customWidth="1"/>
    <col min="1283" max="1283" width="26.28515625" style="1" customWidth="1"/>
    <col min="1284" max="1531" width="10.42578125" style="1"/>
    <col min="1532" max="1532" width="7.42578125" style="1" customWidth="1"/>
    <col min="1533" max="1533" width="37.42578125" style="1" customWidth="1"/>
    <col min="1534" max="1534" width="10.42578125" style="1"/>
    <col min="1535" max="1535" width="9.28515625" style="1" customWidth="1"/>
    <col min="1536" max="1537" width="12.140625" style="1" customWidth="1"/>
    <col min="1538" max="1538" width="16" style="1" customWidth="1"/>
    <col min="1539" max="1539" width="26.28515625" style="1" customWidth="1"/>
    <col min="1540" max="1787" width="10.42578125" style="1"/>
    <col min="1788" max="1788" width="7.42578125" style="1" customWidth="1"/>
    <col min="1789" max="1789" width="37.42578125" style="1" customWidth="1"/>
    <col min="1790" max="1790" width="10.42578125" style="1"/>
    <col min="1791" max="1791" width="9.28515625" style="1" customWidth="1"/>
    <col min="1792" max="1793" width="12.140625" style="1" customWidth="1"/>
    <col min="1794" max="1794" width="16" style="1" customWidth="1"/>
    <col min="1795" max="1795" width="26.28515625" style="1" customWidth="1"/>
    <col min="1796" max="2043" width="10.42578125" style="1"/>
    <col min="2044" max="2044" width="7.42578125" style="1" customWidth="1"/>
    <col min="2045" max="2045" width="37.42578125" style="1" customWidth="1"/>
    <col min="2046" max="2046" width="10.42578125" style="1"/>
    <col min="2047" max="2047" width="9.28515625" style="1" customWidth="1"/>
    <col min="2048" max="2049" width="12.140625" style="1" customWidth="1"/>
    <col min="2050" max="2050" width="16" style="1" customWidth="1"/>
    <col min="2051" max="2051" width="26.28515625" style="1" customWidth="1"/>
    <col min="2052" max="2299" width="10.42578125" style="1"/>
    <col min="2300" max="2300" width="7.42578125" style="1" customWidth="1"/>
    <col min="2301" max="2301" width="37.42578125" style="1" customWidth="1"/>
    <col min="2302" max="2302" width="10.42578125" style="1"/>
    <col min="2303" max="2303" width="9.28515625" style="1" customWidth="1"/>
    <col min="2304" max="2305" width="12.140625" style="1" customWidth="1"/>
    <col min="2306" max="2306" width="16" style="1" customWidth="1"/>
    <col min="2307" max="2307" width="26.28515625" style="1" customWidth="1"/>
    <col min="2308" max="2555" width="10.42578125" style="1"/>
    <col min="2556" max="2556" width="7.42578125" style="1" customWidth="1"/>
    <col min="2557" max="2557" width="37.42578125" style="1" customWidth="1"/>
    <col min="2558" max="2558" width="10.42578125" style="1"/>
    <col min="2559" max="2559" width="9.28515625" style="1" customWidth="1"/>
    <col min="2560" max="2561" width="12.140625" style="1" customWidth="1"/>
    <col min="2562" max="2562" width="16" style="1" customWidth="1"/>
    <col min="2563" max="2563" width="26.28515625" style="1" customWidth="1"/>
    <col min="2564" max="2811" width="10.42578125" style="1"/>
    <col min="2812" max="2812" width="7.42578125" style="1" customWidth="1"/>
    <col min="2813" max="2813" width="37.42578125" style="1" customWidth="1"/>
    <col min="2814" max="2814" width="10.42578125" style="1"/>
    <col min="2815" max="2815" width="9.28515625" style="1" customWidth="1"/>
    <col min="2816" max="2817" width="12.140625" style="1" customWidth="1"/>
    <col min="2818" max="2818" width="16" style="1" customWidth="1"/>
    <col min="2819" max="2819" width="26.28515625" style="1" customWidth="1"/>
    <col min="2820" max="3067" width="10.42578125" style="1"/>
    <col min="3068" max="3068" width="7.42578125" style="1" customWidth="1"/>
    <col min="3069" max="3069" width="37.42578125" style="1" customWidth="1"/>
    <col min="3070" max="3070" width="10.42578125" style="1"/>
    <col min="3071" max="3071" width="9.28515625" style="1" customWidth="1"/>
    <col min="3072" max="3073" width="12.140625" style="1" customWidth="1"/>
    <col min="3074" max="3074" width="16" style="1" customWidth="1"/>
    <col min="3075" max="3075" width="26.28515625" style="1" customWidth="1"/>
    <col min="3076" max="3323" width="10.42578125" style="1"/>
    <col min="3324" max="3324" width="7.42578125" style="1" customWidth="1"/>
    <col min="3325" max="3325" width="37.42578125" style="1" customWidth="1"/>
    <col min="3326" max="3326" width="10.42578125" style="1"/>
    <col min="3327" max="3327" width="9.28515625" style="1" customWidth="1"/>
    <col min="3328" max="3329" width="12.140625" style="1" customWidth="1"/>
    <col min="3330" max="3330" width="16" style="1" customWidth="1"/>
    <col min="3331" max="3331" width="26.28515625" style="1" customWidth="1"/>
    <col min="3332" max="3579" width="10.42578125" style="1"/>
    <col min="3580" max="3580" width="7.42578125" style="1" customWidth="1"/>
    <col min="3581" max="3581" width="37.42578125" style="1" customWidth="1"/>
    <col min="3582" max="3582" width="10.42578125" style="1"/>
    <col min="3583" max="3583" width="9.28515625" style="1" customWidth="1"/>
    <col min="3584" max="3585" width="12.140625" style="1" customWidth="1"/>
    <col min="3586" max="3586" width="16" style="1" customWidth="1"/>
    <col min="3587" max="3587" width="26.28515625" style="1" customWidth="1"/>
    <col min="3588" max="3835" width="10.42578125" style="1"/>
    <col min="3836" max="3836" width="7.42578125" style="1" customWidth="1"/>
    <col min="3837" max="3837" width="37.42578125" style="1" customWidth="1"/>
    <col min="3838" max="3838" width="10.42578125" style="1"/>
    <col min="3839" max="3839" width="9.28515625" style="1" customWidth="1"/>
    <col min="3840" max="3841" width="12.140625" style="1" customWidth="1"/>
    <col min="3842" max="3842" width="16" style="1" customWidth="1"/>
    <col min="3843" max="3843" width="26.28515625" style="1" customWidth="1"/>
    <col min="3844" max="4091" width="10.42578125" style="1"/>
    <col min="4092" max="4092" width="7.42578125" style="1" customWidth="1"/>
    <col min="4093" max="4093" width="37.42578125" style="1" customWidth="1"/>
    <col min="4094" max="4094" width="10.42578125" style="1"/>
    <col min="4095" max="4095" width="9.28515625" style="1" customWidth="1"/>
    <col min="4096" max="4097" width="12.140625" style="1" customWidth="1"/>
    <col min="4098" max="4098" width="16" style="1" customWidth="1"/>
    <col min="4099" max="4099" width="26.28515625" style="1" customWidth="1"/>
    <col min="4100" max="4347" width="10.42578125" style="1"/>
    <col min="4348" max="4348" width="7.42578125" style="1" customWidth="1"/>
    <col min="4349" max="4349" width="37.42578125" style="1" customWidth="1"/>
    <col min="4350" max="4350" width="10.42578125" style="1"/>
    <col min="4351" max="4351" width="9.28515625" style="1" customWidth="1"/>
    <col min="4352" max="4353" width="12.140625" style="1" customWidth="1"/>
    <col min="4354" max="4354" width="16" style="1" customWidth="1"/>
    <col min="4355" max="4355" width="26.28515625" style="1" customWidth="1"/>
    <col min="4356" max="4603" width="10.42578125" style="1"/>
    <col min="4604" max="4604" width="7.42578125" style="1" customWidth="1"/>
    <col min="4605" max="4605" width="37.42578125" style="1" customWidth="1"/>
    <col min="4606" max="4606" width="10.42578125" style="1"/>
    <col min="4607" max="4607" width="9.28515625" style="1" customWidth="1"/>
    <col min="4608" max="4609" width="12.140625" style="1" customWidth="1"/>
    <col min="4610" max="4610" width="16" style="1" customWidth="1"/>
    <col min="4611" max="4611" width="26.28515625" style="1" customWidth="1"/>
    <col min="4612" max="4859" width="10.42578125" style="1"/>
    <col min="4860" max="4860" width="7.42578125" style="1" customWidth="1"/>
    <col min="4861" max="4861" width="37.42578125" style="1" customWidth="1"/>
    <col min="4862" max="4862" width="10.42578125" style="1"/>
    <col min="4863" max="4863" width="9.28515625" style="1" customWidth="1"/>
    <col min="4864" max="4865" width="12.140625" style="1" customWidth="1"/>
    <col min="4866" max="4866" width="16" style="1" customWidth="1"/>
    <col min="4867" max="4867" width="26.28515625" style="1" customWidth="1"/>
    <col min="4868" max="5115" width="10.42578125" style="1"/>
    <col min="5116" max="5116" width="7.42578125" style="1" customWidth="1"/>
    <col min="5117" max="5117" width="37.42578125" style="1" customWidth="1"/>
    <col min="5118" max="5118" width="10.42578125" style="1"/>
    <col min="5119" max="5119" width="9.28515625" style="1" customWidth="1"/>
    <col min="5120" max="5121" width="12.140625" style="1" customWidth="1"/>
    <col min="5122" max="5122" width="16" style="1" customWidth="1"/>
    <col min="5123" max="5123" width="26.28515625" style="1" customWidth="1"/>
    <col min="5124" max="5371" width="10.42578125" style="1"/>
    <col min="5372" max="5372" width="7.42578125" style="1" customWidth="1"/>
    <col min="5373" max="5373" width="37.42578125" style="1" customWidth="1"/>
    <col min="5374" max="5374" width="10.42578125" style="1"/>
    <col min="5375" max="5375" width="9.28515625" style="1" customWidth="1"/>
    <col min="5376" max="5377" width="12.140625" style="1" customWidth="1"/>
    <col min="5378" max="5378" width="16" style="1" customWidth="1"/>
    <col min="5379" max="5379" width="26.28515625" style="1" customWidth="1"/>
    <col min="5380" max="5627" width="10.42578125" style="1"/>
    <col min="5628" max="5628" width="7.42578125" style="1" customWidth="1"/>
    <col min="5629" max="5629" width="37.42578125" style="1" customWidth="1"/>
    <col min="5630" max="5630" width="10.42578125" style="1"/>
    <col min="5631" max="5631" width="9.28515625" style="1" customWidth="1"/>
    <col min="5632" max="5633" width="12.140625" style="1" customWidth="1"/>
    <col min="5634" max="5634" width="16" style="1" customWidth="1"/>
    <col min="5635" max="5635" width="26.28515625" style="1" customWidth="1"/>
    <col min="5636" max="5883" width="10.42578125" style="1"/>
    <col min="5884" max="5884" width="7.42578125" style="1" customWidth="1"/>
    <col min="5885" max="5885" width="37.42578125" style="1" customWidth="1"/>
    <col min="5886" max="5886" width="10.42578125" style="1"/>
    <col min="5887" max="5887" width="9.28515625" style="1" customWidth="1"/>
    <col min="5888" max="5889" width="12.140625" style="1" customWidth="1"/>
    <col min="5890" max="5890" width="16" style="1" customWidth="1"/>
    <col min="5891" max="5891" width="26.28515625" style="1" customWidth="1"/>
    <col min="5892" max="6139" width="10.42578125" style="1"/>
    <col min="6140" max="6140" width="7.42578125" style="1" customWidth="1"/>
    <col min="6141" max="6141" width="37.42578125" style="1" customWidth="1"/>
    <col min="6142" max="6142" width="10.42578125" style="1"/>
    <col min="6143" max="6143" width="9.28515625" style="1" customWidth="1"/>
    <col min="6144" max="6145" width="12.140625" style="1" customWidth="1"/>
    <col min="6146" max="6146" width="16" style="1" customWidth="1"/>
    <col min="6147" max="6147" width="26.28515625" style="1" customWidth="1"/>
    <col min="6148" max="6395" width="10.42578125" style="1"/>
    <col min="6396" max="6396" width="7.42578125" style="1" customWidth="1"/>
    <col min="6397" max="6397" width="37.42578125" style="1" customWidth="1"/>
    <col min="6398" max="6398" width="10.42578125" style="1"/>
    <col min="6399" max="6399" width="9.28515625" style="1" customWidth="1"/>
    <col min="6400" max="6401" width="12.140625" style="1" customWidth="1"/>
    <col min="6402" max="6402" width="16" style="1" customWidth="1"/>
    <col min="6403" max="6403" width="26.28515625" style="1" customWidth="1"/>
    <col min="6404" max="6651" width="10.42578125" style="1"/>
    <col min="6652" max="6652" width="7.42578125" style="1" customWidth="1"/>
    <col min="6653" max="6653" width="37.42578125" style="1" customWidth="1"/>
    <col min="6654" max="6654" width="10.42578125" style="1"/>
    <col min="6655" max="6655" width="9.28515625" style="1" customWidth="1"/>
    <col min="6656" max="6657" width="12.140625" style="1" customWidth="1"/>
    <col min="6658" max="6658" width="16" style="1" customWidth="1"/>
    <col min="6659" max="6659" width="26.28515625" style="1" customWidth="1"/>
    <col min="6660" max="6907" width="10.42578125" style="1"/>
    <col min="6908" max="6908" width="7.42578125" style="1" customWidth="1"/>
    <col min="6909" max="6909" width="37.42578125" style="1" customWidth="1"/>
    <col min="6910" max="6910" width="10.42578125" style="1"/>
    <col min="6911" max="6911" width="9.28515625" style="1" customWidth="1"/>
    <col min="6912" max="6913" width="12.140625" style="1" customWidth="1"/>
    <col min="6914" max="6914" width="16" style="1" customWidth="1"/>
    <col min="6915" max="6915" width="26.28515625" style="1" customWidth="1"/>
    <col min="6916" max="7163" width="10.42578125" style="1"/>
    <col min="7164" max="7164" width="7.42578125" style="1" customWidth="1"/>
    <col min="7165" max="7165" width="37.42578125" style="1" customWidth="1"/>
    <col min="7166" max="7166" width="10.42578125" style="1"/>
    <col min="7167" max="7167" width="9.28515625" style="1" customWidth="1"/>
    <col min="7168" max="7169" width="12.140625" style="1" customWidth="1"/>
    <col min="7170" max="7170" width="16" style="1" customWidth="1"/>
    <col min="7171" max="7171" width="26.28515625" style="1" customWidth="1"/>
    <col min="7172" max="7419" width="10.42578125" style="1"/>
    <col min="7420" max="7420" width="7.42578125" style="1" customWidth="1"/>
    <col min="7421" max="7421" width="37.42578125" style="1" customWidth="1"/>
    <col min="7422" max="7422" width="10.42578125" style="1"/>
    <col min="7423" max="7423" width="9.28515625" style="1" customWidth="1"/>
    <col min="7424" max="7425" width="12.140625" style="1" customWidth="1"/>
    <col min="7426" max="7426" width="16" style="1" customWidth="1"/>
    <col min="7427" max="7427" width="26.28515625" style="1" customWidth="1"/>
    <col min="7428" max="7675" width="10.42578125" style="1"/>
    <col min="7676" max="7676" width="7.42578125" style="1" customWidth="1"/>
    <col min="7677" max="7677" width="37.42578125" style="1" customWidth="1"/>
    <col min="7678" max="7678" width="10.42578125" style="1"/>
    <col min="7679" max="7679" width="9.28515625" style="1" customWidth="1"/>
    <col min="7680" max="7681" width="12.140625" style="1" customWidth="1"/>
    <col min="7682" max="7682" width="16" style="1" customWidth="1"/>
    <col min="7683" max="7683" width="26.28515625" style="1" customWidth="1"/>
    <col min="7684" max="7931" width="10.42578125" style="1"/>
    <col min="7932" max="7932" width="7.42578125" style="1" customWidth="1"/>
    <col min="7933" max="7933" width="37.42578125" style="1" customWidth="1"/>
    <col min="7934" max="7934" width="10.42578125" style="1"/>
    <col min="7935" max="7935" width="9.28515625" style="1" customWidth="1"/>
    <col min="7936" max="7937" width="12.140625" style="1" customWidth="1"/>
    <col min="7938" max="7938" width="16" style="1" customWidth="1"/>
    <col min="7939" max="7939" width="26.28515625" style="1" customWidth="1"/>
    <col min="7940" max="8187" width="10.42578125" style="1"/>
    <col min="8188" max="8188" width="7.42578125" style="1" customWidth="1"/>
    <col min="8189" max="8189" width="37.42578125" style="1" customWidth="1"/>
    <col min="8190" max="8190" width="10.42578125" style="1"/>
    <col min="8191" max="8191" width="9.28515625" style="1" customWidth="1"/>
    <col min="8192" max="8193" width="12.140625" style="1" customWidth="1"/>
    <col min="8194" max="8194" width="16" style="1" customWidth="1"/>
    <col min="8195" max="8195" width="26.28515625" style="1" customWidth="1"/>
    <col min="8196" max="8443" width="10.42578125" style="1"/>
    <col min="8444" max="8444" width="7.42578125" style="1" customWidth="1"/>
    <col min="8445" max="8445" width="37.42578125" style="1" customWidth="1"/>
    <col min="8446" max="8446" width="10.42578125" style="1"/>
    <col min="8447" max="8447" width="9.28515625" style="1" customWidth="1"/>
    <col min="8448" max="8449" width="12.140625" style="1" customWidth="1"/>
    <col min="8450" max="8450" width="16" style="1" customWidth="1"/>
    <col min="8451" max="8451" width="26.28515625" style="1" customWidth="1"/>
    <col min="8452" max="8699" width="10.42578125" style="1"/>
    <col min="8700" max="8700" width="7.42578125" style="1" customWidth="1"/>
    <col min="8701" max="8701" width="37.42578125" style="1" customWidth="1"/>
    <col min="8702" max="8702" width="10.42578125" style="1"/>
    <col min="8703" max="8703" width="9.28515625" style="1" customWidth="1"/>
    <col min="8704" max="8705" width="12.140625" style="1" customWidth="1"/>
    <col min="8706" max="8706" width="16" style="1" customWidth="1"/>
    <col min="8707" max="8707" width="26.28515625" style="1" customWidth="1"/>
    <col min="8708" max="8955" width="10.42578125" style="1"/>
    <col min="8956" max="8956" width="7.42578125" style="1" customWidth="1"/>
    <col min="8957" max="8957" width="37.42578125" style="1" customWidth="1"/>
    <col min="8958" max="8958" width="10.42578125" style="1"/>
    <col min="8959" max="8959" width="9.28515625" style="1" customWidth="1"/>
    <col min="8960" max="8961" width="12.140625" style="1" customWidth="1"/>
    <col min="8962" max="8962" width="16" style="1" customWidth="1"/>
    <col min="8963" max="8963" width="26.28515625" style="1" customWidth="1"/>
    <col min="8964" max="9211" width="10.42578125" style="1"/>
    <col min="9212" max="9212" width="7.42578125" style="1" customWidth="1"/>
    <col min="9213" max="9213" width="37.42578125" style="1" customWidth="1"/>
    <col min="9214" max="9214" width="10.42578125" style="1"/>
    <col min="9215" max="9215" width="9.28515625" style="1" customWidth="1"/>
    <col min="9216" max="9217" width="12.140625" style="1" customWidth="1"/>
    <col min="9218" max="9218" width="16" style="1" customWidth="1"/>
    <col min="9219" max="9219" width="26.28515625" style="1" customWidth="1"/>
    <col min="9220" max="9467" width="10.42578125" style="1"/>
    <col min="9468" max="9468" width="7.42578125" style="1" customWidth="1"/>
    <col min="9469" max="9469" width="37.42578125" style="1" customWidth="1"/>
    <col min="9470" max="9470" width="10.42578125" style="1"/>
    <col min="9471" max="9471" width="9.28515625" style="1" customWidth="1"/>
    <col min="9472" max="9473" width="12.140625" style="1" customWidth="1"/>
    <col min="9474" max="9474" width="16" style="1" customWidth="1"/>
    <col min="9475" max="9475" width="26.28515625" style="1" customWidth="1"/>
    <col min="9476" max="9723" width="10.42578125" style="1"/>
    <col min="9724" max="9724" width="7.42578125" style="1" customWidth="1"/>
    <col min="9725" max="9725" width="37.42578125" style="1" customWidth="1"/>
    <col min="9726" max="9726" width="10.42578125" style="1"/>
    <col min="9727" max="9727" width="9.28515625" style="1" customWidth="1"/>
    <col min="9728" max="9729" width="12.140625" style="1" customWidth="1"/>
    <col min="9730" max="9730" width="16" style="1" customWidth="1"/>
    <col min="9731" max="9731" width="26.28515625" style="1" customWidth="1"/>
    <col min="9732" max="9979" width="10.42578125" style="1"/>
    <col min="9980" max="9980" width="7.42578125" style="1" customWidth="1"/>
    <col min="9981" max="9981" width="37.42578125" style="1" customWidth="1"/>
    <col min="9982" max="9982" width="10.42578125" style="1"/>
    <col min="9983" max="9983" width="9.28515625" style="1" customWidth="1"/>
    <col min="9984" max="9985" width="12.140625" style="1" customWidth="1"/>
    <col min="9986" max="9986" width="16" style="1" customWidth="1"/>
    <col min="9987" max="9987" width="26.28515625" style="1" customWidth="1"/>
    <col min="9988" max="10235" width="10.42578125" style="1"/>
    <col min="10236" max="10236" width="7.42578125" style="1" customWidth="1"/>
    <col min="10237" max="10237" width="37.42578125" style="1" customWidth="1"/>
    <col min="10238" max="10238" width="10.42578125" style="1"/>
    <col min="10239" max="10239" width="9.28515625" style="1" customWidth="1"/>
    <col min="10240" max="10241" width="12.140625" style="1" customWidth="1"/>
    <col min="10242" max="10242" width="16" style="1" customWidth="1"/>
    <col min="10243" max="10243" width="26.28515625" style="1" customWidth="1"/>
    <col min="10244" max="10491" width="10.42578125" style="1"/>
    <col min="10492" max="10492" width="7.42578125" style="1" customWidth="1"/>
    <col min="10493" max="10493" width="37.42578125" style="1" customWidth="1"/>
    <col min="10494" max="10494" width="10.42578125" style="1"/>
    <col min="10495" max="10495" width="9.28515625" style="1" customWidth="1"/>
    <col min="10496" max="10497" width="12.140625" style="1" customWidth="1"/>
    <col min="10498" max="10498" width="16" style="1" customWidth="1"/>
    <col min="10499" max="10499" width="26.28515625" style="1" customWidth="1"/>
    <col min="10500" max="10747" width="10.42578125" style="1"/>
    <col min="10748" max="10748" width="7.42578125" style="1" customWidth="1"/>
    <col min="10749" max="10749" width="37.42578125" style="1" customWidth="1"/>
    <col min="10750" max="10750" width="10.42578125" style="1"/>
    <col min="10751" max="10751" width="9.28515625" style="1" customWidth="1"/>
    <col min="10752" max="10753" width="12.140625" style="1" customWidth="1"/>
    <col min="10754" max="10754" width="16" style="1" customWidth="1"/>
    <col min="10755" max="10755" width="26.28515625" style="1" customWidth="1"/>
    <col min="10756" max="11003" width="10.42578125" style="1"/>
    <col min="11004" max="11004" width="7.42578125" style="1" customWidth="1"/>
    <col min="11005" max="11005" width="37.42578125" style="1" customWidth="1"/>
    <col min="11006" max="11006" width="10.42578125" style="1"/>
    <col min="11007" max="11007" width="9.28515625" style="1" customWidth="1"/>
    <col min="11008" max="11009" width="12.140625" style="1" customWidth="1"/>
    <col min="11010" max="11010" width="16" style="1" customWidth="1"/>
    <col min="11011" max="11011" width="26.28515625" style="1" customWidth="1"/>
    <col min="11012" max="11259" width="10.42578125" style="1"/>
    <col min="11260" max="11260" width="7.42578125" style="1" customWidth="1"/>
    <col min="11261" max="11261" width="37.42578125" style="1" customWidth="1"/>
    <col min="11262" max="11262" width="10.42578125" style="1"/>
    <col min="11263" max="11263" width="9.28515625" style="1" customWidth="1"/>
    <col min="11264" max="11265" width="12.140625" style="1" customWidth="1"/>
    <col min="11266" max="11266" width="16" style="1" customWidth="1"/>
    <col min="11267" max="11267" width="26.28515625" style="1" customWidth="1"/>
    <col min="11268" max="11515" width="10.42578125" style="1"/>
    <col min="11516" max="11516" width="7.42578125" style="1" customWidth="1"/>
    <col min="11517" max="11517" width="37.42578125" style="1" customWidth="1"/>
    <col min="11518" max="11518" width="10.42578125" style="1"/>
    <col min="11519" max="11519" width="9.28515625" style="1" customWidth="1"/>
    <col min="11520" max="11521" width="12.140625" style="1" customWidth="1"/>
    <col min="11522" max="11522" width="16" style="1" customWidth="1"/>
    <col min="11523" max="11523" width="26.28515625" style="1" customWidth="1"/>
    <col min="11524" max="11771" width="10.42578125" style="1"/>
    <col min="11772" max="11772" width="7.42578125" style="1" customWidth="1"/>
    <col min="11773" max="11773" width="37.42578125" style="1" customWidth="1"/>
    <col min="11774" max="11774" width="10.42578125" style="1"/>
    <col min="11775" max="11775" width="9.28515625" style="1" customWidth="1"/>
    <col min="11776" max="11777" width="12.140625" style="1" customWidth="1"/>
    <col min="11778" max="11778" width="16" style="1" customWidth="1"/>
    <col min="11779" max="11779" width="26.28515625" style="1" customWidth="1"/>
    <col min="11780" max="12027" width="10.42578125" style="1"/>
    <col min="12028" max="12028" width="7.42578125" style="1" customWidth="1"/>
    <col min="12029" max="12029" width="37.42578125" style="1" customWidth="1"/>
    <col min="12030" max="12030" width="10.42578125" style="1"/>
    <col min="12031" max="12031" width="9.28515625" style="1" customWidth="1"/>
    <col min="12032" max="12033" width="12.140625" style="1" customWidth="1"/>
    <col min="12034" max="12034" width="16" style="1" customWidth="1"/>
    <col min="12035" max="12035" width="26.28515625" style="1" customWidth="1"/>
    <col min="12036" max="12283" width="10.42578125" style="1"/>
    <col min="12284" max="12284" width="7.42578125" style="1" customWidth="1"/>
    <col min="12285" max="12285" width="37.42578125" style="1" customWidth="1"/>
    <col min="12286" max="12286" width="10.42578125" style="1"/>
    <col min="12287" max="12287" width="9.28515625" style="1" customWidth="1"/>
    <col min="12288" max="12289" width="12.140625" style="1" customWidth="1"/>
    <col min="12290" max="12290" width="16" style="1" customWidth="1"/>
    <col min="12291" max="12291" width="26.28515625" style="1" customWidth="1"/>
    <col min="12292" max="12539" width="10.42578125" style="1"/>
    <col min="12540" max="12540" width="7.42578125" style="1" customWidth="1"/>
    <col min="12541" max="12541" width="37.42578125" style="1" customWidth="1"/>
    <col min="12542" max="12542" width="10.42578125" style="1"/>
    <col min="12543" max="12543" width="9.28515625" style="1" customWidth="1"/>
    <col min="12544" max="12545" width="12.140625" style="1" customWidth="1"/>
    <col min="12546" max="12546" width="16" style="1" customWidth="1"/>
    <col min="12547" max="12547" width="26.28515625" style="1" customWidth="1"/>
    <col min="12548" max="12795" width="10.42578125" style="1"/>
    <col min="12796" max="12796" width="7.42578125" style="1" customWidth="1"/>
    <col min="12797" max="12797" width="37.42578125" style="1" customWidth="1"/>
    <col min="12798" max="12798" width="10.42578125" style="1"/>
    <col min="12799" max="12799" width="9.28515625" style="1" customWidth="1"/>
    <col min="12800" max="12801" width="12.140625" style="1" customWidth="1"/>
    <col min="12802" max="12802" width="16" style="1" customWidth="1"/>
    <col min="12803" max="12803" width="26.28515625" style="1" customWidth="1"/>
    <col min="12804" max="13051" width="10.42578125" style="1"/>
    <col min="13052" max="13052" width="7.42578125" style="1" customWidth="1"/>
    <col min="13053" max="13053" width="37.42578125" style="1" customWidth="1"/>
    <col min="13054" max="13054" width="10.42578125" style="1"/>
    <col min="13055" max="13055" width="9.28515625" style="1" customWidth="1"/>
    <col min="13056" max="13057" width="12.140625" style="1" customWidth="1"/>
    <col min="13058" max="13058" width="16" style="1" customWidth="1"/>
    <col min="13059" max="13059" width="26.28515625" style="1" customWidth="1"/>
    <col min="13060" max="13307" width="10.42578125" style="1"/>
    <col min="13308" max="13308" width="7.42578125" style="1" customWidth="1"/>
    <col min="13309" max="13309" width="37.42578125" style="1" customWidth="1"/>
    <col min="13310" max="13310" width="10.42578125" style="1"/>
    <col min="13311" max="13311" width="9.28515625" style="1" customWidth="1"/>
    <col min="13312" max="13313" width="12.140625" style="1" customWidth="1"/>
    <col min="13314" max="13314" width="16" style="1" customWidth="1"/>
    <col min="13315" max="13315" width="26.28515625" style="1" customWidth="1"/>
    <col min="13316" max="13563" width="10.42578125" style="1"/>
    <col min="13564" max="13564" width="7.42578125" style="1" customWidth="1"/>
    <col min="13565" max="13565" width="37.42578125" style="1" customWidth="1"/>
    <col min="13566" max="13566" width="10.42578125" style="1"/>
    <col min="13567" max="13567" width="9.28515625" style="1" customWidth="1"/>
    <col min="13568" max="13569" width="12.140625" style="1" customWidth="1"/>
    <col min="13570" max="13570" width="16" style="1" customWidth="1"/>
    <col min="13571" max="13571" width="26.28515625" style="1" customWidth="1"/>
    <col min="13572" max="13819" width="10.42578125" style="1"/>
    <col min="13820" max="13820" width="7.42578125" style="1" customWidth="1"/>
    <col min="13821" max="13821" width="37.42578125" style="1" customWidth="1"/>
    <col min="13822" max="13822" width="10.42578125" style="1"/>
    <col min="13823" max="13823" width="9.28515625" style="1" customWidth="1"/>
    <col min="13824" max="13825" width="12.140625" style="1" customWidth="1"/>
    <col min="13826" max="13826" width="16" style="1" customWidth="1"/>
    <col min="13827" max="13827" width="26.28515625" style="1" customWidth="1"/>
    <col min="13828" max="14075" width="10.42578125" style="1"/>
    <col min="14076" max="14076" width="7.42578125" style="1" customWidth="1"/>
    <col min="14077" max="14077" width="37.42578125" style="1" customWidth="1"/>
    <col min="14078" max="14078" width="10.42578125" style="1"/>
    <col min="14079" max="14079" width="9.28515625" style="1" customWidth="1"/>
    <col min="14080" max="14081" width="12.140625" style="1" customWidth="1"/>
    <col min="14082" max="14082" width="16" style="1" customWidth="1"/>
    <col min="14083" max="14083" width="26.28515625" style="1" customWidth="1"/>
    <col min="14084" max="14331" width="10.42578125" style="1"/>
    <col min="14332" max="14332" width="7.42578125" style="1" customWidth="1"/>
    <col min="14333" max="14333" width="37.42578125" style="1" customWidth="1"/>
    <col min="14334" max="14334" width="10.42578125" style="1"/>
    <col min="14335" max="14335" width="9.28515625" style="1" customWidth="1"/>
    <col min="14336" max="14337" width="12.140625" style="1" customWidth="1"/>
    <col min="14338" max="14338" width="16" style="1" customWidth="1"/>
    <col min="14339" max="14339" width="26.28515625" style="1" customWidth="1"/>
    <col min="14340" max="14587" width="10.42578125" style="1"/>
    <col min="14588" max="14588" width="7.42578125" style="1" customWidth="1"/>
    <col min="14589" max="14589" width="37.42578125" style="1" customWidth="1"/>
    <col min="14590" max="14590" width="10.42578125" style="1"/>
    <col min="14591" max="14591" width="9.28515625" style="1" customWidth="1"/>
    <col min="14592" max="14593" width="12.140625" style="1" customWidth="1"/>
    <col min="14594" max="14594" width="16" style="1" customWidth="1"/>
    <col min="14595" max="14595" width="26.28515625" style="1" customWidth="1"/>
    <col min="14596" max="14843" width="10.42578125" style="1"/>
    <col min="14844" max="14844" width="7.42578125" style="1" customWidth="1"/>
    <col min="14845" max="14845" width="37.42578125" style="1" customWidth="1"/>
    <col min="14846" max="14846" width="10.42578125" style="1"/>
    <col min="14847" max="14847" width="9.28515625" style="1" customWidth="1"/>
    <col min="14848" max="14849" width="12.140625" style="1" customWidth="1"/>
    <col min="14850" max="14850" width="16" style="1" customWidth="1"/>
    <col min="14851" max="14851" width="26.28515625" style="1" customWidth="1"/>
    <col min="14852" max="15099" width="10.42578125" style="1"/>
    <col min="15100" max="15100" width="7.42578125" style="1" customWidth="1"/>
    <col min="15101" max="15101" width="37.42578125" style="1" customWidth="1"/>
    <col min="15102" max="15102" width="10.42578125" style="1"/>
    <col min="15103" max="15103" width="9.28515625" style="1" customWidth="1"/>
    <col min="15104" max="15105" width="12.140625" style="1" customWidth="1"/>
    <col min="15106" max="15106" width="16" style="1" customWidth="1"/>
    <col min="15107" max="15107" width="26.28515625" style="1" customWidth="1"/>
    <col min="15108" max="15355" width="10.42578125" style="1"/>
    <col min="15356" max="15356" width="7.42578125" style="1" customWidth="1"/>
    <col min="15357" max="15357" width="37.42578125" style="1" customWidth="1"/>
    <col min="15358" max="15358" width="10.42578125" style="1"/>
    <col min="15359" max="15359" width="9.28515625" style="1" customWidth="1"/>
    <col min="15360" max="15361" width="12.140625" style="1" customWidth="1"/>
    <col min="15362" max="15362" width="16" style="1" customWidth="1"/>
    <col min="15363" max="15363" width="26.28515625" style="1" customWidth="1"/>
    <col min="15364" max="15611" width="10.42578125" style="1"/>
    <col min="15612" max="15612" width="7.42578125" style="1" customWidth="1"/>
    <col min="15613" max="15613" width="37.42578125" style="1" customWidth="1"/>
    <col min="15614" max="15614" width="10.42578125" style="1"/>
    <col min="15615" max="15615" width="9.28515625" style="1" customWidth="1"/>
    <col min="15616" max="15617" width="12.140625" style="1" customWidth="1"/>
    <col min="15618" max="15618" width="16" style="1" customWidth="1"/>
    <col min="15619" max="15619" width="26.28515625" style="1" customWidth="1"/>
    <col min="15620" max="15867" width="10.42578125" style="1"/>
    <col min="15868" max="15868" width="7.42578125" style="1" customWidth="1"/>
    <col min="15869" max="15869" width="37.42578125" style="1" customWidth="1"/>
    <col min="15870" max="15870" width="10.42578125" style="1"/>
    <col min="15871" max="15871" width="9.28515625" style="1" customWidth="1"/>
    <col min="15872" max="15873" width="12.140625" style="1" customWidth="1"/>
    <col min="15874" max="15874" width="16" style="1" customWidth="1"/>
    <col min="15875" max="15875" width="26.28515625" style="1" customWidth="1"/>
    <col min="15876" max="16123" width="10.42578125" style="1"/>
    <col min="16124" max="16124" width="7.42578125" style="1" customWidth="1"/>
    <col min="16125" max="16125" width="37.42578125" style="1" customWidth="1"/>
    <col min="16126" max="16126" width="10.42578125" style="1"/>
    <col min="16127" max="16127" width="9.28515625" style="1" customWidth="1"/>
    <col min="16128" max="16129" width="12.140625" style="1" customWidth="1"/>
    <col min="16130" max="16130" width="16" style="1" customWidth="1"/>
    <col min="16131" max="16131" width="26.28515625" style="1" customWidth="1"/>
    <col min="16132" max="16384" width="10.42578125" style="1"/>
  </cols>
  <sheetData>
    <row r="1" spans="1:23" ht="16.5" customHeight="1">
      <c r="B1" s="2"/>
      <c r="C1" s="3" t="s">
        <v>0</v>
      </c>
      <c r="D1" s="4"/>
      <c r="E1" s="5"/>
      <c r="F1" s="6"/>
      <c r="G1" s="672" t="s">
        <v>1</v>
      </c>
      <c r="H1" s="938"/>
      <c r="I1" s="1"/>
    </row>
    <row r="2" spans="1:23">
      <c r="H2" s="1198"/>
    </row>
    <row r="3" spans="1:23" s="73" customFormat="1" ht="15">
      <c r="B3" s="74" t="s">
        <v>35</v>
      </c>
      <c r="C3" s="75" t="s">
        <v>9</v>
      </c>
      <c r="D3" s="1175"/>
      <c r="E3" s="77"/>
      <c r="F3" s="78"/>
      <c r="G3" s="79"/>
      <c r="H3" s="1198"/>
      <c r="I3" s="1275"/>
    </row>
    <row r="4" spans="1:23" s="73" customFormat="1" ht="12" customHeight="1">
      <c r="B4" s="80"/>
      <c r="C4" s="81"/>
      <c r="D4" s="1176"/>
      <c r="E4" s="83"/>
      <c r="F4" s="84"/>
      <c r="G4" s="85"/>
      <c r="H4" s="1198"/>
      <c r="I4" s="1275"/>
    </row>
    <row r="5" spans="1:23" s="86" customFormat="1" ht="14.25">
      <c r="B5" s="74" t="s">
        <v>37</v>
      </c>
      <c r="C5" s="75" t="s">
        <v>1654</v>
      </c>
      <c r="D5" s="1175"/>
      <c r="E5" s="77"/>
      <c r="F5" s="78"/>
      <c r="G5" s="79"/>
      <c r="H5" s="1198"/>
      <c r="I5" s="1276"/>
      <c r="J5" s="87"/>
      <c r="K5" s="87"/>
      <c r="L5" s="87"/>
    </row>
    <row r="6" spans="1:23" s="86" customFormat="1" ht="14.25">
      <c r="B6" s="80"/>
      <c r="C6" s="81"/>
      <c r="D6" s="1176"/>
      <c r="E6" s="83"/>
      <c r="F6" s="84"/>
      <c r="G6" s="88"/>
      <c r="H6" s="1198"/>
      <c r="I6" s="1276"/>
      <c r="J6" s="87"/>
      <c r="K6" s="87"/>
      <c r="L6" s="87"/>
    </row>
    <row r="7" spans="1:23" s="14" customFormat="1" ht="18" customHeight="1">
      <c r="A7" s="9"/>
      <c r="B7" s="10" t="s">
        <v>38</v>
      </c>
      <c r="C7" s="11"/>
      <c r="D7" s="1177"/>
      <c r="E7" s="12"/>
      <c r="F7" s="12"/>
      <c r="G7" s="13"/>
      <c r="H7" s="1198"/>
      <c r="I7" s="1277"/>
    </row>
    <row r="8" spans="1:23" s="14" customFormat="1" ht="18" customHeight="1">
      <c r="A8" s="15"/>
      <c r="B8" s="16" t="s">
        <v>39</v>
      </c>
      <c r="C8" s="17"/>
      <c r="D8" s="1179"/>
      <c r="E8" s="19"/>
      <c r="F8" s="19"/>
      <c r="G8" s="18"/>
      <c r="H8" s="1198"/>
      <c r="I8" s="1277"/>
    </row>
    <row r="9" spans="1:23" s="14" customFormat="1" ht="18" customHeight="1">
      <c r="A9" s="9"/>
      <c r="B9" s="10" t="s">
        <v>4</v>
      </c>
      <c r="C9" s="11"/>
      <c r="D9" s="1180"/>
      <c r="E9" s="12"/>
      <c r="F9" s="12"/>
      <c r="G9" s="13"/>
      <c r="H9" s="1198"/>
      <c r="I9" s="1277"/>
    </row>
    <row r="10" spans="1:23" s="14" customFormat="1" ht="18" customHeight="1">
      <c r="A10" s="15"/>
      <c r="B10" s="16" t="s">
        <v>5</v>
      </c>
      <c r="C10" s="17"/>
      <c r="D10" s="1181"/>
      <c r="E10" s="19"/>
      <c r="F10" s="19"/>
      <c r="G10" s="18"/>
      <c r="H10" s="1198"/>
      <c r="I10" s="1277"/>
    </row>
    <row r="11" spans="1:23" s="86" customFormat="1" ht="14.25">
      <c r="B11" s="89"/>
      <c r="C11" s="90"/>
      <c r="D11" s="1182"/>
      <c r="E11" s="92"/>
      <c r="F11" s="93"/>
      <c r="G11" s="94"/>
      <c r="H11" s="1198"/>
      <c r="I11" s="1276"/>
      <c r="J11" s="87"/>
      <c r="K11" s="87"/>
      <c r="L11" s="87"/>
    </row>
    <row r="12" spans="1:23" s="86" customFormat="1" ht="14.25">
      <c r="B12" s="95"/>
      <c r="C12" s="96" t="s">
        <v>40</v>
      </c>
      <c r="D12" s="1183"/>
      <c r="E12" s="98"/>
      <c r="F12" s="99"/>
      <c r="G12" s="100"/>
      <c r="H12" s="1198"/>
      <c r="I12" s="1276"/>
      <c r="J12" s="87"/>
      <c r="K12" s="87"/>
      <c r="L12" s="87"/>
    </row>
    <row r="13" spans="1:23" s="101" customFormat="1" ht="15">
      <c r="B13" s="95" t="s">
        <v>41</v>
      </c>
      <c r="C13" s="102" t="s">
        <v>42</v>
      </c>
      <c r="D13" s="1183"/>
      <c r="E13" s="104"/>
      <c r="F13" s="105"/>
      <c r="G13" s="106" t="s">
        <v>10</v>
      </c>
      <c r="H13" s="1198"/>
      <c r="I13" s="1275"/>
      <c r="J13" s="73"/>
      <c r="K13" s="73"/>
      <c r="L13" s="73"/>
      <c r="M13" s="73"/>
      <c r="N13" s="73"/>
      <c r="O13" s="73"/>
      <c r="P13" s="73"/>
      <c r="Q13" s="73"/>
      <c r="R13" s="73"/>
      <c r="S13" s="73"/>
      <c r="T13" s="73"/>
      <c r="U13" s="73"/>
      <c r="V13" s="73"/>
      <c r="W13" s="73"/>
    </row>
    <row r="14" spans="1:23" s="101" customFormat="1" ht="15">
      <c r="B14" s="107" t="s">
        <v>43</v>
      </c>
      <c r="C14" s="108" t="s">
        <v>44</v>
      </c>
      <c r="D14" s="1185"/>
      <c r="E14" s="110"/>
      <c r="F14" s="111"/>
      <c r="G14" s="112">
        <f>G36</f>
        <v>0</v>
      </c>
      <c r="H14" s="1198"/>
      <c r="I14" s="1275"/>
      <c r="J14" s="73"/>
      <c r="K14" s="73"/>
      <c r="L14" s="73"/>
      <c r="M14" s="73"/>
      <c r="N14" s="73"/>
      <c r="O14" s="73"/>
      <c r="P14" s="73"/>
      <c r="Q14" s="73"/>
      <c r="R14" s="73"/>
      <c r="S14" s="73"/>
      <c r="T14" s="73"/>
      <c r="U14" s="73"/>
      <c r="V14" s="73"/>
      <c r="W14" s="73"/>
    </row>
    <row r="15" spans="1:23" s="101" customFormat="1" ht="15">
      <c r="B15" s="107" t="s">
        <v>45</v>
      </c>
      <c r="C15" s="108" t="s">
        <v>46</v>
      </c>
      <c r="D15" s="1185"/>
      <c r="E15" s="110"/>
      <c r="F15" s="111"/>
      <c r="G15" s="112">
        <f>G88</f>
        <v>0</v>
      </c>
      <c r="H15" s="1198"/>
      <c r="I15" s="1275"/>
      <c r="J15" s="73"/>
      <c r="K15" s="73"/>
      <c r="L15" s="73"/>
      <c r="M15" s="73"/>
      <c r="N15" s="73"/>
      <c r="O15" s="73"/>
      <c r="P15" s="73"/>
      <c r="Q15" s="73"/>
      <c r="R15" s="73"/>
      <c r="S15" s="73"/>
      <c r="T15" s="73"/>
      <c r="U15" s="73"/>
      <c r="V15" s="73"/>
      <c r="W15" s="73"/>
    </row>
    <row r="16" spans="1:23" s="101" customFormat="1" ht="15">
      <c r="B16" s="107" t="s">
        <v>47</v>
      </c>
      <c r="C16" s="108" t="s">
        <v>48</v>
      </c>
      <c r="D16" s="1185"/>
      <c r="E16" s="110"/>
      <c r="F16" s="111"/>
      <c r="G16" s="112">
        <f>G251</f>
        <v>0</v>
      </c>
      <c r="H16" s="1198"/>
      <c r="I16" s="1275"/>
      <c r="J16" s="73"/>
      <c r="K16" s="73"/>
      <c r="L16" s="73"/>
      <c r="M16" s="73"/>
      <c r="N16" s="73"/>
      <c r="O16" s="73"/>
      <c r="P16" s="73"/>
      <c r="Q16" s="73"/>
      <c r="R16" s="73"/>
      <c r="S16" s="73"/>
      <c r="T16" s="73"/>
      <c r="U16" s="73"/>
      <c r="V16" s="73"/>
      <c r="W16" s="73"/>
    </row>
    <row r="17" spans="2:23" s="101" customFormat="1" ht="15">
      <c r="B17" s="113"/>
      <c r="C17" s="114" t="s">
        <v>49</v>
      </c>
      <c r="D17" s="1187"/>
      <c r="E17" s="116"/>
      <c r="F17" s="117"/>
      <c r="G17" s="50">
        <f>SUM(G14:G16)</f>
        <v>0</v>
      </c>
      <c r="H17" s="1198"/>
      <c r="I17" s="1275"/>
      <c r="J17" s="73"/>
      <c r="K17" s="73"/>
      <c r="L17" s="73"/>
      <c r="M17" s="73"/>
      <c r="N17" s="73"/>
      <c r="O17" s="73"/>
      <c r="P17" s="73"/>
      <c r="Q17" s="73"/>
      <c r="R17" s="73"/>
      <c r="S17" s="73"/>
      <c r="T17" s="73"/>
      <c r="U17" s="73"/>
      <c r="V17" s="73"/>
      <c r="W17" s="73"/>
    </row>
    <row r="18" spans="2:23">
      <c r="B18" s="61"/>
      <c r="C18" s="62"/>
      <c r="D18" s="63"/>
      <c r="E18" s="64"/>
      <c r="F18" s="65"/>
      <c r="H18" s="1198"/>
    </row>
    <row r="19" spans="2:23">
      <c r="G19" s="118"/>
      <c r="H19" s="1198"/>
    </row>
    <row r="20" spans="2:23">
      <c r="B20" s="119" t="s">
        <v>50</v>
      </c>
      <c r="C20" s="120" t="s">
        <v>51</v>
      </c>
      <c r="D20" s="120" t="s">
        <v>52</v>
      </c>
      <c r="E20" s="122" t="s">
        <v>53</v>
      </c>
      <c r="F20" s="123" t="s">
        <v>54</v>
      </c>
      <c r="G20" s="124" t="s">
        <v>55</v>
      </c>
      <c r="H20" s="1198"/>
    </row>
    <row r="21" spans="2:23">
      <c r="B21" s="125"/>
      <c r="C21" s="126"/>
      <c r="D21" s="140"/>
      <c r="E21" s="128"/>
      <c r="F21" s="129"/>
      <c r="G21" s="130"/>
      <c r="H21" s="1198"/>
    </row>
    <row r="22" spans="2:23" s="138" customFormat="1" ht="20.25">
      <c r="B22" s="131" t="s">
        <v>43</v>
      </c>
      <c r="C22" s="132" t="s">
        <v>44</v>
      </c>
      <c r="D22" s="165"/>
      <c r="E22" s="134"/>
      <c r="F22" s="135"/>
      <c r="G22" s="136"/>
      <c r="H22" s="1198"/>
      <c r="I22" s="1278"/>
    </row>
    <row r="23" spans="2:23" ht="24">
      <c r="B23" s="125">
        <v>1</v>
      </c>
      <c r="C23" s="139" t="s">
        <v>56</v>
      </c>
      <c r="D23" s="140" t="s">
        <v>57</v>
      </c>
      <c r="E23" s="198">
        <v>1700</v>
      </c>
      <c r="F23" s="1191">
        <v>0</v>
      </c>
      <c r="G23" s="1083">
        <f t="shared" ref="G23" si="0">E23*F23</f>
        <v>0</v>
      </c>
      <c r="H23" s="1198"/>
    </row>
    <row r="24" spans="2:23">
      <c r="B24" s="125">
        <v>2</v>
      </c>
      <c r="C24" s="139" t="s">
        <v>58</v>
      </c>
      <c r="D24" s="140" t="s">
        <v>57</v>
      </c>
      <c r="E24" s="198">
        <v>1700</v>
      </c>
      <c r="F24" s="1191">
        <v>0</v>
      </c>
      <c r="G24" s="1083">
        <f>E24*F24</f>
        <v>0</v>
      </c>
      <c r="H24" s="1198"/>
    </row>
    <row r="25" spans="2:23" ht="48">
      <c r="B25" s="125">
        <v>3</v>
      </c>
      <c r="C25" s="139" t="s">
        <v>59</v>
      </c>
      <c r="D25" s="140" t="s">
        <v>60</v>
      </c>
      <c r="E25" s="198">
        <v>2</v>
      </c>
      <c r="F25" s="1191">
        <v>0</v>
      </c>
      <c r="G25" s="1083">
        <f t="shared" ref="G25:G35" si="1">E25*F25</f>
        <v>0</v>
      </c>
      <c r="H25" s="1198"/>
      <c r="I25" s="1279"/>
    </row>
    <row r="26" spans="2:23" ht="124.5" customHeight="1">
      <c r="B26" s="125">
        <v>4</v>
      </c>
      <c r="C26" s="144" t="s">
        <v>61</v>
      </c>
      <c r="D26" s="145" t="s">
        <v>60</v>
      </c>
      <c r="E26" s="198">
        <v>1</v>
      </c>
      <c r="F26" s="1191">
        <v>0</v>
      </c>
      <c r="G26" s="1083">
        <f t="shared" si="1"/>
        <v>0</v>
      </c>
      <c r="H26" s="1198"/>
    </row>
    <row r="27" spans="2:23" ht="24">
      <c r="B27" s="125">
        <v>5</v>
      </c>
      <c r="C27" s="144" t="s">
        <v>62</v>
      </c>
      <c r="D27" s="146" t="s">
        <v>60</v>
      </c>
      <c r="E27" s="198">
        <v>1</v>
      </c>
      <c r="F27" s="1191">
        <v>0</v>
      </c>
      <c r="G27" s="1083">
        <f t="shared" si="1"/>
        <v>0</v>
      </c>
      <c r="H27" s="1198"/>
    </row>
    <row r="28" spans="2:23" ht="24">
      <c r="B28" s="125">
        <v>6</v>
      </c>
      <c r="C28" s="1239" t="s">
        <v>63</v>
      </c>
      <c r="D28" s="277" t="s">
        <v>57</v>
      </c>
      <c r="E28" s="198">
        <v>220</v>
      </c>
      <c r="F28" s="1191">
        <v>0</v>
      </c>
      <c r="G28" s="1194">
        <f t="shared" si="1"/>
        <v>0</v>
      </c>
      <c r="H28" s="1198"/>
    </row>
    <row r="29" spans="2:23" ht="48">
      <c r="B29" s="125">
        <v>7</v>
      </c>
      <c r="C29" s="1080" t="s">
        <v>64</v>
      </c>
      <c r="D29" s="146" t="s">
        <v>60</v>
      </c>
      <c r="E29" s="198">
        <v>1</v>
      </c>
      <c r="F29" s="1191">
        <v>0</v>
      </c>
      <c r="G29" s="1083">
        <f t="shared" si="1"/>
        <v>0</v>
      </c>
      <c r="H29" s="1198"/>
    </row>
    <row r="30" spans="2:23" ht="48">
      <c r="B30" s="125">
        <v>8</v>
      </c>
      <c r="C30" s="1240" t="s">
        <v>1655</v>
      </c>
      <c r="D30" s="275" t="s">
        <v>78</v>
      </c>
      <c r="E30" s="198">
        <v>340</v>
      </c>
      <c r="F30" s="1191">
        <v>0</v>
      </c>
      <c r="G30" s="1194">
        <f t="shared" si="1"/>
        <v>0</v>
      </c>
      <c r="H30" s="1198"/>
    </row>
    <row r="31" spans="2:23" ht="36">
      <c r="B31" s="125">
        <v>9</v>
      </c>
      <c r="C31" s="1080" t="s">
        <v>2294</v>
      </c>
      <c r="D31" s="146" t="s">
        <v>57</v>
      </c>
      <c r="E31" s="198">
        <v>1700</v>
      </c>
      <c r="F31" s="1191">
        <v>0</v>
      </c>
      <c r="G31" s="1083">
        <f t="shared" si="1"/>
        <v>0</v>
      </c>
      <c r="H31" s="1198"/>
    </row>
    <row r="32" spans="2:23" ht="24">
      <c r="B32" s="125">
        <v>10</v>
      </c>
      <c r="C32" s="1080" t="s">
        <v>2293</v>
      </c>
      <c r="D32" s="146" t="s">
        <v>57</v>
      </c>
      <c r="E32" s="198">
        <v>1700</v>
      </c>
      <c r="F32" s="1191">
        <v>0</v>
      </c>
      <c r="G32" s="1083">
        <f t="shared" si="1"/>
        <v>0</v>
      </c>
      <c r="H32" s="1198"/>
    </row>
    <row r="33" spans="2:12">
      <c r="B33" s="125">
        <v>11</v>
      </c>
      <c r="C33" s="1239" t="s">
        <v>67</v>
      </c>
      <c r="D33" s="275" t="s">
        <v>60</v>
      </c>
      <c r="E33" s="198">
        <v>1</v>
      </c>
      <c r="F33" s="1191">
        <v>0</v>
      </c>
      <c r="G33" s="1194">
        <f t="shared" si="1"/>
        <v>0</v>
      </c>
      <c r="H33" s="1198"/>
    </row>
    <row r="34" spans="2:12" ht="36">
      <c r="B34" s="125">
        <v>12</v>
      </c>
      <c r="C34" s="148" t="s">
        <v>68</v>
      </c>
      <c r="D34" s="146" t="s">
        <v>60</v>
      </c>
      <c r="E34" s="198">
        <v>1</v>
      </c>
      <c r="F34" s="1191">
        <v>0</v>
      </c>
      <c r="G34" s="1083">
        <f t="shared" si="1"/>
        <v>0</v>
      </c>
      <c r="H34" s="1198"/>
    </row>
    <row r="35" spans="2:12" ht="36">
      <c r="B35" s="125">
        <v>13</v>
      </c>
      <c r="C35" s="150" t="s">
        <v>69</v>
      </c>
      <c r="D35" s="146" t="s">
        <v>60</v>
      </c>
      <c r="E35" s="198">
        <v>8</v>
      </c>
      <c r="F35" s="1191">
        <v>0</v>
      </c>
      <c r="G35" s="1083">
        <f t="shared" si="1"/>
        <v>0</v>
      </c>
      <c r="H35" s="1198"/>
    </row>
    <row r="36" spans="2:12">
      <c r="B36" s="151" t="s">
        <v>43</v>
      </c>
      <c r="C36" s="152" t="s">
        <v>70</v>
      </c>
      <c r="D36" s="185"/>
      <c r="E36" s="741"/>
      <c r="F36" s="1122"/>
      <c r="G36" s="263">
        <f>SUM(G23:G35)</f>
        <v>0</v>
      </c>
      <c r="H36" s="1198"/>
    </row>
    <row r="37" spans="2:12">
      <c r="B37" s="125"/>
      <c r="C37" s="126"/>
      <c r="D37" s="140"/>
      <c r="E37" s="128"/>
      <c r="F37" s="129"/>
      <c r="G37" s="130"/>
      <c r="H37" s="1198"/>
    </row>
    <row r="38" spans="2:12">
      <c r="B38" s="1202" t="s">
        <v>50</v>
      </c>
      <c r="C38" s="1203" t="s">
        <v>51</v>
      </c>
      <c r="D38" s="1203" t="s">
        <v>52</v>
      </c>
      <c r="E38" s="1204" t="s">
        <v>53</v>
      </c>
      <c r="F38" s="1205" t="s">
        <v>54</v>
      </c>
      <c r="G38" s="1206" t="s">
        <v>55</v>
      </c>
      <c r="H38" s="1198"/>
    </row>
    <row r="39" spans="2:12">
      <c r="B39" s="125"/>
      <c r="C39" s="163"/>
      <c r="D39" s="140"/>
      <c r="E39" s="128"/>
      <c r="F39" s="129"/>
      <c r="G39" s="130"/>
      <c r="H39" s="1198"/>
    </row>
    <row r="40" spans="2:12" s="138" customFormat="1" ht="20.25">
      <c r="B40" s="131" t="s">
        <v>45</v>
      </c>
      <c r="C40" s="164" t="s">
        <v>71</v>
      </c>
      <c r="D40" s="165"/>
      <c r="E40" s="134"/>
      <c r="F40" s="135"/>
      <c r="G40" s="136"/>
      <c r="H40" s="1198"/>
      <c r="I40" s="1278"/>
    </row>
    <row r="41" spans="2:12" s="166" customFormat="1" ht="71.25" customHeight="1">
      <c r="B41" s="2399" t="s">
        <v>72</v>
      </c>
      <c r="C41" s="2400"/>
      <c r="D41" s="2400"/>
      <c r="E41" s="2400"/>
      <c r="F41" s="2400"/>
      <c r="G41" s="2401"/>
      <c r="H41" s="1198"/>
      <c r="I41" s="1198"/>
    </row>
    <row r="42" spans="2:12" ht="24">
      <c r="B42" s="167">
        <v>1</v>
      </c>
      <c r="C42" s="171" t="s">
        <v>73</v>
      </c>
      <c r="D42" s="277" t="s">
        <v>74</v>
      </c>
      <c r="E42" s="173">
        <v>28</v>
      </c>
      <c r="F42" s="174">
        <v>0</v>
      </c>
      <c r="G42" s="175">
        <f t="shared" ref="G42:G87" si="2">E42*F42</f>
        <v>0</v>
      </c>
      <c r="H42" s="1198"/>
      <c r="J42" s="266"/>
    </row>
    <row r="43" spans="2:12" ht="36">
      <c r="B43" s="167">
        <v>2</v>
      </c>
      <c r="C43" s="139" t="s">
        <v>1499</v>
      </c>
      <c r="D43" s="172" t="s">
        <v>74</v>
      </c>
      <c r="E43" s="173">
        <v>53</v>
      </c>
      <c r="F43" s="174">
        <v>0</v>
      </c>
      <c r="G43" s="175">
        <f t="shared" si="2"/>
        <v>0</v>
      </c>
      <c r="H43" s="1198"/>
      <c r="J43" s="266"/>
    </row>
    <row r="44" spans="2:12" ht="36">
      <c r="B44" s="167">
        <v>3</v>
      </c>
      <c r="C44" s="139" t="s">
        <v>1500</v>
      </c>
      <c r="D44" s="172" t="s">
        <v>74</v>
      </c>
      <c r="E44" s="173">
        <v>2550</v>
      </c>
      <c r="F44" s="174">
        <v>0</v>
      </c>
      <c r="G44" s="175">
        <f t="shared" si="2"/>
        <v>0</v>
      </c>
      <c r="H44" s="1198"/>
      <c r="J44" s="1209"/>
      <c r="L44" s="270"/>
    </row>
    <row r="45" spans="2:12" ht="24">
      <c r="B45" s="167">
        <v>4</v>
      </c>
      <c r="C45" s="1280" t="s">
        <v>77</v>
      </c>
      <c r="D45" s="1281" t="s">
        <v>78</v>
      </c>
      <c r="E45" s="1282">
        <v>5530</v>
      </c>
      <c r="F45" s="174">
        <v>0</v>
      </c>
      <c r="G45" s="175">
        <f t="shared" si="2"/>
        <v>0</v>
      </c>
      <c r="H45" s="1198"/>
      <c r="J45" s="1209"/>
    </row>
    <row r="46" spans="2:12" ht="36">
      <c r="B46" s="167">
        <v>5</v>
      </c>
      <c r="C46" s="171" t="s">
        <v>79</v>
      </c>
      <c r="D46" s="172" t="s">
        <v>78</v>
      </c>
      <c r="E46" s="173">
        <v>1450</v>
      </c>
      <c r="F46" s="174">
        <v>0</v>
      </c>
      <c r="G46" s="175">
        <f t="shared" si="2"/>
        <v>0</v>
      </c>
      <c r="H46" s="1198"/>
      <c r="J46" s="266"/>
    </row>
    <row r="47" spans="2:12" ht="24">
      <c r="B47" s="167">
        <v>6</v>
      </c>
      <c r="C47" s="171" t="s">
        <v>80</v>
      </c>
      <c r="D47" s="172" t="s">
        <v>74</v>
      </c>
      <c r="E47" s="173">
        <v>580</v>
      </c>
      <c r="F47" s="174">
        <v>0</v>
      </c>
      <c r="G47" s="175">
        <f t="shared" si="2"/>
        <v>0</v>
      </c>
      <c r="H47" s="1198"/>
      <c r="J47" s="266"/>
    </row>
    <row r="48" spans="2:12" ht="24">
      <c r="B48" s="167">
        <v>7</v>
      </c>
      <c r="C48" s="171" t="s">
        <v>247</v>
      </c>
      <c r="D48" s="172" t="s">
        <v>74</v>
      </c>
      <c r="E48" s="173">
        <v>156</v>
      </c>
      <c r="F48" s="174">
        <v>0</v>
      </c>
      <c r="G48" s="175">
        <f t="shared" si="2"/>
        <v>0</v>
      </c>
      <c r="H48" s="1198"/>
      <c r="J48" s="1209"/>
    </row>
    <row r="49" spans="2:10" ht="36">
      <c r="B49" s="167">
        <v>8</v>
      </c>
      <c r="C49" s="144" t="s">
        <v>248</v>
      </c>
      <c r="D49" s="145" t="s">
        <v>74</v>
      </c>
      <c r="E49" s="128">
        <v>1560</v>
      </c>
      <c r="F49" s="174">
        <v>0</v>
      </c>
      <c r="G49" s="142">
        <f t="shared" si="2"/>
        <v>0</v>
      </c>
      <c r="H49" s="1198"/>
      <c r="J49" s="270"/>
    </row>
    <row r="50" spans="2:10" ht="36">
      <c r="B50" s="167">
        <v>9</v>
      </c>
      <c r="C50" s="397" t="s">
        <v>249</v>
      </c>
      <c r="D50" s="146" t="s">
        <v>74</v>
      </c>
      <c r="E50" s="128">
        <v>48</v>
      </c>
      <c r="F50" s="174">
        <v>0</v>
      </c>
      <c r="G50" s="142">
        <f t="shared" si="2"/>
        <v>0</v>
      </c>
      <c r="H50" s="1198"/>
    </row>
    <row r="51" spans="2:10" s="166" customFormat="1" ht="36">
      <c r="B51" s="715" t="s">
        <v>865</v>
      </c>
      <c r="C51" s="397" t="s">
        <v>251</v>
      </c>
      <c r="D51" s="146" t="s">
        <v>74</v>
      </c>
      <c r="E51" s="128">
        <v>360</v>
      </c>
      <c r="F51" s="174">
        <v>0</v>
      </c>
      <c r="G51" s="142">
        <f t="shared" si="2"/>
        <v>0</v>
      </c>
      <c r="H51" s="1198"/>
      <c r="I51" s="1198"/>
    </row>
    <row r="52" spans="2:10" s="166" customFormat="1" ht="48">
      <c r="B52" s="2406">
        <v>11</v>
      </c>
      <c r="C52" s="276" t="s">
        <v>83</v>
      </c>
      <c r="D52" s="275"/>
      <c r="E52" s="173"/>
      <c r="F52" s="174"/>
      <c r="G52" s="175"/>
      <c r="H52" s="1198"/>
      <c r="I52" s="1198"/>
    </row>
    <row r="53" spans="2:10" s="179" customFormat="1">
      <c r="B53" s="2417"/>
      <c r="C53" s="276" t="s">
        <v>84</v>
      </c>
      <c r="D53" s="277" t="s">
        <v>57</v>
      </c>
      <c r="E53" s="173">
        <v>8</v>
      </c>
      <c r="F53" s="174">
        <v>0</v>
      </c>
      <c r="G53" s="175">
        <f t="shared" si="2"/>
        <v>0</v>
      </c>
      <c r="H53" s="1198"/>
      <c r="I53" s="1283"/>
    </row>
    <row r="54" spans="2:10" s="179" customFormat="1" ht="24">
      <c r="B54" s="167">
        <v>12</v>
      </c>
      <c r="C54" s="139" t="s">
        <v>85</v>
      </c>
      <c r="D54" s="145" t="s">
        <v>57</v>
      </c>
      <c r="E54" s="128">
        <v>1280</v>
      </c>
      <c r="F54" s="174">
        <v>0</v>
      </c>
      <c r="G54" s="142">
        <f t="shared" si="2"/>
        <v>0</v>
      </c>
      <c r="H54" s="1198"/>
      <c r="I54" s="1283"/>
    </row>
    <row r="55" spans="2:10" s="179" customFormat="1" ht="24">
      <c r="B55" s="167">
        <v>13</v>
      </c>
      <c r="C55" s="139" t="s">
        <v>86</v>
      </c>
      <c r="D55" s="140" t="s">
        <v>78</v>
      </c>
      <c r="E55" s="128">
        <v>1520</v>
      </c>
      <c r="F55" s="174">
        <v>0</v>
      </c>
      <c r="G55" s="142">
        <f t="shared" si="2"/>
        <v>0</v>
      </c>
      <c r="H55" s="1198"/>
      <c r="I55" s="1283"/>
    </row>
    <row r="56" spans="2:10" ht="48">
      <c r="B56" s="167">
        <v>14</v>
      </c>
      <c r="C56" s="139" t="s">
        <v>87</v>
      </c>
      <c r="D56" s="140" t="s">
        <v>78</v>
      </c>
      <c r="E56" s="128">
        <v>1520</v>
      </c>
      <c r="F56" s="174">
        <v>0</v>
      </c>
      <c r="G56" s="142">
        <f t="shared" si="2"/>
        <v>0</v>
      </c>
      <c r="H56" s="1198"/>
      <c r="I56" s="1279"/>
    </row>
    <row r="57" spans="2:10" ht="48">
      <c r="B57" s="728" t="s">
        <v>1238</v>
      </c>
      <c r="C57" s="144" t="s">
        <v>256</v>
      </c>
      <c r="D57" s="145" t="s">
        <v>78</v>
      </c>
      <c r="E57" s="128">
        <v>150</v>
      </c>
      <c r="F57" s="174">
        <v>0</v>
      </c>
      <c r="G57" s="142">
        <f t="shared" si="2"/>
        <v>0</v>
      </c>
      <c r="H57" s="1198"/>
      <c r="I57" s="1279"/>
    </row>
    <row r="58" spans="2:10" ht="60">
      <c r="B58" s="728" t="s">
        <v>1240</v>
      </c>
      <c r="C58" s="144" t="s">
        <v>258</v>
      </c>
      <c r="D58" s="145" t="s">
        <v>78</v>
      </c>
      <c r="E58" s="128">
        <v>150</v>
      </c>
      <c r="F58" s="174">
        <v>0</v>
      </c>
      <c r="G58" s="142">
        <f t="shared" si="2"/>
        <v>0</v>
      </c>
      <c r="H58" s="1198"/>
      <c r="I58" s="1279"/>
    </row>
    <row r="59" spans="2:10" ht="48">
      <c r="B59" s="728" t="s">
        <v>1242</v>
      </c>
      <c r="C59" s="139" t="s">
        <v>1583</v>
      </c>
      <c r="D59" s="145" t="s">
        <v>78</v>
      </c>
      <c r="E59" s="128">
        <v>1420</v>
      </c>
      <c r="F59" s="174">
        <v>0</v>
      </c>
      <c r="G59" s="142">
        <f>E59*F59</f>
        <v>0</v>
      </c>
      <c r="H59" s="1198"/>
      <c r="I59" s="1279"/>
    </row>
    <row r="60" spans="2:10" ht="60">
      <c r="B60" s="2414" t="s">
        <v>1244</v>
      </c>
      <c r="C60" s="144" t="s">
        <v>1507</v>
      </c>
      <c r="D60" s="145"/>
      <c r="E60" s="128"/>
      <c r="F60" s="141"/>
      <c r="G60" s="142"/>
      <c r="H60" s="1198"/>
      <c r="I60" s="1279"/>
    </row>
    <row r="61" spans="2:10">
      <c r="B61" s="2415"/>
      <c r="C61" s="1284" t="s">
        <v>1509</v>
      </c>
      <c r="D61" s="145" t="s">
        <v>78</v>
      </c>
      <c r="E61" s="128">
        <v>5</v>
      </c>
      <c r="F61" s="141">
        <v>0</v>
      </c>
      <c r="G61" s="142">
        <f t="shared" ref="G61:G63" si="3">E61*F61</f>
        <v>0</v>
      </c>
      <c r="H61" s="1198"/>
      <c r="I61" s="1279"/>
    </row>
    <row r="62" spans="2:10">
      <c r="B62" s="2415"/>
      <c r="C62" s="1284" t="s">
        <v>1510</v>
      </c>
      <c r="D62" s="145" t="s">
        <v>78</v>
      </c>
      <c r="E62" s="128">
        <v>7</v>
      </c>
      <c r="F62" s="141">
        <v>0</v>
      </c>
      <c r="G62" s="142">
        <f t="shared" si="3"/>
        <v>0</v>
      </c>
      <c r="H62" s="1198"/>
      <c r="I62" s="1279"/>
    </row>
    <row r="63" spans="2:10">
      <c r="B63" s="2416"/>
      <c r="C63" s="1284" t="s">
        <v>1656</v>
      </c>
      <c r="D63" s="145" t="s">
        <v>78</v>
      </c>
      <c r="E63" s="128">
        <v>45</v>
      </c>
      <c r="F63" s="141">
        <v>0</v>
      </c>
      <c r="G63" s="142">
        <f t="shared" si="3"/>
        <v>0</v>
      </c>
      <c r="H63" s="1198"/>
      <c r="I63" s="1279"/>
    </row>
    <row r="64" spans="2:10" ht="36">
      <c r="B64" s="167">
        <v>19</v>
      </c>
      <c r="C64" s="139" t="s">
        <v>90</v>
      </c>
      <c r="D64" s="140" t="s">
        <v>78</v>
      </c>
      <c r="E64" s="128">
        <v>15</v>
      </c>
      <c r="F64" s="141">
        <v>0</v>
      </c>
      <c r="G64" s="142">
        <f t="shared" si="2"/>
        <v>0</v>
      </c>
      <c r="H64" s="1198"/>
      <c r="I64" s="1279"/>
    </row>
    <row r="65" spans="2:10" ht="24">
      <c r="B65" s="167">
        <v>20</v>
      </c>
      <c r="C65" s="139" t="s">
        <v>92</v>
      </c>
      <c r="D65" s="145" t="s">
        <v>74</v>
      </c>
      <c r="E65" s="128">
        <v>2465</v>
      </c>
      <c r="F65" s="141">
        <v>0</v>
      </c>
      <c r="G65" s="142">
        <f t="shared" si="2"/>
        <v>0</v>
      </c>
      <c r="H65" s="1198"/>
      <c r="I65" s="1279"/>
    </row>
    <row r="66" spans="2:10">
      <c r="B66" s="167">
        <v>21</v>
      </c>
      <c r="C66" s="139" t="s">
        <v>93</v>
      </c>
      <c r="D66" s="145" t="s">
        <v>74</v>
      </c>
      <c r="E66" s="128">
        <v>2465</v>
      </c>
      <c r="F66" s="141">
        <v>0</v>
      </c>
      <c r="G66" s="142">
        <f t="shared" si="2"/>
        <v>0</v>
      </c>
      <c r="H66" s="1198"/>
      <c r="I66" s="1279"/>
    </row>
    <row r="67" spans="2:10" ht="24">
      <c r="B67" s="167">
        <v>22</v>
      </c>
      <c r="C67" s="139" t="s">
        <v>94</v>
      </c>
      <c r="D67" s="145" t="s">
        <v>78</v>
      </c>
      <c r="E67" s="128">
        <v>1520</v>
      </c>
      <c r="F67" s="141">
        <v>0</v>
      </c>
      <c r="G67" s="142">
        <f t="shared" si="2"/>
        <v>0</v>
      </c>
      <c r="H67" s="1198"/>
      <c r="I67" s="1279"/>
    </row>
    <row r="68" spans="2:10" ht="24">
      <c r="B68" s="167">
        <v>23</v>
      </c>
      <c r="C68" s="171" t="s">
        <v>1657</v>
      </c>
      <c r="D68" s="277" t="s">
        <v>78</v>
      </c>
      <c r="E68" s="173">
        <v>378</v>
      </c>
      <c r="F68" s="141">
        <v>0</v>
      </c>
      <c r="G68" s="175">
        <f t="shared" si="2"/>
        <v>0</v>
      </c>
      <c r="H68" s="1198"/>
      <c r="I68" s="1279"/>
    </row>
    <row r="69" spans="2:10" ht="24">
      <c r="B69" s="167">
        <v>24</v>
      </c>
      <c r="C69" s="171" t="s">
        <v>1658</v>
      </c>
      <c r="D69" s="277" t="s">
        <v>78</v>
      </c>
      <c r="E69" s="173">
        <v>780</v>
      </c>
      <c r="F69" s="141">
        <v>0</v>
      </c>
      <c r="G69" s="175">
        <f t="shared" si="2"/>
        <v>0</v>
      </c>
      <c r="H69" s="1198"/>
      <c r="I69" s="1279"/>
    </row>
    <row r="70" spans="2:10" ht="48">
      <c r="B70" s="2406">
        <v>25</v>
      </c>
      <c r="C70" s="429" t="s">
        <v>1659</v>
      </c>
      <c r="D70" s="194"/>
      <c r="E70" s="128"/>
      <c r="F70" s="141"/>
      <c r="G70" s="142"/>
      <c r="H70" s="1198"/>
      <c r="I70" s="1279"/>
    </row>
    <row r="71" spans="2:10">
      <c r="B71" s="2417"/>
      <c r="C71" s="195" t="s">
        <v>1523</v>
      </c>
      <c r="D71" s="194" t="s">
        <v>57</v>
      </c>
      <c r="E71" s="128">
        <v>12</v>
      </c>
      <c r="F71" s="141">
        <v>0</v>
      </c>
      <c r="G71" s="142">
        <f t="shared" si="2"/>
        <v>0</v>
      </c>
      <c r="H71" s="1198"/>
      <c r="I71" s="1279"/>
    </row>
    <row r="72" spans="2:10" ht="48">
      <c r="B72" s="2406">
        <v>26</v>
      </c>
      <c r="C72" s="429" t="s">
        <v>1660</v>
      </c>
      <c r="D72" s="194"/>
      <c r="E72" s="128"/>
      <c r="F72" s="141"/>
      <c r="G72" s="142"/>
      <c r="H72" s="1198"/>
    </row>
    <row r="73" spans="2:10">
      <c r="B73" s="2417"/>
      <c r="C73" s="195" t="s">
        <v>1523</v>
      </c>
      <c r="D73" s="194" t="s">
        <v>57</v>
      </c>
      <c r="E73" s="128">
        <v>24</v>
      </c>
      <c r="F73" s="141">
        <v>0</v>
      </c>
      <c r="G73" s="142">
        <f t="shared" ref="G73" si="4">E73*F73</f>
        <v>0</v>
      </c>
      <c r="H73" s="1198"/>
      <c r="J73" s="270"/>
    </row>
    <row r="74" spans="2:10" ht="14.25" customHeight="1">
      <c r="B74" s="2406">
        <v>27</v>
      </c>
      <c r="C74" s="177" t="s">
        <v>1661</v>
      </c>
      <c r="D74" s="140"/>
      <c r="E74" s="128"/>
      <c r="F74" s="141"/>
      <c r="G74" s="142"/>
      <c r="H74" s="1198"/>
    </row>
    <row r="75" spans="2:10">
      <c r="B75" s="2417"/>
      <c r="C75" s="195" t="s">
        <v>1662</v>
      </c>
      <c r="D75" s="194" t="s">
        <v>57</v>
      </c>
      <c r="E75" s="128">
        <v>12</v>
      </c>
      <c r="F75" s="141">
        <v>0</v>
      </c>
      <c r="G75" s="142">
        <f t="shared" ref="G75:G76" si="5">E75*F75</f>
        <v>0</v>
      </c>
      <c r="H75" s="1198"/>
    </row>
    <row r="76" spans="2:10">
      <c r="B76" s="1285"/>
      <c r="C76" s="195" t="s">
        <v>1663</v>
      </c>
      <c r="D76" s="194" t="s">
        <v>57</v>
      </c>
      <c r="E76" s="128">
        <v>14</v>
      </c>
      <c r="F76" s="141">
        <v>0</v>
      </c>
      <c r="G76" s="142">
        <f t="shared" si="5"/>
        <v>0</v>
      </c>
      <c r="H76" s="1198"/>
    </row>
    <row r="77" spans="2:10" ht="36">
      <c r="B77" s="2406">
        <v>28</v>
      </c>
      <c r="C77" s="177" t="s">
        <v>1664</v>
      </c>
      <c r="D77" s="140"/>
      <c r="E77" s="128"/>
      <c r="F77" s="141"/>
      <c r="G77" s="142"/>
      <c r="H77" s="1198"/>
    </row>
    <row r="78" spans="2:10" s="166" customFormat="1">
      <c r="B78" s="2407"/>
      <c r="C78" s="195" t="s">
        <v>1524</v>
      </c>
      <c r="D78" s="194" t="s">
        <v>57</v>
      </c>
      <c r="E78" s="128">
        <v>65</v>
      </c>
      <c r="F78" s="141">
        <v>0</v>
      </c>
      <c r="G78" s="142">
        <f t="shared" ref="G78:G79" si="6">E78*F78</f>
        <v>0</v>
      </c>
      <c r="H78" s="1198"/>
      <c r="I78" s="1198"/>
    </row>
    <row r="79" spans="2:10" s="166" customFormat="1" ht="60">
      <c r="B79" s="1285">
        <v>29</v>
      </c>
      <c r="C79" s="1286" t="s">
        <v>1665</v>
      </c>
      <c r="D79" s="1287" t="s">
        <v>57</v>
      </c>
      <c r="E79" s="1288">
        <v>73</v>
      </c>
      <c r="F79" s="141">
        <v>0</v>
      </c>
      <c r="G79" s="175">
        <f t="shared" si="6"/>
        <v>0</v>
      </c>
      <c r="H79" s="1198"/>
      <c r="I79" s="1198"/>
    </row>
    <row r="80" spans="2:10" s="166" customFormat="1" ht="48">
      <c r="B80" s="167">
        <v>30</v>
      </c>
      <c r="C80" s="274" t="s">
        <v>298</v>
      </c>
      <c r="D80" s="277" t="s">
        <v>78</v>
      </c>
      <c r="E80" s="173">
        <v>92</v>
      </c>
      <c r="F80" s="141">
        <v>0</v>
      </c>
      <c r="G80" s="175">
        <f t="shared" si="2"/>
        <v>0</v>
      </c>
      <c r="H80" s="1198"/>
      <c r="I80" s="1198"/>
    </row>
    <row r="81" spans="1:9" s="166" customFormat="1" ht="24">
      <c r="B81" s="167">
        <v>31</v>
      </c>
      <c r="C81" s="177" t="s">
        <v>96</v>
      </c>
      <c r="D81" s="140" t="s">
        <v>57</v>
      </c>
      <c r="E81" s="128">
        <v>4</v>
      </c>
      <c r="F81" s="141">
        <v>0</v>
      </c>
      <c r="G81" s="142">
        <f t="shared" si="2"/>
        <v>0</v>
      </c>
      <c r="H81" s="1198"/>
      <c r="I81" s="1198"/>
    </row>
    <row r="82" spans="1:9" s="166" customFormat="1" ht="24">
      <c r="B82" s="728" t="s">
        <v>1271</v>
      </c>
      <c r="C82" s="177" t="s">
        <v>268</v>
      </c>
      <c r="D82" s="140" t="s">
        <v>57</v>
      </c>
      <c r="E82" s="128">
        <v>125</v>
      </c>
      <c r="F82" s="141">
        <v>0</v>
      </c>
      <c r="G82" s="142">
        <f t="shared" si="2"/>
        <v>0</v>
      </c>
      <c r="H82" s="1198"/>
      <c r="I82" s="1198"/>
    </row>
    <row r="83" spans="1:9" s="166" customFormat="1" ht="168">
      <c r="B83" s="167">
        <v>33</v>
      </c>
      <c r="C83" s="1289" t="s">
        <v>1666</v>
      </c>
      <c r="D83" s="1221" t="s">
        <v>66</v>
      </c>
      <c r="E83" s="173">
        <v>1</v>
      </c>
      <c r="F83" s="141">
        <v>0</v>
      </c>
      <c r="G83" s="175">
        <f t="shared" si="2"/>
        <v>0</v>
      </c>
      <c r="H83" s="1198"/>
      <c r="I83" s="1198"/>
    </row>
    <row r="84" spans="1:9" s="1290" customFormat="1" ht="36">
      <c r="B84" s="729">
        <v>34</v>
      </c>
      <c r="C84" s="181" t="s">
        <v>269</v>
      </c>
      <c r="D84" s="190" t="s">
        <v>74</v>
      </c>
      <c r="E84" s="128">
        <v>6</v>
      </c>
      <c r="F84" s="141">
        <v>0</v>
      </c>
      <c r="G84" s="142">
        <f t="shared" si="2"/>
        <v>0</v>
      </c>
      <c r="H84" s="1198"/>
      <c r="I84" s="1291"/>
    </row>
    <row r="85" spans="1:9" ht="36">
      <c r="B85" s="167">
        <v>35</v>
      </c>
      <c r="C85" s="1253" t="s">
        <v>270</v>
      </c>
      <c r="D85" s="1254" t="s">
        <v>66</v>
      </c>
      <c r="E85" s="1214">
        <v>34</v>
      </c>
      <c r="F85" s="141">
        <v>0</v>
      </c>
      <c r="G85" s="1243">
        <f t="shared" si="2"/>
        <v>0</v>
      </c>
      <c r="H85" s="1198"/>
    </row>
    <row r="86" spans="1:9" ht="24">
      <c r="B86" s="729">
        <v>36</v>
      </c>
      <c r="C86" s="1219" t="s">
        <v>99</v>
      </c>
      <c r="D86" s="190" t="s">
        <v>74</v>
      </c>
      <c r="E86" s="128">
        <v>7</v>
      </c>
      <c r="F86" s="141">
        <v>0</v>
      </c>
      <c r="G86" s="142">
        <f t="shared" si="2"/>
        <v>0</v>
      </c>
      <c r="H86" s="1198"/>
    </row>
    <row r="87" spans="1:9" ht="24">
      <c r="B87" s="167">
        <v>37</v>
      </c>
      <c r="C87" s="184" t="s">
        <v>100</v>
      </c>
      <c r="D87" s="182" t="s">
        <v>65</v>
      </c>
      <c r="E87" s="183">
        <v>315</v>
      </c>
      <c r="F87" s="141">
        <v>0</v>
      </c>
      <c r="G87" s="142">
        <f t="shared" si="2"/>
        <v>0</v>
      </c>
      <c r="H87" s="1198"/>
    </row>
    <row r="88" spans="1:9">
      <c r="B88" s="151" t="s">
        <v>45</v>
      </c>
      <c r="C88" s="152" t="s">
        <v>101</v>
      </c>
      <c r="D88" s="185"/>
      <c r="E88" s="154"/>
      <c r="F88" s="155"/>
      <c r="G88" s="263">
        <f>SUM(G42:G87)</f>
        <v>0</v>
      </c>
      <c r="H88" s="1198"/>
    </row>
    <row r="89" spans="1:9">
      <c r="B89" s="125"/>
      <c r="C89" s="126"/>
      <c r="D89" s="140"/>
      <c r="E89" s="128"/>
      <c r="F89" s="129"/>
      <c r="G89" s="130"/>
      <c r="H89" s="1198"/>
    </row>
    <row r="90" spans="1:9">
      <c r="B90" s="1202" t="s">
        <v>50</v>
      </c>
      <c r="C90" s="1203" t="s">
        <v>51</v>
      </c>
      <c r="D90" s="1203" t="s">
        <v>52</v>
      </c>
      <c r="E90" s="1204" t="s">
        <v>53</v>
      </c>
      <c r="F90" s="1205" t="s">
        <v>54</v>
      </c>
      <c r="G90" s="1206" t="s">
        <v>55</v>
      </c>
      <c r="H90" s="1198"/>
    </row>
    <row r="91" spans="1:9">
      <c r="B91" s="125"/>
      <c r="C91" s="126"/>
      <c r="D91" s="140"/>
      <c r="E91" s="128"/>
      <c r="F91" s="129"/>
      <c r="G91" s="130"/>
      <c r="H91" s="1198"/>
    </row>
    <row r="92" spans="1:9" s="138" customFormat="1" ht="20.25">
      <c r="B92" s="186" t="s">
        <v>47</v>
      </c>
      <c r="C92" s="187" t="s">
        <v>102</v>
      </c>
      <c r="D92" s="165"/>
      <c r="E92" s="134"/>
      <c r="F92" s="135"/>
      <c r="G92" s="136"/>
      <c r="H92" s="1198"/>
      <c r="I92" s="1278"/>
    </row>
    <row r="93" spans="1:9" s="14" customFormat="1" ht="18" customHeight="1">
      <c r="A93" s="9"/>
      <c r="B93" s="10" t="s">
        <v>38</v>
      </c>
      <c r="C93" s="11"/>
      <c r="D93" s="1177"/>
      <c r="E93" s="12"/>
      <c r="F93" s="12"/>
      <c r="G93" s="13"/>
      <c r="H93" s="1198"/>
      <c r="I93" s="1277"/>
    </row>
    <row r="94" spans="1:9" s="14" customFormat="1" ht="18" customHeight="1">
      <c r="A94" s="15"/>
      <c r="B94" s="16" t="s">
        <v>39</v>
      </c>
      <c r="C94" s="17"/>
      <c r="D94" s="1179"/>
      <c r="E94" s="19"/>
      <c r="F94" s="19"/>
      <c r="G94" s="18"/>
      <c r="H94" s="1198"/>
      <c r="I94" s="1277"/>
    </row>
    <row r="95" spans="1:9" s="14" customFormat="1" ht="18" customHeight="1">
      <c r="A95" s="9"/>
      <c r="B95" s="10" t="s">
        <v>4</v>
      </c>
      <c r="C95" s="11"/>
      <c r="D95" s="1180"/>
      <c r="E95" s="12"/>
      <c r="F95" s="12"/>
      <c r="G95" s="13"/>
      <c r="H95" s="1198"/>
      <c r="I95" s="1277"/>
    </row>
    <row r="96" spans="1:9" s="14" customFormat="1" ht="18" customHeight="1">
      <c r="A96" s="15"/>
      <c r="B96" s="16" t="s">
        <v>5</v>
      </c>
      <c r="C96" s="17"/>
      <c r="D96" s="1181"/>
      <c r="E96" s="19"/>
      <c r="F96" s="19"/>
      <c r="G96" s="18"/>
      <c r="H96" s="1198"/>
      <c r="I96" s="1277"/>
    </row>
    <row r="97" spans="2:10" s="166" customFormat="1" ht="30.75" customHeight="1">
      <c r="B97" s="2399" t="s">
        <v>103</v>
      </c>
      <c r="C97" s="2400"/>
      <c r="D97" s="2400"/>
      <c r="E97" s="2400"/>
      <c r="F97" s="2400"/>
      <c r="G97" s="2401"/>
      <c r="H97" s="1198"/>
      <c r="I97" s="1198"/>
    </row>
    <row r="98" spans="2:10" s="166" customFormat="1" ht="18.75" customHeight="1">
      <c r="B98" s="2399" t="s">
        <v>104</v>
      </c>
      <c r="C98" s="2400"/>
      <c r="D98" s="2400"/>
      <c r="E98" s="2400"/>
      <c r="F98" s="2400"/>
      <c r="G98" s="2401"/>
      <c r="H98" s="1198"/>
      <c r="I98" s="1198"/>
    </row>
    <row r="99" spans="2:10" s="166" customFormat="1" ht="18.75" customHeight="1">
      <c r="B99" s="2399" t="s">
        <v>105</v>
      </c>
      <c r="C99" s="2400"/>
      <c r="D99" s="2400"/>
      <c r="E99" s="2400"/>
      <c r="F99" s="2400"/>
      <c r="G99" s="2401"/>
      <c r="H99" s="1198"/>
      <c r="I99" s="1198"/>
    </row>
    <row r="100" spans="2:10" ht="30" customHeight="1">
      <c r="B100" s="188">
        <v>1</v>
      </c>
      <c r="C100" s="189" t="s">
        <v>106</v>
      </c>
      <c r="D100" s="190"/>
      <c r="E100" s="128"/>
      <c r="F100" s="129"/>
      <c r="G100" s="130"/>
      <c r="H100" s="1198"/>
    </row>
    <row r="101" spans="2:10" s="179" customFormat="1" ht="18.75" customHeight="1">
      <c r="B101" s="191"/>
      <c r="C101" s="271" t="s">
        <v>487</v>
      </c>
      <c r="D101" s="190" t="s">
        <v>57</v>
      </c>
      <c r="E101" s="128">
        <v>481</v>
      </c>
      <c r="F101" s="141">
        <v>0</v>
      </c>
      <c r="G101" s="142">
        <f t="shared" ref="G101:G111" si="7">E101*F101</f>
        <v>0</v>
      </c>
      <c r="H101" s="1198"/>
      <c r="I101" s="1292"/>
    </row>
    <row r="102" spans="2:10" s="179" customFormat="1" ht="18.75" customHeight="1">
      <c r="B102" s="191"/>
      <c r="C102" s="271" t="s">
        <v>488</v>
      </c>
      <c r="D102" s="190" t="s">
        <v>57</v>
      </c>
      <c r="E102" s="128">
        <v>1121</v>
      </c>
      <c r="F102" s="141">
        <v>0</v>
      </c>
      <c r="G102" s="142">
        <f t="shared" si="7"/>
        <v>0</v>
      </c>
      <c r="H102" s="1198"/>
      <c r="I102" s="1292"/>
    </row>
    <row r="103" spans="2:10" s="179" customFormat="1" ht="18.75" customHeight="1">
      <c r="B103" s="191"/>
      <c r="C103" s="192" t="s">
        <v>1667</v>
      </c>
      <c r="D103" s="190" t="s">
        <v>57</v>
      </c>
      <c r="E103" s="128">
        <v>70</v>
      </c>
      <c r="F103" s="141">
        <v>0</v>
      </c>
      <c r="G103" s="142">
        <f t="shared" si="7"/>
        <v>0</v>
      </c>
      <c r="H103" s="1198"/>
      <c r="I103" s="1292"/>
    </row>
    <row r="104" spans="2:10" s="179" customFormat="1" ht="24.75" customHeight="1">
      <c r="B104" s="191"/>
      <c r="C104" s="192" t="s">
        <v>1668</v>
      </c>
      <c r="D104" s="190" t="s">
        <v>57</v>
      </c>
      <c r="E104" s="128">
        <v>8</v>
      </c>
      <c r="F104" s="141">
        <v>0</v>
      </c>
      <c r="G104" s="142">
        <f t="shared" si="7"/>
        <v>0</v>
      </c>
      <c r="H104" s="1198"/>
      <c r="I104" s="1292"/>
    </row>
    <row r="105" spans="2:10" s="179" customFormat="1" ht="18.75" customHeight="1">
      <c r="B105" s="191"/>
      <c r="C105" s="192" t="s">
        <v>107</v>
      </c>
      <c r="D105" s="190" t="s">
        <v>57</v>
      </c>
      <c r="E105" s="128">
        <v>18</v>
      </c>
      <c r="F105" s="141">
        <v>0</v>
      </c>
      <c r="G105" s="142">
        <f t="shared" si="7"/>
        <v>0</v>
      </c>
      <c r="H105" s="1198"/>
      <c r="I105" s="1292"/>
      <c r="J105" s="2371"/>
    </row>
    <row r="106" spans="2:10" s="179" customFormat="1" ht="24.75" customHeight="1">
      <c r="B106" s="191"/>
      <c r="C106" s="192" t="s">
        <v>108</v>
      </c>
      <c r="D106" s="190" t="s">
        <v>57</v>
      </c>
      <c r="E106" s="128">
        <v>2</v>
      </c>
      <c r="F106" s="141">
        <v>0</v>
      </c>
      <c r="G106" s="142">
        <f t="shared" si="7"/>
        <v>0</v>
      </c>
      <c r="H106" s="1198"/>
      <c r="I106" s="1292"/>
    </row>
    <row r="107" spans="2:10" s="166" customFormat="1" ht="40.5" customHeight="1">
      <c r="B107" s="2404" t="s">
        <v>111</v>
      </c>
      <c r="C107" s="193" t="s">
        <v>112</v>
      </c>
      <c r="D107" s="194"/>
      <c r="E107" s="128"/>
      <c r="F107" s="141"/>
      <c r="G107" s="142"/>
      <c r="H107" s="1198"/>
      <c r="I107" s="1198"/>
    </row>
    <row r="108" spans="2:10" s="166" customFormat="1">
      <c r="B108" s="2405"/>
      <c r="C108" s="195" t="s">
        <v>113</v>
      </c>
      <c r="D108" s="194" t="s">
        <v>57</v>
      </c>
      <c r="E108" s="128">
        <v>25</v>
      </c>
      <c r="F108" s="141">
        <v>0</v>
      </c>
      <c r="G108" s="142">
        <f t="shared" ref="G108:G110" si="8">E108*F108</f>
        <v>0</v>
      </c>
      <c r="H108" s="1198"/>
      <c r="I108" s="1198"/>
    </row>
    <row r="109" spans="2:10" s="166" customFormat="1">
      <c r="B109" s="2405"/>
      <c r="C109" s="195" t="s">
        <v>274</v>
      </c>
      <c r="D109" s="194" t="s">
        <v>57</v>
      </c>
      <c r="E109" s="128">
        <v>100</v>
      </c>
      <c r="F109" s="141">
        <v>0</v>
      </c>
      <c r="G109" s="142">
        <f t="shared" si="8"/>
        <v>0</v>
      </c>
      <c r="H109" s="1198"/>
      <c r="I109" s="1198"/>
    </row>
    <row r="110" spans="2:10" s="166" customFormat="1">
      <c r="B110" s="2413"/>
      <c r="C110" s="195" t="s">
        <v>275</v>
      </c>
      <c r="D110" s="194" t="s">
        <v>57</v>
      </c>
      <c r="E110" s="128">
        <v>10</v>
      </c>
      <c r="F110" s="141">
        <v>0</v>
      </c>
      <c r="G110" s="142">
        <f t="shared" si="8"/>
        <v>0</v>
      </c>
      <c r="H110" s="1198"/>
      <c r="I110" s="1198"/>
    </row>
    <row r="111" spans="2:10" ht="40.5" customHeight="1">
      <c r="B111" s="196">
        <v>2</v>
      </c>
      <c r="C111" s="197" t="s">
        <v>114</v>
      </c>
      <c r="D111" s="145" t="s">
        <v>57</v>
      </c>
      <c r="E111" s="128">
        <v>1700</v>
      </c>
      <c r="F111" s="141">
        <v>0</v>
      </c>
      <c r="G111" s="142">
        <f t="shared" si="7"/>
        <v>0</v>
      </c>
      <c r="H111" s="1198"/>
    </row>
    <row r="112" spans="2:10" ht="41.25" customHeight="1">
      <c r="B112" s="199" t="s">
        <v>115</v>
      </c>
      <c r="C112" s="197" t="s">
        <v>116</v>
      </c>
      <c r="D112" s="145" t="s">
        <v>57</v>
      </c>
      <c r="E112" s="128">
        <v>1700</v>
      </c>
      <c r="F112" s="141">
        <v>0</v>
      </c>
      <c r="G112" s="142">
        <f>E112*F112</f>
        <v>0</v>
      </c>
      <c r="H112" s="1198"/>
    </row>
    <row r="113" spans="2:13" ht="27" customHeight="1">
      <c r="B113" s="199" t="s">
        <v>117</v>
      </c>
      <c r="C113" s="197" t="s">
        <v>118</v>
      </c>
      <c r="D113" s="145" t="s">
        <v>57</v>
      </c>
      <c r="E113" s="128">
        <v>1700</v>
      </c>
      <c r="F113" s="141">
        <v>0</v>
      </c>
      <c r="G113" s="142">
        <f>E113*F113</f>
        <v>0</v>
      </c>
      <c r="H113" s="1198"/>
    </row>
    <row r="114" spans="2:13" ht="39" customHeight="1">
      <c r="B114" s="199" t="s">
        <v>119</v>
      </c>
      <c r="C114" s="197" t="s">
        <v>120</v>
      </c>
      <c r="D114" s="145" t="s">
        <v>57</v>
      </c>
      <c r="E114" s="128">
        <v>1700</v>
      </c>
      <c r="F114" s="141">
        <v>0</v>
      </c>
      <c r="G114" s="142">
        <f>E114*F114</f>
        <v>0</v>
      </c>
      <c r="H114" s="1198"/>
    </row>
    <row r="115" spans="2:13" ht="27.75" customHeight="1">
      <c r="B115" s="188">
        <v>3</v>
      </c>
      <c r="C115" s="200" t="s">
        <v>121</v>
      </c>
      <c r="D115" s="140"/>
      <c r="E115" s="128"/>
      <c r="F115" s="130"/>
      <c r="G115" s="130"/>
      <c r="H115" s="1198"/>
    </row>
    <row r="116" spans="2:13">
      <c r="B116" s="201" t="s">
        <v>122</v>
      </c>
      <c r="C116" s="202" t="s">
        <v>123</v>
      </c>
      <c r="D116" s="209"/>
      <c r="E116" s="204"/>
      <c r="F116" s="205"/>
      <c r="G116" s="206"/>
      <c r="H116" s="1198"/>
    </row>
    <row r="117" spans="2:13">
      <c r="B117" s="125"/>
      <c r="C117" s="202" t="s">
        <v>276</v>
      </c>
      <c r="D117" s="209"/>
      <c r="E117" s="204"/>
      <c r="F117" s="205"/>
      <c r="G117" s="206"/>
      <c r="H117" s="1198"/>
      <c r="L117" s="217"/>
      <c r="M117" s="217"/>
    </row>
    <row r="118" spans="2:13" ht="18" customHeight="1">
      <c r="B118" s="125"/>
      <c r="C118" s="280" t="s">
        <v>277</v>
      </c>
      <c r="D118" s="209" t="s">
        <v>66</v>
      </c>
      <c r="E118" s="204">
        <v>40</v>
      </c>
      <c r="F118" s="210">
        <v>0</v>
      </c>
      <c r="G118" s="211">
        <f t="shared" ref="G118:G123" si="9">E118*F118</f>
        <v>0</v>
      </c>
      <c r="H118" s="1293"/>
    </row>
    <row r="119" spans="2:13" ht="18" customHeight="1">
      <c r="B119" s="125"/>
      <c r="C119" s="280" t="s">
        <v>278</v>
      </c>
      <c r="D119" s="209" t="s">
        <v>66</v>
      </c>
      <c r="E119" s="204">
        <v>12</v>
      </c>
      <c r="F119" s="210">
        <v>0</v>
      </c>
      <c r="G119" s="211">
        <f t="shared" si="9"/>
        <v>0</v>
      </c>
      <c r="H119" s="1293"/>
    </row>
    <row r="120" spans="2:13" ht="18" customHeight="1">
      <c r="B120" s="125"/>
      <c r="C120" s="280" t="s">
        <v>1533</v>
      </c>
      <c r="D120" s="209" t="s">
        <v>66</v>
      </c>
      <c r="E120" s="204">
        <v>6</v>
      </c>
      <c r="F120" s="210">
        <v>0</v>
      </c>
      <c r="G120" s="211">
        <f t="shared" si="9"/>
        <v>0</v>
      </c>
      <c r="H120" s="1293"/>
    </row>
    <row r="121" spans="2:13" ht="18" customHeight="1">
      <c r="B121" s="125"/>
      <c r="C121" s="280" t="s">
        <v>279</v>
      </c>
      <c r="D121" s="209" t="s">
        <v>66</v>
      </c>
      <c r="E121" s="204">
        <v>26</v>
      </c>
      <c r="F121" s="210">
        <v>0</v>
      </c>
      <c r="G121" s="211">
        <f t="shared" si="9"/>
        <v>0</v>
      </c>
      <c r="H121" s="1293"/>
    </row>
    <row r="122" spans="2:13" s="179" customFormat="1" ht="18" customHeight="1">
      <c r="B122" s="207"/>
      <c r="C122" s="1227" t="s">
        <v>280</v>
      </c>
      <c r="D122" s="209" t="s">
        <v>66</v>
      </c>
      <c r="E122" s="204">
        <v>157</v>
      </c>
      <c r="F122" s="210">
        <v>0</v>
      </c>
      <c r="G122" s="211">
        <f t="shared" si="9"/>
        <v>0</v>
      </c>
      <c r="H122" s="1294"/>
      <c r="I122" s="1198"/>
    </row>
    <row r="123" spans="2:13" s="179" customFormat="1" ht="18" customHeight="1">
      <c r="B123" s="207"/>
      <c r="C123" s="1227" t="s">
        <v>1669</v>
      </c>
      <c r="D123" s="1295" t="s">
        <v>66</v>
      </c>
      <c r="E123" s="1296">
        <v>4</v>
      </c>
      <c r="F123" s="210">
        <v>0</v>
      </c>
      <c r="G123" s="211">
        <f t="shared" si="9"/>
        <v>0</v>
      </c>
      <c r="H123" s="1294"/>
      <c r="I123" s="1198"/>
    </row>
    <row r="124" spans="2:13">
      <c r="B124" s="125"/>
      <c r="C124" s="1256" t="s">
        <v>210</v>
      </c>
      <c r="D124" s="209"/>
      <c r="E124" s="204"/>
      <c r="F124" s="205"/>
      <c r="G124" s="206"/>
      <c r="H124" s="1294"/>
      <c r="L124" s="217"/>
    </row>
    <row r="125" spans="2:13" ht="18" customHeight="1">
      <c r="B125" s="125"/>
      <c r="C125" s="1272" t="s">
        <v>211</v>
      </c>
      <c r="D125" s="209" t="s">
        <v>66</v>
      </c>
      <c r="E125" s="204">
        <v>2</v>
      </c>
      <c r="F125" s="210">
        <v>0</v>
      </c>
      <c r="G125" s="211">
        <f t="shared" ref="G125:G130" si="10">E125*F125</f>
        <v>0</v>
      </c>
      <c r="H125" s="1297"/>
      <c r="L125" s="217"/>
    </row>
    <row r="126" spans="2:13" ht="18" customHeight="1">
      <c r="B126" s="125"/>
      <c r="C126" s="1272" t="s">
        <v>212</v>
      </c>
      <c r="D126" s="209" t="s">
        <v>66</v>
      </c>
      <c r="E126" s="204">
        <v>2</v>
      </c>
      <c r="F126" s="210">
        <v>0</v>
      </c>
      <c r="G126" s="211">
        <f t="shared" si="10"/>
        <v>0</v>
      </c>
      <c r="H126" s="1297"/>
      <c r="L126" s="217"/>
    </row>
    <row r="127" spans="2:13" ht="18" customHeight="1">
      <c r="B127" s="125"/>
      <c r="C127" s="1272" t="s">
        <v>885</v>
      </c>
      <c r="D127" s="209" t="s">
        <v>66</v>
      </c>
      <c r="E127" s="204">
        <v>2</v>
      </c>
      <c r="F127" s="210">
        <v>0</v>
      </c>
      <c r="G127" s="211">
        <f t="shared" si="10"/>
        <v>0</v>
      </c>
      <c r="H127" s="1297"/>
      <c r="L127" s="217"/>
    </row>
    <row r="128" spans="2:13" ht="18" customHeight="1">
      <c r="B128" s="125"/>
      <c r="C128" s="1272" t="s">
        <v>213</v>
      </c>
      <c r="D128" s="209" t="s">
        <v>66</v>
      </c>
      <c r="E128" s="204">
        <v>4</v>
      </c>
      <c r="F128" s="210">
        <v>0</v>
      </c>
      <c r="G128" s="211">
        <f t="shared" si="10"/>
        <v>0</v>
      </c>
      <c r="H128" s="1294"/>
    </row>
    <row r="129" spans="2:25" s="179" customFormat="1" ht="18" customHeight="1">
      <c r="B129" s="207"/>
      <c r="C129" s="1227" t="s">
        <v>214</v>
      </c>
      <c r="D129" s="209" t="s">
        <v>66</v>
      </c>
      <c r="E129" s="204">
        <v>20</v>
      </c>
      <c r="F129" s="210">
        <v>0</v>
      </c>
      <c r="G129" s="211">
        <f t="shared" si="10"/>
        <v>0</v>
      </c>
      <c r="H129" s="1294"/>
      <c r="I129" s="1198"/>
    </row>
    <row r="130" spans="2:25" s="179" customFormat="1" ht="18" customHeight="1">
      <c r="B130" s="207"/>
      <c r="C130" s="1227" t="s">
        <v>1670</v>
      </c>
      <c r="D130" s="209" t="s">
        <v>66</v>
      </c>
      <c r="E130" s="204">
        <v>2</v>
      </c>
      <c r="F130" s="210">
        <v>0</v>
      </c>
      <c r="G130" s="211">
        <f t="shared" si="10"/>
        <v>0</v>
      </c>
      <c r="H130" s="1294"/>
      <c r="I130" s="1198"/>
    </row>
    <row r="131" spans="2:25">
      <c r="B131" s="125"/>
      <c r="C131" s="1256" t="s">
        <v>1641</v>
      </c>
      <c r="D131" s="209"/>
      <c r="E131" s="204"/>
      <c r="F131" s="205"/>
      <c r="G131" s="206"/>
      <c r="H131" s="1294"/>
      <c r="K131" s="217"/>
    </row>
    <row r="132" spans="2:25" s="179" customFormat="1" ht="18" customHeight="1">
      <c r="B132" s="207"/>
      <c r="C132" s="1227" t="s">
        <v>1642</v>
      </c>
      <c r="D132" s="209" t="s">
        <v>66</v>
      </c>
      <c r="E132" s="204">
        <v>4</v>
      </c>
      <c r="F132" s="210">
        <v>0</v>
      </c>
      <c r="G132" s="211">
        <f t="shared" ref="G132" si="11">E132*F132</f>
        <v>0</v>
      </c>
      <c r="H132" s="1294"/>
      <c r="I132" s="1198"/>
    </row>
    <row r="133" spans="2:25" s="217" customFormat="1">
      <c r="B133" s="201" t="s">
        <v>126</v>
      </c>
      <c r="C133" s="212" t="s">
        <v>127</v>
      </c>
      <c r="D133" s="1228"/>
      <c r="E133" s="214"/>
      <c r="F133" s="215">
        <v>0</v>
      </c>
      <c r="G133" s="216"/>
      <c r="H133" s="1198"/>
      <c r="I133" s="1198"/>
    </row>
    <row r="134" spans="2:25" s="217" customFormat="1">
      <c r="B134" s="218"/>
      <c r="C134" s="212" t="s">
        <v>281</v>
      </c>
      <c r="D134" s="1228"/>
      <c r="E134" s="214"/>
      <c r="F134" s="215">
        <v>0</v>
      </c>
      <c r="G134" s="216"/>
      <c r="H134" s="1198"/>
      <c r="I134" s="1198"/>
      <c r="N134" s="1"/>
      <c r="S134" s="1"/>
      <c r="X134" s="1"/>
    </row>
    <row r="135" spans="2:25" s="1229" customFormat="1">
      <c r="B135" s="218"/>
      <c r="C135" s="219" t="s">
        <v>282</v>
      </c>
      <c r="D135" s="1228" t="s">
        <v>66</v>
      </c>
      <c r="E135" s="214">
        <v>6</v>
      </c>
      <c r="F135" s="220">
        <v>0</v>
      </c>
      <c r="G135" s="221">
        <f t="shared" ref="G135:G142" si="12">E135*F135</f>
        <v>0</v>
      </c>
      <c r="H135" s="1198"/>
      <c r="I135" s="1298"/>
    </row>
    <row r="136" spans="2:25" s="217" customFormat="1" ht="38.25" customHeight="1">
      <c r="B136" s="218"/>
      <c r="C136" s="222" t="s">
        <v>283</v>
      </c>
      <c r="D136" s="1228" t="s">
        <v>66</v>
      </c>
      <c r="E136" s="214">
        <v>6</v>
      </c>
      <c r="F136" s="220">
        <v>0</v>
      </c>
      <c r="G136" s="221">
        <f t="shared" si="12"/>
        <v>0</v>
      </c>
      <c r="H136" s="1198"/>
      <c r="I136" s="1293"/>
    </row>
    <row r="137" spans="2:25" s="217" customFormat="1" ht="14.25" customHeight="1">
      <c r="B137" s="218"/>
      <c r="C137" s="222" t="s">
        <v>1558</v>
      </c>
      <c r="D137" s="1299" t="s">
        <v>66</v>
      </c>
      <c r="E137" s="1300">
        <v>9</v>
      </c>
      <c r="F137" s="220">
        <v>0</v>
      </c>
      <c r="G137" s="221">
        <f t="shared" si="12"/>
        <v>0</v>
      </c>
      <c r="H137" s="1198"/>
      <c r="I137" s="1293"/>
    </row>
    <row r="138" spans="2:25" s="217" customFormat="1">
      <c r="B138" s="218"/>
      <c r="C138" s="222" t="s">
        <v>183</v>
      </c>
      <c r="D138" s="1228" t="s">
        <v>66</v>
      </c>
      <c r="E138" s="214">
        <v>6</v>
      </c>
      <c r="F138" s="220">
        <v>0</v>
      </c>
      <c r="G138" s="221">
        <f t="shared" si="12"/>
        <v>0</v>
      </c>
      <c r="H138" s="1198"/>
      <c r="I138" s="1293"/>
    </row>
    <row r="139" spans="2:25" s="217" customFormat="1">
      <c r="B139" s="218"/>
      <c r="C139" s="222" t="s">
        <v>131</v>
      </c>
      <c r="D139" s="1228" t="s">
        <v>66</v>
      </c>
      <c r="E139" s="214">
        <v>6</v>
      </c>
      <c r="F139" s="220">
        <v>0</v>
      </c>
      <c r="G139" s="221">
        <f t="shared" si="12"/>
        <v>0</v>
      </c>
      <c r="H139" s="1198"/>
      <c r="I139" s="1293"/>
    </row>
    <row r="140" spans="2:25" s="217" customFormat="1">
      <c r="B140" s="218"/>
      <c r="C140" s="1230" t="s">
        <v>216</v>
      </c>
      <c r="D140" s="1228" t="s">
        <v>66</v>
      </c>
      <c r="E140" s="214">
        <v>12</v>
      </c>
      <c r="F140" s="220">
        <v>0</v>
      </c>
      <c r="G140" s="221">
        <f t="shared" si="12"/>
        <v>0</v>
      </c>
      <c r="H140" s="1198"/>
      <c r="I140" s="1293"/>
    </row>
    <row r="141" spans="2:25" s="217" customFormat="1">
      <c r="B141" s="218"/>
      <c r="C141" s="1230" t="s">
        <v>134</v>
      </c>
      <c r="D141" s="1228" t="s">
        <v>66</v>
      </c>
      <c r="E141" s="214">
        <v>6</v>
      </c>
      <c r="F141" s="220">
        <v>0</v>
      </c>
      <c r="G141" s="221">
        <f t="shared" si="12"/>
        <v>0</v>
      </c>
      <c r="H141" s="1198"/>
      <c r="I141" s="1293"/>
    </row>
    <row r="142" spans="2:25" s="217" customFormat="1">
      <c r="B142" s="218"/>
      <c r="C142" s="1231" t="s">
        <v>1537</v>
      </c>
      <c r="D142" s="1228" t="s">
        <v>66</v>
      </c>
      <c r="E142" s="214">
        <v>6</v>
      </c>
      <c r="F142" s="220">
        <v>0</v>
      </c>
      <c r="G142" s="221">
        <f t="shared" si="12"/>
        <v>0</v>
      </c>
      <c r="H142" s="1198"/>
      <c r="I142" s="1293"/>
    </row>
    <row r="143" spans="2:25" s="217" customFormat="1">
      <c r="B143" s="201" t="s">
        <v>136</v>
      </c>
      <c r="C143" s="223" t="s">
        <v>137</v>
      </c>
      <c r="D143" s="1232"/>
      <c r="E143" s="225"/>
      <c r="F143" s="226"/>
      <c r="G143" s="227"/>
      <c r="H143" s="1198"/>
      <c r="I143" s="1198"/>
    </row>
    <row r="144" spans="2:25" s="217" customFormat="1">
      <c r="B144" s="218"/>
      <c r="C144" s="223" t="s">
        <v>284</v>
      </c>
      <c r="D144" s="1232"/>
      <c r="E144" s="225"/>
      <c r="F144" s="226">
        <v>0</v>
      </c>
      <c r="G144" s="227"/>
      <c r="H144" s="1198"/>
      <c r="I144" s="1198"/>
      <c r="N144" s="1"/>
      <c r="P144" s="1"/>
      <c r="Y144" s="1"/>
    </row>
    <row r="145" spans="2:9" s="1229" customFormat="1">
      <c r="B145" s="218"/>
      <c r="C145" s="228" t="s">
        <v>1538</v>
      </c>
      <c r="D145" s="1232" t="s">
        <v>66</v>
      </c>
      <c r="E145" s="225">
        <v>4</v>
      </c>
      <c r="F145" s="229">
        <v>0</v>
      </c>
      <c r="G145" s="230">
        <f t="shared" ref="G145:G159" si="13">E145*F145</f>
        <v>0</v>
      </c>
      <c r="H145" s="1198"/>
      <c r="I145" s="1301"/>
    </row>
    <row r="146" spans="2:9" s="217" customFormat="1">
      <c r="B146" s="218"/>
      <c r="C146" s="228" t="s">
        <v>1539</v>
      </c>
      <c r="D146" s="1232" t="s">
        <v>66</v>
      </c>
      <c r="E146" s="225">
        <v>6</v>
      </c>
      <c r="F146" s="229">
        <v>0</v>
      </c>
      <c r="G146" s="230">
        <f t="shared" si="13"/>
        <v>0</v>
      </c>
      <c r="H146" s="1198"/>
      <c r="I146" s="1198"/>
    </row>
    <row r="147" spans="2:9" s="217" customFormat="1" ht="12.75" customHeight="1">
      <c r="B147" s="218"/>
      <c r="C147" s="231" t="s">
        <v>328</v>
      </c>
      <c r="D147" s="1232" t="s">
        <v>66</v>
      </c>
      <c r="E147" s="225">
        <v>4</v>
      </c>
      <c r="F147" s="229">
        <v>0</v>
      </c>
      <c r="G147" s="230">
        <f t="shared" si="13"/>
        <v>0</v>
      </c>
      <c r="H147" s="1198"/>
      <c r="I147" s="1198"/>
    </row>
    <row r="148" spans="2:9" s="217" customFormat="1" ht="12.75" customHeight="1">
      <c r="B148" s="218"/>
      <c r="C148" s="231" t="s">
        <v>1558</v>
      </c>
      <c r="D148" s="1232" t="s">
        <v>66</v>
      </c>
      <c r="E148" s="225">
        <v>1</v>
      </c>
      <c r="F148" s="229">
        <v>0</v>
      </c>
      <c r="G148" s="230">
        <f t="shared" si="13"/>
        <v>0</v>
      </c>
      <c r="H148" s="1198"/>
      <c r="I148" s="1198"/>
    </row>
    <row r="149" spans="2:9" s="217" customFormat="1">
      <c r="B149" s="218"/>
      <c r="C149" s="231" t="s">
        <v>156</v>
      </c>
      <c r="D149" s="1232" t="s">
        <v>66</v>
      </c>
      <c r="E149" s="225">
        <v>3</v>
      </c>
      <c r="F149" s="229">
        <v>0</v>
      </c>
      <c r="G149" s="230">
        <f t="shared" si="13"/>
        <v>0</v>
      </c>
      <c r="H149" s="1198"/>
      <c r="I149" s="1198"/>
    </row>
    <row r="150" spans="2:9" s="217" customFormat="1">
      <c r="B150" s="218"/>
      <c r="C150" s="231" t="s">
        <v>142</v>
      </c>
      <c r="D150" s="1232" t="s">
        <v>66</v>
      </c>
      <c r="E150" s="225">
        <v>3</v>
      </c>
      <c r="F150" s="229">
        <v>0</v>
      </c>
      <c r="G150" s="230">
        <f t="shared" si="13"/>
        <v>0</v>
      </c>
      <c r="H150" s="1198"/>
      <c r="I150" s="1198"/>
    </row>
    <row r="151" spans="2:9" s="217" customFormat="1">
      <c r="B151" s="218"/>
      <c r="C151" s="231" t="s">
        <v>522</v>
      </c>
      <c r="D151" s="1232" t="s">
        <v>66</v>
      </c>
      <c r="E151" s="225">
        <v>4</v>
      </c>
      <c r="F151" s="229">
        <v>0</v>
      </c>
      <c r="G151" s="230">
        <f t="shared" si="13"/>
        <v>0</v>
      </c>
      <c r="H151" s="1198"/>
      <c r="I151" s="1198"/>
    </row>
    <row r="152" spans="2:9" s="217" customFormat="1">
      <c r="B152" s="218"/>
      <c r="C152" s="231" t="s">
        <v>155</v>
      </c>
      <c r="D152" s="1232" t="s">
        <v>66</v>
      </c>
      <c r="E152" s="225">
        <v>4</v>
      </c>
      <c r="F152" s="229">
        <v>0</v>
      </c>
      <c r="G152" s="230">
        <f t="shared" si="13"/>
        <v>0</v>
      </c>
      <c r="H152" s="1198"/>
      <c r="I152" s="1198"/>
    </row>
    <row r="153" spans="2:9" s="217" customFormat="1">
      <c r="B153" s="218"/>
      <c r="C153" s="231" t="s">
        <v>330</v>
      </c>
      <c r="D153" s="1232" t="s">
        <v>66</v>
      </c>
      <c r="E153" s="225">
        <v>1</v>
      </c>
      <c r="F153" s="229">
        <v>0</v>
      </c>
      <c r="G153" s="230">
        <f t="shared" si="13"/>
        <v>0</v>
      </c>
      <c r="H153" s="1198"/>
      <c r="I153" s="1198"/>
    </row>
    <row r="154" spans="2:9" s="217" customFormat="1">
      <c r="B154" s="218"/>
      <c r="C154" s="231" t="s">
        <v>146</v>
      </c>
      <c r="D154" s="1232" t="s">
        <v>66</v>
      </c>
      <c r="E154" s="225">
        <v>4</v>
      </c>
      <c r="F154" s="229">
        <v>0</v>
      </c>
      <c r="G154" s="230">
        <f t="shared" si="13"/>
        <v>0</v>
      </c>
      <c r="H154" s="1198"/>
      <c r="I154" s="1198"/>
    </row>
    <row r="155" spans="2:9" s="217" customFormat="1">
      <c r="B155" s="218"/>
      <c r="C155" s="279" t="s">
        <v>147</v>
      </c>
      <c r="D155" s="1232" t="s">
        <v>66</v>
      </c>
      <c r="E155" s="225">
        <v>5</v>
      </c>
      <c r="F155" s="229">
        <v>0</v>
      </c>
      <c r="G155" s="230">
        <f t="shared" si="13"/>
        <v>0</v>
      </c>
      <c r="H155" s="1198"/>
      <c r="I155" s="1198"/>
    </row>
    <row r="156" spans="2:9" s="217" customFormat="1">
      <c r="B156" s="218"/>
      <c r="C156" s="279" t="s">
        <v>216</v>
      </c>
      <c r="D156" s="1232" t="s">
        <v>66</v>
      </c>
      <c r="E156" s="225">
        <v>8</v>
      </c>
      <c r="F156" s="229">
        <v>0</v>
      </c>
      <c r="G156" s="230">
        <f t="shared" si="13"/>
        <v>0</v>
      </c>
      <c r="H156" s="1198"/>
      <c r="I156" s="1198"/>
    </row>
    <row r="157" spans="2:9" s="217" customFormat="1">
      <c r="B157" s="218"/>
      <c r="C157" s="279" t="s">
        <v>149</v>
      </c>
      <c r="D157" s="1232" t="s">
        <v>66</v>
      </c>
      <c r="E157" s="225">
        <v>4</v>
      </c>
      <c r="F157" s="229">
        <v>0</v>
      </c>
      <c r="G157" s="230">
        <f t="shared" si="13"/>
        <v>0</v>
      </c>
      <c r="H157" s="1198"/>
      <c r="I157" s="1198"/>
    </row>
    <row r="158" spans="2:9" s="217" customFormat="1">
      <c r="B158" s="218"/>
      <c r="C158" s="279" t="s">
        <v>150</v>
      </c>
      <c r="D158" s="1232" t="s">
        <v>66</v>
      </c>
      <c r="E158" s="225">
        <v>7</v>
      </c>
      <c r="F158" s="229">
        <v>0</v>
      </c>
      <c r="G158" s="230">
        <f t="shared" si="13"/>
        <v>0</v>
      </c>
      <c r="H158" s="1198"/>
      <c r="I158" s="1198"/>
    </row>
    <row r="159" spans="2:9" s="217" customFormat="1">
      <c r="B159" s="218"/>
      <c r="C159" s="1233" t="s">
        <v>1537</v>
      </c>
      <c r="D159" s="1232" t="s">
        <v>66</v>
      </c>
      <c r="E159" s="225">
        <v>11</v>
      </c>
      <c r="F159" s="229">
        <v>0</v>
      </c>
      <c r="G159" s="230">
        <f t="shared" si="13"/>
        <v>0</v>
      </c>
      <c r="H159" s="1198"/>
      <c r="I159" s="1198"/>
    </row>
    <row r="160" spans="2:9" s="217" customFormat="1">
      <c r="B160" s="201" t="s">
        <v>151</v>
      </c>
      <c r="C160" s="212" t="s">
        <v>1543</v>
      </c>
      <c r="D160" s="1228"/>
      <c r="E160" s="214"/>
      <c r="F160" s="215"/>
      <c r="G160" s="216"/>
      <c r="H160" s="1198"/>
      <c r="I160" s="1198"/>
    </row>
    <row r="161" spans="2:26" s="217" customFormat="1">
      <c r="B161" s="218"/>
      <c r="C161" s="212" t="s">
        <v>1544</v>
      </c>
      <c r="D161" s="1228"/>
      <c r="E161" s="214"/>
      <c r="F161" s="215">
        <v>0</v>
      </c>
      <c r="G161" s="216"/>
      <c r="H161" s="1198"/>
      <c r="I161" s="1198"/>
    </row>
    <row r="162" spans="2:26" s="1229" customFormat="1">
      <c r="B162" s="218"/>
      <c r="C162" s="219" t="s">
        <v>1538</v>
      </c>
      <c r="D162" s="1228" t="s">
        <v>66</v>
      </c>
      <c r="E162" s="214">
        <v>3</v>
      </c>
      <c r="F162" s="220">
        <v>0</v>
      </c>
      <c r="G162" s="221">
        <f t="shared" ref="G162:G171" si="14">E162*F162</f>
        <v>0</v>
      </c>
      <c r="H162" s="1198"/>
      <c r="I162" s="1301"/>
    </row>
    <row r="163" spans="2:26" s="217" customFormat="1">
      <c r="B163" s="218"/>
      <c r="C163" s="222" t="s">
        <v>328</v>
      </c>
      <c r="D163" s="1228" t="s">
        <v>66</v>
      </c>
      <c r="E163" s="214">
        <v>3</v>
      </c>
      <c r="F163" s="220">
        <v>0</v>
      </c>
      <c r="G163" s="221">
        <f t="shared" si="14"/>
        <v>0</v>
      </c>
      <c r="H163" s="1198"/>
      <c r="I163" s="1198"/>
    </row>
    <row r="164" spans="2:26" s="217" customFormat="1">
      <c r="B164" s="218"/>
      <c r="C164" s="222" t="s">
        <v>155</v>
      </c>
      <c r="D164" s="1228" t="s">
        <v>66</v>
      </c>
      <c r="E164" s="214">
        <v>3</v>
      </c>
      <c r="F164" s="220">
        <v>0</v>
      </c>
      <c r="G164" s="221">
        <f t="shared" si="14"/>
        <v>0</v>
      </c>
      <c r="H164" s="1198"/>
      <c r="I164" s="1198"/>
    </row>
    <row r="165" spans="2:26" s="217" customFormat="1">
      <c r="B165" s="218"/>
      <c r="C165" s="222" t="s">
        <v>1545</v>
      </c>
      <c r="D165" s="1228" t="s">
        <v>66</v>
      </c>
      <c r="E165" s="214">
        <v>3</v>
      </c>
      <c r="F165" s="220">
        <v>0</v>
      </c>
      <c r="G165" s="221">
        <f t="shared" si="14"/>
        <v>0</v>
      </c>
      <c r="H165" s="1198"/>
      <c r="I165" s="1198"/>
    </row>
    <row r="166" spans="2:26" s="217" customFormat="1">
      <c r="B166" s="218"/>
      <c r="C166" s="222" t="s">
        <v>157</v>
      </c>
      <c r="D166" s="1228" t="s">
        <v>66</v>
      </c>
      <c r="E166" s="214">
        <v>3</v>
      </c>
      <c r="F166" s="220">
        <v>0</v>
      </c>
      <c r="G166" s="221">
        <f t="shared" si="14"/>
        <v>0</v>
      </c>
      <c r="H166" s="1198"/>
      <c r="I166" s="1198"/>
    </row>
    <row r="167" spans="2:26" s="217" customFormat="1">
      <c r="B167" s="218"/>
      <c r="C167" s="1230" t="s">
        <v>158</v>
      </c>
      <c r="D167" s="1228" t="s">
        <v>66</v>
      </c>
      <c r="E167" s="214">
        <v>3</v>
      </c>
      <c r="F167" s="220">
        <v>0</v>
      </c>
      <c r="G167" s="221">
        <f t="shared" si="14"/>
        <v>0</v>
      </c>
      <c r="H167" s="1198"/>
      <c r="I167" s="1198"/>
    </row>
    <row r="168" spans="2:26" s="217" customFormat="1">
      <c r="B168" s="218"/>
      <c r="C168" s="1230" t="s">
        <v>216</v>
      </c>
      <c r="D168" s="1228" t="s">
        <v>66</v>
      </c>
      <c r="E168" s="214">
        <v>6</v>
      </c>
      <c r="F168" s="220">
        <v>0</v>
      </c>
      <c r="G168" s="221">
        <f t="shared" si="14"/>
        <v>0</v>
      </c>
      <c r="H168" s="1198"/>
      <c r="I168" s="1198"/>
    </row>
    <row r="169" spans="2:26" s="217" customFormat="1">
      <c r="B169" s="218"/>
      <c r="C169" s="1230" t="s">
        <v>150</v>
      </c>
      <c r="D169" s="1228" t="s">
        <v>66</v>
      </c>
      <c r="E169" s="214">
        <v>3</v>
      </c>
      <c r="F169" s="220">
        <v>0</v>
      </c>
      <c r="G169" s="221">
        <f t="shared" si="14"/>
        <v>0</v>
      </c>
      <c r="H169" s="1198"/>
      <c r="I169" s="1198"/>
    </row>
    <row r="170" spans="2:26" s="217" customFormat="1">
      <c r="B170" s="218"/>
      <c r="C170" s="1231" t="s">
        <v>1537</v>
      </c>
      <c r="D170" s="1228" t="s">
        <v>66</v>
      </c>
      <c r="E170" s="214">
        <v>3</v>
      </c>
      <c r="F170" s="220">
        <v>0</v>
      </c>
      <c r="G170" s="221">
        <f t="shared" si="14"/>
        <v>0</v>
      </c>
      <c r="H170" s="1198"/>
      <c r="I170" s="1198"/>
    </row>
    <row r="171" spans="2:26" ht="30" customHeight="1">
      <c r="B171" s="199" t="s">
        <v>331</v>
      </c>
      <c r="C171" s="212" t="s">
        <v>332</v>
      </c>
      <c r="D171" s="1228" t="s">
        <v>66</v>
      </c>
      <c r="E171" s="214">
        <v>3</v>
      </c>
      <c r="F171" s="220">
        <v>0</v>
      </c>
      <c r="G171" s="221">
        <f t="shared" si="14"/>
        <v>0</v>
      </c>
      <c r="H171" s="1198"/>
    </row>
    <row r="172" spans="2:26" s="217" customFormat="1">
      <c r="B172" s="201" t="s">
        <v>168</v>
      </c>
      <c r="C172" s="223" t="s">
        <v>160</v>
      </c>
      <c r="D172" s="1232"/>
      <c r="E172" s="225"/>
      <c r="F172" s="226"/>
      <c r="G172" s="227"/>
      <c r="H172" s="1198"/>
      <c r="I172" s="1198"/>
    </row>
    <row r="173" spans="2:26" s="217" customFormat="1">
      <c r="B173" s="218"/>
      <c r="C173" s="223" t="s">
        <v>1556</v>
      </c>
      <c r="D173" s="1232"/>
      <c r="E173" s="225"/>
      <c r="F173" s="226">
        <v>0</v>
      </c>
      <c r="G173" s="227"/>
      <c r="H173" s="1198"/>
      <c r="I173" s="1198"/>
      <c r="Z173" s="1"/>
    </row>
    <row r="174" spans="2:26" s="1229" customFormat="1" ht="27.75" customHeight="1">
      <c r="B174" s="218"/>
      <c r="C174" s="228" t="s">
        <v>2087</v>
      </c>
      <c r="D174" s="1232" t="s">
        <v>66</v>
      </c>
      <c r="E174" s="225">
        <v>2</v>
      </c>
      <c r="F174" s="229">
        <v>0</v>
      </c>
      <c r="G174" s="230">
        <f t="shared" ref="G174:G180" si="15">E174*F174</f>
        <v>0</v>
      </c>
      <c r="H174" s="1198"/>
      <c r="I174" s="1301"/>
    </row>
    <row r="175" spans="2:26" s="1229" customFormat="1" ht="14.25" customHeight="1">
      <c r="B175" s="218"/>
      <c r="C175" s="231" t="s">
        <v>1539</v>
      </c>
      <c r="D175" s="1232" t="s">
        <v>66</v>
      </c>
      <c r="E175" s="225">
        <v>2</v>
      </c>
      <c r="F175" s="229">
        <v>0</v>
      </c>
      <c r="G175" s="230">
        <f t="shared" si="15"/>
        <v>0</v>
      </c>
      <c r="H175" s="1198"/>
      <c r="I175" s="1301"/>
    </row>
    <row r="176" spans="2:26" s="217" customFormat="1">
      <c r="B176" s="218"/>
      <c r="C176" s="279" t="s">
        <v>216</v>
      </c>
      <c r="D176" s="1232" t="s">
        <v>66</v>
      </c>
      <c r="E176" s="225">
        <v>4</v>
      </c>
      <c r="F176" s="229">
        <v>0</v>
      </c>
      <c r="G176" s="230">
        <f t="shared" si="15"/>
        <v>0</v>
      </c>
      <c r="H176" s="1198"/>
      <c r="I176" s="1198"/>
    </row>
    <row r="177" spans="2:9" s="217" customFormat="1">
      <c r="B177" s="218"/>
      <c r="C177" s="279" t="s">
        <v>1671</v>
      </c>
      <c r="D177" s="1232" t="s">
        <v>66</v>
      </c>
      <c r="E177" s="225">
        <v>1</v>
      </c>
      <c r="F177" s="229">
        <v>0</v>
      </c>
      <c r="G177" s="230">
        <f t="shared" si="15"/>
        <v>0</v>
      </c>
      <c r="H177" s="1198"/>
      <c r="I177" s="1198"/>
    </row>
    <row r="178" spans="2:9" s="217" customFormat="1">
      <c r="B178" s="218"/>
      <c r="C178" s="279" t="s">
        <v>1672</v>
      </c>
      <c r="D178" s="1232" t="s">
        <v>66</v>
      </c>
      <c r="E178" s="225">
        <v>1</v>
      </c>
      <c r="F178" s="229">
        <v>0</v>
      </c>
      <c r="G178" s="230">
        <f t="shared" si="15"/>
        <v>0</v>
      </c>
      <c r="H178" s="1198"/>
      <c r="I178" s="1198"/>
    </row>
    <row r="179" spans="2:9" s="217" customFormat="1">
      <c r="B179" s="218"/>
      <c r="C179" s="279" t="s">
        <v>150</v>
      </c>
      <c r="D179" s="1232" t="s">
        <v>66</v>
      </c>
      <c r="E179" s="225">
        <v>6</v>
      </c>
      <c r="F179" s="229">
        <v>0</v>
      </c>
      <c r="G179" s="230">
        <f t="shared" si="15"/>
        <v>0</v>
      </c>
      <c r="H179" s="1198"/>
      <c r="I179" s="1198"/>
    </row>
    <row r="180" spans="2:9" s="217" customFormat="1">
      <c r="B180" s="218"/>
      <c r="C180" s="1233" t="s">
        <v>1537</v>
      </c>
      <c r="D180" s="1232" t="s">
        <v>66</v>
      </c>
      <c r="E180" s="225">
        <v>6</v>
      </c>
      <c r="F180" s="229">
        <v>0</v>
      </c>
      <c r="G180" s="230">
        <f t="shared" si="15"/>
        <v>0</v>
      </c>
      <c r="H180" s="1198"/>
      <c r="I180" s="1198"/>
    </row>
    <row r="181" spans="2:9" s="217" customFormat="1">
      <c r="B181" s="218"/>
      <c r="C181" s="223" t="s">
        <v>215</v>
      </c>
      <c r="D181" s="1232"/>
      <c r="E181" s="225"/>
      <c r="F181" s="226">
        <v>0</v>
      </c>
      <c r="G181" s="227"/>
      <c r="H181" s="1198"/>
      <c r="I181" s="1198"/>
    </row>
    <row r="182" spans="2:9" s="1229" customFormat="1" ht="24" customHeight="1">
      <c r="B182" s="218"/>
      <c r="C182" s="228" t="s">
        <v>2068</v>
      </c>
      <c r="D182" s="1232" t="s">
        <v>66</v>
      </c>
      <c r="E182" s="225">
        <v>1</v>
      </c>
      <c r="F182" s="229">
        <v>0</v>
      </c>
      <c r="G182" s="230">
        <f t="shared" ref="G182:G187" si="16">E182*F182</f>
        <v>0</v>
      </c>
      <c r="H182" s="1198"/>
      <c r="I182" s="1301"/>
    </row>
    <row r="183" spans="2:9" s="217" customFormat="1">
      <c r="B183" s="218"/>
      <c r="C183" s="279" t="s">
        <v>216</v>
      </c>
      <c r="D183" s="1232" t="s">
        <v>66</v>
      </c>
      <c r="E183" s="225">
        <v>2</v>
      </c>
      <c r="F183" s="229">
        <v>0</v>
      </c>
      <c r="G183" s="230">
        <f t="shared" si="16"/>
        <v>0</v>
      </c>
      <c r="H183" s="1198"/>
      <c r="I183" s="1198"/>
    </row>
    <row r="184" spans="2:9" s="217" customFormat="1">
      <c r="B184" s="218"/>
      <c r="C184" s="279" t="s">
        <v>184</v>
      </c>
      <c r="D184" s="1232" t="s">
        <v>66</v>
      </c>
      <c r="E184" s="225">
        <v>1</v>
      </c>
      <c r="F184" s="229">
        <v>0</v>
      </c>
      <c r="G184" s="230">
        <f t="shared" si="16"/>
        <v>0</v>
      </c>
      <c r="H184" s="1198"/>
      <c r="I184" s="1198"/>
    </row>
    <row r="185" spans="2:9" s="217" customFormat="1">
      <c r="B185" s="218"/>
      <c r="C185" s="231" t="s">
        <v>1561</v>
      </c>
      <c r="D185" s="1232" t="s">
        <v>66</v>
      </c>
      <c r="E185" s="225">
        <v>1</v>
      </c>
      <c r="F185" s="229">
        <v>0</v>
      </c>
      <c r="G185" s="230">
        <f t="shared" si="16"/>
        <v>0</v>
      </c>
      <c r="H185" s="1198"/>
      <c r="I185" s="1198"/>
    </row>
    <row r="186" spans="2:9" s="217" customFormat="1">
      <c r="B186" s="218"/>
      <c r="C186" s="279" t="s">
        <v>150</v>
      </c>
      <c r="D186" s="1232" t="s">
        <v>66</v>
      </c>
      <c r="E186" s="225">
        <v>1</v>
      </c>
      <c r="F186" s="229">
        <v>0</v>
      </c>
      <c r="G186" s="230">
        <f t="shared" si="16"/>
        <v>0</v>
      </c>
      <c r="H186" s="1198"/>
      <c r="I186" s="1198"/>
    </row>
    <row r="187" spans="2:9" s="217" customFormat="1">
      <c r="B187" s="218"/>
      <c r="C187" s="1233" t="s">
        <v>1537</v>
      </c>
      <c r="D187" s="1232" t="s">
        <v>66</v>
      </c>
      <c r="E187" s="225">
        <v>1</v>
      </c>
      <c r="F187" s="229">
        <v>0</v>
      </c>
      <c r="G187" s="230">
        <f t="shared" si="16"/>
        <v>0</v>
      </c>
      <c r="H187" s="1198"/>
      <c r="I187" s="1198"/>
    </row>
    <row r="188" spans="2:9" s="217" customFormat="1">
      <c r="B188" s="218"/>
      <c r="C188" s="223" t="s">
        <v>1408</v>
      </c>
      <c r="D188" s="1232"/>
      <c r="E188" s="225"/>
      <c r="F188" s="227"/>
      <c r="G188" s="227"/>
      <c r="H188" s="1198"/>
      <c r="I188" s="1198"/>
    </row>
    <row r="189" spans="2:9" s="1229" customFormat="1" ht="25.5" customHeight="1">
      <c r="B189" s="218"/>
      <c r="C189" s="228" t="s">
        <v>2064</v>
      </c>
      <c r="D189" s="1232" t="s">
        <v>66</v>
      </c>
      <c r="E189" s="225">
        <v>2</v>
      </c>
      <c r="F189" s="229">
        <v>0</v>
      </c>
      <c r="G189" s="230">
        <f t="shared" ref="G189:G196" si="17">E189*F189</f>
        <v>0</v>
      </c>
      <c r="H189" s="1198"/>
      <c r="I189" s="1301"/>
    </row>
    <row r="190" spans="2:9" s="217" customFormat="1" ht="14.25" customHeight="1">
      <c r="B190" s="218"/>
      <c r="C190" s="279" t="s">
        <v>1673</v>
      </c>
      <c r="D190" s="1232" t="s">
        <v>66</v>
      </c>
      <c r="E190" s="225">
        <v>1</v>
      </c>
      <c r="F190" s="229">
        <v>0</v>
      </c>
      <c r="G190" s="230">
        <f t="shared" si="17"/>
        <v>0</v>
      </c>
      <c r="H190" s="1198"/>
      <c r="I190" s="1198"/>
    </row>
    <row r="191" spans="2:9" s="217" customFormat="1" ht="14.25" customHeight="1">
      <c r="B191" s="218"/>
      <c r="C191" s="279" t="s">
        <v>1674</v>
      </c>
      <c r="D191" s="1232" t="s">
        <v>66</v>
      </c>
      <c r="E191" s="225">
        <v>1</v>
      </c>
      <c r="F191" s="229">
        <v>0</v>
      </c>
      <c r="G191" s="230">
        <f t="shared" si="17"/>
        <v>0</v>
      </c>
      <c r="H191" s="1198"/>
      <c r="I191" s="1198"/>
    </row>
    <row r="192" spans="2:9" s="217" customFormat="1">
      <c r="B192" s="218"/>
      <c r="C192" s="279" t="s">
        <v>216</v>
      </c>
      <c r="D192" s="1232" t="s">
        <v>66</v>
      </c>
      <c r="E192" s="225">
        <v>4</v>
      </c>
      <c r="F192" s="229">
        <v>0</v>
      </c>
      <c r="G192" s="230">
        <f t="shared" si="17"/>
        <v>0</v>
      </c>
      <c r="H192" s="1198"/>
      <c r="I192" s="1198"/>
    </row>
    <row r="193" spans="2:9" s="217" customFormat="1">
      <c r="B193" s="218"/>
      <c r="C193" s="279" t="s">
        <v>132</v>
      </c>
      <c r="D193" s="1232" t="s">
        <v>66</v>
      </c>
      <c r="E193" s="225">
        <v>3</v>
      </c>
      <c r="F193" s="229">
        <v>0</v>
      </c>
      <c r="G193" s="230">
        <f t="shared" si="17"/>
        <v>0</v>
      </c>
      <c r="H193" s="1198"/>
      <c r="I193" s="1198"/>
    </row>
    <row r="194" spans="2:9" s="217" customFormat="1">
      <c r="B194" s="218"/>
      <c r="C194" s="279" t="s">
        <v>202</v>
      </c>
      <c r="D194" s="1232" t="s">
        <v>66</v>
      </c>
      <c r="E194" s="225">
        <v>3</v>
      </c>
      <c r="F194" s="229">
        <v>0</v>
      </c>
      <c r="G194" s="230">
        <f t="shared" si="17"/>
        <v>0</v>
      </c>
      <c r="H194" s="1198"/>
      <c r="I194" s="1198"/>
    </row>
    <row r="195" spans="2:9" s="217" customFormat="1">
      <c r="B195" s="218"/>
      <c r="C195" s="279" t="s">
        <v>150</v>
      </c>
      <c r="D195" s="1232" t="s">
        <v>66</v>
      </c>
      <c r="E195" s="225">
        <v>2</v>
      </c>
      <c r="F195" s="229">
        <v>0</v>
      </c>
      <c r="G195" s="230">
        <f t="shared" si="17"/>
        <v>0</v>
      </c>
      <c r="H195" s="1198"/>
      <c r="I195" s="1198"/>
    </row>
    <row r="196" spans="2:9" s="217" customFormat="1">
      <c r="B196" s="218"/>
      <c r="C196" s="1233" t="s">
        <v>1537</v>
      </c>
      <c r="D196" s="1232" t="s">
        <v>66</v>
      </c>
      <c r="E196" s="225">
        <v>2</v>
      </c>
      <c r="F196" s="229">
        <v>0</v>
      </c>
      <c r="G196" s="230">
        <f t="shared" si="17"/>
        <v>0</v>
      </c>
      <c r="H196" s="1198"/>
      <c r="I196" s="1198"/>
    </row>
    <row r="197" spans="2:9" s="217" customFormat="1">
      <c r="B197" s="218"/>
      <c r="C197" s="223" t="s">
        <v>1648</v>
      </c>
      <c r="D197" s="1232"/>
      <c r="E197" s="225"/>
      <c r="F197" s="227"/>
      <c r="G197" s="227"/>
      <c r="H197" s="1198"/>
      <c r="I197" s="1198"/>
    </row>
    <row r="198" spans="2:9" s="1229" customFormat="1" ht="23.25" customHeight="1">
      <c r="B198" s="218"/>
      <c r="C198" s="228" t="s">
        <v>2076</v>
      </c>
      <c r="D198" s="1232" t="s">
        <v>66</v>
      </c>
      <c r="E198" s="225">
        <v>1</v>
      </c>
      <c r="F198" s="229">
        <v>0</v>
      </c>
      <c r="G198" s="230">
        <f t="shared" ref="G198:G203" si="18">E198*F198</f>
        <v>0</v>
      </c>
      <c r="H198" s="1198"/>
      <c r="I198" s="1301"/>
    </row>
    <row r="199" spans="2:9" s="217" customFormat="1">
      <c r="B199" s="218"/>
      <c r="C199" s="279" t="s">
        <v>216</v>
      </c>
      <c r="D199" s="1232" t="s">
        <v>66</v>
      </c>
      <c r="E199" s="225">
        <v>2</v>
      </c>
      <c r="F199" s="229">
        <v>0</v>
      </c>
      <c r="G199" s="230">
        <f t="shared" si="18"/>
        <v>0</v>
      </c>
      <c r="H199" s="1198"/>
      <c r="I199" s="1198"/>
    </row>
    <row r="200" spans="2:9" s="217" customFormat="1">
      <c r="B200" s="218"/>
      <c r="C200" s="279" t="s">
        <v>166</v>
      </c>
      <c r="D200" s="1232" t="s">
        <v>66</v>
      </c>
      <c r="E200" s="225">
        <v>1</v>
      </c>
      <c r="F200" s="229">
        <v>0</v>
      </c>
      <c r="G200" s="230">
        <f t="shared" si="18"/>
        <v>0</v>
      </c>
      <c r="H200" s="1198"/>
      <c r="I200" s="1198"/>
    </row>
    <row r="201" spans="2:9" s="217" customFormat="1">
      <c r="B201" s="218"/>
      <c r="C201" s="279" t="s">
        <v>203</v>
      </c>
      <c r="D201" s="1232" t="s">
        <v>66</v>
      </c>
      <c r="E201" s="225">
        <v>2</v>
      </c>
      <c r="F201" s="229">
        <v>0</v>
      </c>
      <c r="G201" s="230">
        <f t="shared" si="18"/>
        <v>0</v>
      </c>
      <c r="H201" s="1198"/>
      <c r="I201" s="1198"/>
    </row>
    <row r="202" spans="2:9" s="217" customFormat="1">
      <c r="B202" s="218"/>
      <c r="C202" s="279" t="s">
        <v>150</v>
      </c>
      <c r="D202" s="1232" t="s">
        <v>66</v>
      </c>
      <c r="E202" s="225">
        <v>1</v>
      </c>
      <c r="F202" s="229">
        <v>0</v>
      </c>
      <c r="G202" s="230">
        <f t="shared" si="18"/>
        <v>0</v>
      </c>
      <c r="H202" s="1198"/>
      <c r="I202" s="1198"/>
    </row>
    <row r="203" spans="2:9" s="217" customFormat="1">
      <c r="B203" s="218"/>
      <c r="C203" s="1233" t="s">
        <v>1537</v>
      </c>
      <c r="D203" s="1232" t="s">
        <v>66</v>
      </c>
      <c r="E203" s="225">
        <v>1</v>
      </c>
      <c r="F203" s="229">
        <v>0</v>
      </c>
      <c r="G203" s="230">
        <f t="shared" si="18"/>
        <v>0</v>
      </c>
      <c r="H203" s="1198"/>
      <c r="I203" s="1198"/>
    </row>
    <row r="204" spans="2:9" s="217" customFormat="1">
      <c r="B204" s="218"/>
      <c r="C204" s="223" t="s">
        <v>887</v>
      </c>
      <c r="D204" s="1232"/>
      <c r="E204" s="225"/>
      <c r="F204" s="227"/>
      <c r="G204" s="227"/>
      <c r="H204" s="1198"/>
      <c r="I204" s="1198"/>
    </row>
    <row r="205" spans="2:9" s="217" customFormat="1" ht="24">
      <c r="B205" s="218"/>
      <c r="C205" s="228" t="s">
        <v>2069</v>
      </c>
      <c r="D205" s="1232" t="s">
        <v>66</v>
      </c>
      <c r="E205" s="225">
        <v>1</v>
      </c>
      <c r="F205" s="229">
        <v>0</v>
      </c>
      <c r="G205" s="230">
        <f t="shared" ref="G205:G211" si="19">E205*F205</f>
        <v>0</v>
      </c>
      <c r="H205" s="1198"/>
      <c r="I205" s="1198"/>
    </row>
    <row r="206" spans="2:9" s="217" customFormat="1">
      <c r="B206" s="218"/>
      <c r="C206" s="231" t="s">
        <v>1675</v>
      </c>
      <c r="D206" s="1232" t="s">
        <v>66</v>
      </c>
      <c r="E206" s="225">
        <v>1</v>
      </c>
      <c r="F206" s="229">
        <v>0</v>
      </c>
      <c r="G206" s="230">
        <f t="shared" si="19"/>
        <v>0</v>
      </c>
      <c r="H206" s="1198"/>
      <c r="I206" s="1198"/>
    </row>
    <row r="207" spans="2:9" s="217" customFormat="1">
      <c r="B207" s="218"/>
      <c r="C207" s="231" t="s">
        <v>1676</v>
      </c>
      <c r="D207" s="1232" t="s">
        <v>66</v>
      </c>
      <c r="E207" s="225">
        <v>1</v>
      </c>
      <c r="F207" s="229">
        <v>0</v>
      </c>
      <c r="G207" s="230">
        <f t="shared" si="19"/>
        <v>0</v>
      </c>
      <c r="H207" s="1198"/>
      <c r="I207" s="1198"/>
    </row>
    <row r="208" spans="2:9" s="217" customFormat="1" ht="14.25" customHeight="1">
      <c r="B208" s="218"/>
      <c r="C208" s="231" t="s">
        <v>1558</v>
      </c>
      <c r="D208" s="1232" t="s">
        <v>66</v>
      </c>
      <c r="E208" s="225">
        <v>1</v>
      </c>
      <c r="F208" s="229">
        <v>0</v>
      </c>
      <c r="G208" s="230">
        <f t="shared" si="19"/>
        <v>0</v>
      </c>
      <c r="H208" s="1198"/>
      <c r="I208" s="1198"/>
    </row>
    <row r="209" spans="2:9" s="217" customFormat="1">
      <c r="B209" s="218"/>
      <c r="C209" s="279" t="s">
        <v>184</v>
      </c>
      <c r="D209" s="1232" t="s">
        <v>66</v>
      </c>
      <c r="E209" s="225">
        <v>2</v>
      </c>
      <c r="F209" s="229">
        <v>0</v>
      </c>
      <c r="G209" s="230">
        <f t="shared" si="19"/>
        <v>0</v>
      </c>
      <c r="H209" s="1198"/>
      <c r="I209" s="1198"/>
    </row>
    <row r="210" spans="2:9" s="217" customFormat="1">
      <c r="B210" s="218"/>
      <c r="C210" s="279" t="s">
        <v>150</v>
      </c>
      <c r="D210" s="1232" t="s">
        <v>66</v>
      </c>
      <c r="E210" s="225">
        <v>1</v>
      </c>
      <c r="F210" s="229">
        <v>0</v>
      </c>
      <c r="G210" s="230">
        <f t="shared" si="19"/>
        <v>0</v>
      </c>
      <c r="H210" s="1198"/>
      <c r="I210" s="1198"/>
    </row>
    <row r="211" spans="2:9" s="217" customFormat="1">
      <c r="B211" s="218"/>
      <c r="C211" s="1233" t="s">
        <v>1537</v>
      </c>
      <c r="D211" s="1232" t="s">
        <v>66</v>
      </c>
      <c r="E211" s="225">
        <v>1</v>
      </c>
      <c r="F211" s="229">
        <v>0</v>
      </c>
      <c r="G211" s="230">
        <f t="shared" si="19"/>
        <v>0</v>
      </c>
      <c r="H211" s="1198"/>
      <c r="I211" s="1198"/>
    </row>
    <row r="212" spans="2:9" s="217" customFormat="1">
      <c r="B212" s="218"/>
      <c r="C212" s="223" t="s">
        <v>196</v>
      </c>
      <c r="D212" s="1232"/>
      <c r="E212" s="225"/>
      <c r="F212" s="227"/>
      <c r="G212" s="227"/>
      <c r="H212" s="1198"/>
      <c r="I212" s="1198"/>
    </row>
    <row r="213" spans="2:9" s="1229" customFormat="1" ht="13.5" customHeight="1">
      <c r="B213" s="218"/>
      <c r="C213" s="228" t="s">
        <v>1575</v>
      </c>
      <c r="D213" s="1232" t="s">
        <v>66</v>
      </c>
      <c r="E213" s="225">
        <v>1</v>
      </c>
      <c r="F213" s="229">
        <v>0</v>
      </c>
      <c r="G213" s="230">
        <f t="shared" ref="G213:G218" si="20">E213*F213</f>
        <v>0</v>
      </c>
      <c r="H213" s="1198"/>
      <c r="I213" s="1301"/>
    </row>
    <row r="214" spans="2:9" s="217" customFormat="1" ht="14.25" customHeight="1">
      <c r="B214" s="218"/>
      <c r="C214" s="231" t="s">
        <v>139</v>
      </c>
      <c r="D214" s="1232" t="s">
        <v>66</v>
      </c>
      <c r="E214" s="225">
        <v>2</v>
      </c>
      <c r="F214" s="229">
        <v>0</v>
      </c>
      <c r="G214" s="230">
        <f t="shared" si="20"/>
        <v>0</v>
      </c>
      <c r="H214" s="1198"/>
      <c r="I214" s="1198"/>
    </row>
    <row r="215" spans="2:9" s="217" customFormat="1">
      <c r="B215" s="218"/>
      <c r="C215" s="279" t="s">
        <v>132</v>
      </c>
      <c r="D215" s="1232" t="s">
        <v>66</v>
      </c>
      <c r="E215" s="225">
        <v>2</v>
      </c>
      <c r="F215" s="229">
        <v>0</v>
      </c>
      <c r="G215" s="230">
        <f t="shared" si="20"/>
        <v>0</v>
      </c>
      <c r="H215" s="1198"/>
      <c r="I215" s="1198"/>
    </row>
    <row r="216" spans="2:9" s="217" customFormat="1">
      <c r="B216" s="218"/>
      <c r="C216" s="279" t="s">
        <v>202</v>
      </c>
      <c r="D216" s="1232" t="s">
        <v>66</v>
      </c>
      <c r="E216" s="225">
        <v>2</v>
      </c>
      <c r="F216" s="229">
        <v>0</v>
      </c>
      <c r="G216" s="230">
        <f t="shared" si="20"/>
        <v>0</v>
      </c>
      <c r="H216" s="1198"/>
      <c r="I216" s="1198"/>
    </row>
    <row r="217" spans="2:9" s="217" customFormat="1">
      <c r="B217" s="218"/>
      <c r="C217" s="279" t="s">
        <v>150</v>
      </c>
      <c r="D217" s="1232" t="s">
        <v>66</v>
      </c>
      <c r="E217" s="225">
        <v>2</v>
      </c>
      <c r="F217" s="229">
        <v>0</v>
      </c>
      <c r="G217" s="230">
        <f t="shared" si="20"/>
        <v>0</v>
      </c>
      <c r="H217" s="1198"/>
      <c r="I217" s="1198"/>
    </row>
    <row r="218" spans="2:9" s="217" customFormat="1">
      <c r="B218" s="218"/>
      <c r="C218" s="1233" t="s">
        <v>1537</v>
      </c>
      <c r="D218" s="1232" t="s">
        <v>66</v>
      </c>
      <c r="E218" s="225">
        <v>2</v>
      </c>
      <c r="F218" s="229">
        <v>0</v>
      </c>
      <c r="G218" s="230">
        <f t="shared" si="20"/>
        <v>0</v>
      </c>
      <c r="H218" s="1198"/>
      <c r="I218" s="1198"/>
    </row>
    <row r="219" spans="2:9" s="217" customFormat="1">
      <c r="B219" s="218"/>
      <c r="C219" s="223" t="s">
        <v>1677</v>
      </c>
      <c r="D219" s="1232"/>
      <c r="E219" s="227"/>
      <c r="F219" s="227"/>
      <c r="G219" s="227"/>
      <c r="H219" s="1198"/>
      <c r="I219" s="1198"/>
    </row>
    <row r="220" spans="2:9" s="217" customFormat="1" ht="14.25" customHeight="1">
      <c r="B220" s="218"/>
      <c r="C220" s="228" t="s">
        <v>319</v>
      </c>
      <c r="D220" s="1232" t="s">
        <v>66</v>
      </c>
      <c r="E220" s="225">
        <v>1</v>
      </c>
      <c r="F220" s="229">
        <v>0</v>
      </c>
      <c r="G220" s="230">
        <f t="shared" ref="G220:G228" si="21">E220*F220</f>
        <v>0</v>
      </c>
      <c r="H220" s="1198"/>
      <c r="I220" s="1198"/>
    </row>
    <row r="221" spans="2:9" s="217" customFormat="1">
      <c r="B221" s="218"/>
      <c r="C221" s="231" t="s">
        <v>155</v>
      </c>
      <c r="D221" s="1232" t="s">
        <v>66</v>
      </c>
      <c r="E221" s="225">
        <v>1</v>
      </c>
      <c r="F221" s="229">
        <v>0</v>
      </c>
      <c r="G221" s="230">
        <f t="shared" si="21"/>
        <v>0</v>
      </c>
      <c r="H221" s="1198"/>
      <c r="I221" s="1198"/>
    </row>
    <row r="222" spans="2:9" s="217" customFormat="1">
      <c r="B222" s="218"/>
      <c r="C222" s="279" t="s">
        <v>166</v>
      </c>
      <c r="D222" s="1232" t="s">
        <v>66</v>
      </c>
      <c r="E222" s="225">
        <v>1</v>
      </c>
      <c r="F222" s="229">
        <v>0</v>
      </c>
      <c r="G222" s="230">
        <f t="shared" si="21"/>
        <v>0</v>
      </c>
      <c r="H222" s="1198"/>
      <c r="I222" s="1198"/>
    </row>
    <row r="223" spans="2:9" s="217" customFormat="1">
      <c r="B223" s="218"/>
      <c r="C223" s="279" t="s">
        <v>203</v>
      </c>
      <c r="D223" s="1232" t="s">
        <v>66</v>
      </c>
      <c r="E223" s="225">
        <v>2</v>
      </c>
      <c r="F223" s="229">
        <v>0</v>
      </c>
      <c r="G223" s="230">
        <f t="shared" si="21"/>
        <v>0</v>
      </c>
      <c r="H223" s="1198"/>
      <c r="I223" s="1198"/>
    </row>
    <row r="224" spans="2:9" s="217" customFormat="1">
      <c r="B224" s="218"/>
      <c r="C224" s="279" t="s">
        <v>1541</v>
      </c>
      <c r="D224" s="1232" t="s">
        <v>66</v>
      </c>
      <c r="E224" s="225">
        <v>2</v>
      </c>
      <c r="F224" s="229">
        <v>0</v>
      </c>
      <c r="G224" s="230">
        <f t="shared" si="21"/>
        <v>0</v>
      </c>
      <c r="H224" s="1198"/>
      <c r="I224" s="1198"/>
    </row>
    <row r="225" spans="2:9" s="217" customFormat="1">
      <c r="B225" s="218"/>
      <c r="C225" s="279" t="s">
        <v>1542</v>
      </c>
      <c r="D225" s="1232" t="s">
        <v>66</v>
      </c>
      <c r="E225" s="225">
        <v>2</v>
      </c>
      <c r="F225" s="229">
        <v>0</v>
      </c>
      <c r="G225" s="230">
        <f t="shared" si="21"/>
        <v>0</v>
      </c>
      <c r="H225" s="1198"/>
      <c r="I225" s="1198"/>
    </row>
    <row r="226" spans="2:9" s="217" customFormat="1">
      <c r="B226" s="218"/>
      <c r="C226" s="231" t="s">
        <v>1653</v>
      </c>
      <c r="D226" s="1232" t="s">
        <v>66</v>
      </c>
      <c r="E226" s="225">
        <v>1</v>
      </c>
      <c r="F226" s="229">
        <v>0</v>
      </c>
      <c r="G226" s="230">
        <f t="shared" si="21"/>
        <v>0</v>
      </c>
      <c r="H226" s="1198"/>
      <c r="I226" s="1198"/>
    </row>
    <row r="227" spans="2:9" s="217" customFormat="1">
      <c r="B227" s="218"/>
      <c r="C227" s="279" t="s">
        <v>150</v>
      </c>
      <c r="D227" s="1232" t="s">
        <v>66</v>
      </c>
      <c r="E227" s="225">
        <v>1</v>
      </c>
      <c r="F227" s="229">
        <v>0</v>
      </c>
      <c r="G227" s="230">
        <f t="shared" si="21"/>
        <v>0</v>
      </c>
      <c r="H227" s="1198"/>
      <c r="I227" s="1198"/>
    </row>
    <row r="228" spans="2:9" s="217" customFormat="1">
      <c r="B228" s="218"/>
      <c r="C228" s="233" t="s">
        <v>135</v>
      </c>
      <c r="D228" s="1232" t="s">
        <v>66</v>
      </c>
      <c r="E228" s="225">
        <v>1</v>
      </c>
      <c r="F228" s="229">
        <v>0</v>
      </c>
      <c r="G228" s="230">
        <f t="shared" si="21"/>
        <v>0</v>
      </c>
      <c r="H228" s="1198"/>
      <c r="I228" s="1198"/>
    </row>
    <row r="229" spans="2:9" s="217" customFormat="1">
      <c r="B229" s="201" t="s">
        <v>172</v>
      </c>
      <c r="C229" s="223" t="s">
        <v>345</v>
      </c>
      <c r="D229" s="1232"/>
      <c r="E229" s="225"/>
      <c r="F229" s="226"/>
      <c r="G229" s="227"/>
      <c r="H229" s="1198"/>
      <c r="I229" s="1198"/>
    </row>
    <row r="230" spans="2:9" s="217" customFormat="1">
      <c r="B230" s="218"/>
      <c r="C230" s="1302" t="s">
        <v>1678</v>
      </c>
      <c r="D230" s="1303"/>
      <c r="E230" s="1304"/>
      <c r="F230" s="1305">
        <v>0</v>
      </c>
      <c r="G230" s="1306"/>
      <c r="H230" s="1198"/>
      <c r="I230" s="1198"/>
    </row>
    <row r="231" spans="2:9" s="217" customFormat="1">
      <c r="B231" s="218"/>
      <c r="C231" s="1307" t="s">
        <v>279</v>
      </c>
      <c r="D231" s="1303" t="s">
        <v>66</v>
      </c>
      <c r="E231" s="1304">
        <v>2</v>
      </c>
      <c r="F231" s="1308">
        <v>0</v>
      </c>
      <c r="G231" s="1309">
        <f t="shared" ref="G231:G250" si="22">E231*F231</f>
        <v>0</v>
      </c>
      <c r="H231" s="1198"/>
      <c r="I231" s="1198"/>
    </row>
    <row r="232" spans="2:9" s="217" customFormat="1">
      <c r="B232" s="218"/>
      <c r="C232" s="1307" t="s">
        <v>1676</v>
      </c>
      <c r="D232" s="1303" t="s">
        <v>66</v>
      </c>
      <c r="E232" s="1304">
        <v>2</v>
      </c>
      <c r="F232" s="1308">
        <v>0</v>
      </c>
      <c r="G232" s="1309">
        <f t="shared" si="22"/>
        <v>0</v>
      </c>
      <c r="H232" s="1198"/>
      <c r="I232" s="1198"/>
    </row>
    <row r="233" spans="2:9" s="217" customFormat="1">
      <c r="B233" s="218"/>
      <c r="C233" s="1307" t="s">
        <v>1561</v>
      </c>
      <c r="D233" s="1303" t="s">
        <v>66</v>
      </c>
      <c r="E233" s="1304">
        <v>2</v>
      </c>
      <c r="F233" s="1308">
        <v>0</v>
      </c>
      <c r="G233" s="1309">
        <f t="shared" si="22"/>
        <v>0</v>
      </c>
      <c r="H233" s="1198"/>
      <c r="I233" s="1198"/>
    </row>
    <row r="234" spans="2:9" s="217" customFormat="1">
      <c r="B234" s="218"/>
      <c r="C234" s="1307" t="s">
        <v>213</v>
      </c>
      <c r="D234" s="1303" t="s">
        <v>66</v>
      </c>
      <c r="E234" s="1304">
        <v>2</v>
      </c>
      <c r="F234" s="1308">
        <v>0</v>
      </c>
      <c r="G234" s="1309">
        <f t="shared" si="22"/>
        <v>0</v>
      </c>
      <c r="H234" s="1198"/>
      <c r="I234" s="1198"/>
    </row>
    <row r="235" spans="2:9" s="217" customFormat="1">
      <c r="B235" s="218"/>
      <c r="C235" s="1307" t="s">
        <v>187</v>
      </c>
      <c r="D235" s="1303" t="s">
        <v>66</v>
      </c>
      <c r="E235" s="1304">
        <v>2</v>
      </c>
      <c r="F235" s="1308">
        <v>0</v>
      </c>
      <c r="G235" s="1309">
        <f t="shared" si="22"/>
        <v>0</v>
      </c>
      <c r="H235" s="1198"/>
      <c r="I235" s="1198"/>
    </row>
    <row r="236" spans="2:9" s="217" customFormat="1">
      <c r="B236" s="218"/>
      <c r="C236" s="1307" t="s">
        <v>1679</v>
      </c>
      <c r="D236" s="1303" t="s">
        <v>66</v>
      </c>
      <c r="E236" s="1304">
        <v>2</v>
      </c>
      <c r="F236" s="1308">
        <v>0</v>
      </c>
      <c r="G236" s="1309">
        <f t="shared" si="22"/>
        <v>0</v>
      </c>
      <c r="H236" s="1198"/>
      <c r="I236" s="1198"/>
    </row>
    <row r="237" spans="2:9" s="217" customFormat="1" ht="15" customHeight="1">
      <c r="B237" s="218"/>
      <c r="C237" s="1307" t="s">
        <v>1194</v>
      </c>
      <c r="D237" s="1303" t="s">
        <v>66</v>
      </c>
      <c r="E237" s="1304">
        <v>2</v>
      </c>
      <c r="F237" s="1308">
        <v>0</v>
      </c>
      <c r="G237" s="1309">
        <f t="shared" si="22"/>
        <v>0</v>
      </c>
      <c r="H237" s="1198"/>
      <c r="I237" s="1198"/>
    </row>
    <row r="238" spans="2:9" s="217" customFormat="1" ht="12" customHeight="1">
      <c r="B238" s="218"/>
      <c r="C238" s="1307" t="s">
        <v>1680</v>
      </c>
      <c r="D238" s="1303" t="s">
        <v>66</v>
      </c>
      <c r="E238" s="1304">
        <v>1</v>
      </c>
      <c r="F238" s="1308">
        <v>0</v>
      </c>
      <c r="G238" s="1309">
        <f t="shared" si="22"/>
        <v>0</v>
      </c>
      <c r="H238" s="1198"/>
      <c r="I238" s="1198"/>
    </row>
    <row r="239" spans="2:9" s="217" customFormat="1" ht="12.75" customHeight="1">
      <c r="B239" s="218"/>
      <c r="C239" s="1310" t="s">
        <v>1681</v>
      </c>
      <c r="D239" s="1303" t="s">
        <v>66</v>
      </c>
      <c r="E239" s="1304">
        <v>1</v>
      </c>
      <c r="F239" s="1308">
        <v>0</v>
      </c>
      <c r="G239" s="1309">
        <f t="shared" si="22"/>
        <v>0</v>
      </c>
      <c r="H239" s="1198"/>
      <c r="I239" s="1198"/>
    </row>
    <row r="240" spans="2:9" s="217" customFormat="1">
      <c r="B240" s="218"/>
      <c r="C240" s="1310" t="s">
        <v>1682</v>
      </c>
      <c r="D240" s="1303" t="s">
        <v>66</v>
      </c>
      <c r="E240" s="1304">
        <v>1</v>
      </c>
      <c r="F240" s="1308">
        <v>0</v>
      </c>
      <c r="G240" s="1309">
        <f t="shared" si="22"/>
        <v>0</v>
      </c>
      <c r="H240" s="1198"/>
      <c r="I240" s="1198"/>
    </row>
    <row r="241" spans="2:9" s="217" customFormat="1">
      <c r="B241" s="218"/>
      <c r="C241" s="1310" t="s">
        <v>1683</v>
      </c>
      <c r="D241" s="1303" t="s">
        <v>66</v>
      </c>
      <c r="E241" s="1304">
        <v>1</v>
      </c>
      <c r="F241" s="1308">
        <v>0</v>
      </c>
      <c r="G241" s="1309">
        <f t="shared" si="22"/>
        <v>0</v>
      </c>
      <c r="H241" s="1198"/>
      <c r="I241" s="1198"/>
    </row>
    <row r="242" spans="2:9" s="217" customFormat="1" ht="14.25" customHeight="1">
      <c r="B242" s="218"/>
      <c r="C242" s="1310" t="s">
        <v>1684</v>
      </c>
      <c r="D242" s="1303" t="s">
        <v>66</v>
      </c>
      <c r="E242" s="1304">
        <v>1</v>
      </c>
      <c r="F242" s="1308">
        <v>0</v>
      </c>
      <c r="G242" s="1309">
        <f t="shared" si="22"/>
        <v>0</v>
      </c>
      <c r="H242" s="1198"/>
      <c r="I242" s="1198"/>
    </row>
    <row r="243" spans="2:9" s="217" customFormat="1">
      <c r="B243" s="218"/>
      <c r="C243" s="1310" t="s">
        <v>1685</v>
      </c>
      <c r="D243" s="1303" t="s">
        <v>66</v>
      </c>
      <c r="E243" s="1304">
        <v>1</v>
      </c>
      <c r="F243" s="1308">
        <v>0</v>
      </c>
      <c r="G243" s="1309">
        <f t="shared" si="22"/>
        <v>0</v>
      </c>
      <c r="H243" s="1198"/>
      <c r="I243" s="1198"/>
    </row>
    <row r="244" spans="2:9" s="217" customFormat="1">
      <c r="B244" s="218"/>
      <c r="C244" s="1311" t="s">
        <v>518</v>
      </c>
      <c r="D244" s="1303" t="s">
        <v>66</v>
      </c>
      <c r="E244" s="1304">
        <v>1</v>
      </c>
      <c r="F244" s="1308">
        <v>0</v>
      </c>
      <c r="G244" s="1309">
        <f t="shared" si="22"/>
        <v>0</v>
      </c>
      <c r="H244" s="1198"/>
      <c r="I244" s="1198"/>
    </row>
    <row r="245" spans="2:9" s="217" customFormat="1">
      <c r="B245" s="218"/>
      <c r="C245" s="1311" t="s">
        <v>1686</v>
      </c>
      <c r="D245" s="1303" t="s">
        <v>66</v>
      </c>
      <c r="E245" s="1304">
        <v>1</v>
      </c>
      <c r="F245" s="1308">
        <v>0</v>
      </c>
      <c r="G245" s="1309">
        <f t="shared" si="22"/>
        <v>0</v>
      </c>
      <c r="H245" s="1198"/>
      <c r="I245" s="1198"/>
    </row>
    <row r="246" spans="2:9" s="217" customFormat="1">
      <c r="B246" s="218"/>
      <c r="C246" s="1307" t="s">
        <v>1196</v>
      </c>
      <c r="D246" s="1303" t="s">
        <v>66</v>
      </c>
      <c r="E246" s="1304">
        <v>1</v>
      </c>
      <c r="F246" s="1308">
        <v>0</v>
      </c>
      <c r="G246" s="1309">
        <f t="shared" si="22"/>
        <v>0</v>
      </c>
      <c r="H246" s="1198"/>
      <c r="I246" s="1198"/>
    </row>
    <row r="247" spans="2:9" s="217" customFormat="1">
      <c r="B247" s="218"/>
      <c r="C247" s="1311" t="s">
        <v>216</v>
      </c>
      <c r="D247" s="1303" t="s">
        <v>66</v>
      </c>
      <c r="E247" s="1304">
        <v>2</v>
      </c>
      <c r="F247" s="1308">
        <v>0</v>
      </c>
      <c r="G247" s="1309">
        <f t="shared" si="22"/>
        <v>0</v>
      </c>
      <c r="H247" s="1198"/>
      <c r="I247" s="1198"/>
    </row>
    <row r="248" spans="2:9" s="217" customFormat="1">
      <c r="B248" s="218"/>
      <c r="C248" s="1311" t="s">
        <v>184</v>
      </c>
      <c r="D248" s="1303" t="s">
        <v>66</v>
      </c>
      <c r="E248" s="1304">
        <v>4</v>
      </c>
      <c r="F248" s="1308">
        <v>0</v>
      </c>
      <c r="G248" s="1309">
        <f t="shared" si="22"/>
        <v>0</v>
      </c>
      <c r="H248" s="1198"/>
      <c r="I248" s="1198"/>
    </row>
    <row r="249" spans="2:9" s="217" customFormat="1">
      <c r="B249" s="218"/>
      <c r="C249" s="1311" t="s">
        <v>150</v>
      </c>
      <c r="D249" s="1303" t="s">
        <v>66</v>
      </c>
      <c r="E249" s="1304">
        <v>2</v>
      </c>
      <c r="F249" s="1308">
        <v>0</v>
      </c>
      <c r="G249" s="1309">
        <f t="shared" si="22"/>
        <v>0</v>
      </c>
      <c r="H249" s="1198"/>
      <c r="I249" s="1198"/>
    </row>
    <row r="250" spans="2:9" s="217" customFormat="1">
      <c r="B250" s="218"/>
      <c r="C250" s="1312" t="s">
        <v>1687</v>
      </c>
      <c r="D250" s="1303" t="s">
        <v>66</v>
      </c>
      <c r="E250" s="1304">
        <v>1</v>
      </c>
      <c r="F250" s="1308">
        <v>0</v>
      </c>
      <c r="G250" s="1309">
        <f t="shared" si="22"/>
        <v>0</v>
      </c>
      <c r="H250" s="1198"/>
      <c r="I250" s="1198"/>
    </row>
    <row r="251" spans="2:9" s="179" customFormat="1" ht="16.5" customHeight="1">
      <c r="B251" s="258" t="s">
        <v>47</v>
      </c>
      <c r="C251" s="259" t="s">
        <v>175</v>
      </c>
      <c r="D251" s="260"/>
      <c r="E251" s="261"/>
      <c r="F251" s="262"/>
      <c r="G251" s="263">
        <f>SUM(G100:G250)</f>
        <v>0</v>
      </c>
      <c r="H251" s="1198"/>
      <c r="I251" s="1292"/>
    </row>
    <row r="252" spans="2:9">
      <c r="H252" s="1198"/>
    </row>
    <row r="253" spans="2:9">
      <c r="H253" s="1198"/>
    </row>
  </sheetData>
  <mergeCells count="11">
    <mergeCell ref="B77:B78"/>
    <mergeCell ref="B97:G97"/>
    <mergeCell ref="B98:G98"/>
    <mergeCell ref="B99:G99"/>
    <mergeCell ref="B107:B110"/>
    <mergeCell ref="B74:B75"/>
    <mergeCell ref="B41:G41"/>
    <mergeCell ref="B52:B53"/>
    <mergeCell ref="B60:B63"/>
    <mergeCell ref="B70:B71"/>
    <mergeCell ref="B72:B73"/>
  </mergeCells>
  <pageMargins left="0.7" right="0.7" top="0.75" bottom="0.75" header="0.3" footer="0.3"/>
  <pageSetup paperSize="9" scale="85" orientation="portrait" r:id="rId1"/>
  <headerFooter alignWithMargins="0">
    <oddFooter>&amp;C&amp;8&amp;P/&amp;N</oddFooter>
  </headerFooter>
  <rowBreaks count="3" manualBreakCount="3">
    <brk id="18" max="16383" man="1"/>
    <brk id="37" max="16383" man="1"/>
    <brk id="8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F742-7DB9-461B-80DD-000BE9D7DCFA}">
  <sheetPr>
    <tabColor theme="9" tint="-0.249977111117893"/>
  </sheetPr>
  <dimension ref="A1:J206"/>
  <sheetViews>
    <sheetView showZeros="0" topLeftCell="A25" workbookViewId="0">
      <selection activeCell="B27" sqref="B27:B34"/>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8" width="13.85546875" style="1" bestFit="1" customWidth="1"/>
    <col min="9" max="237" width="10.42578125" style="1"/>
    <col min="238" max="238" width="7.42578125" style="1" customWidth="1"/>
    <col min="239" max="239" width="37.42578125" style="1" customWidth="1"/>
    <col min="240" max="240" width="10.42578125" style="1"/>
    <col min="241" max="241" width="9.28515625" style="1" customWidth="1"/>
    <col min="242" max="243" width="12.140625" style="1" customWidth="1"/>
    <col min="244" max="244" width="16" style="1" customWidth="1"/>
    <col min="245" max="245" width="26.28515625" style="1" customWidth="1"/>
    <col min="246" max="493" width="10.42578125" style="1"/>
    <col min="494" max="494" width="7.42578125" style="1" customWidth="1"/>
    <col min="495" max="495" width="37.42578125" style="1" customWidth="1"/>
    <col min="496" max="496" width="10.42578125" style="1"/>
    <col min="497" max="497" width="9.28515625" style="1" customWidth="1"/>
    <col min="498" max="499" width="12.140625" style="1" customWidth="1"/>
    <col min="500" max="500" width="16" style="1" customWidth="1"/>
    <col min="501" max="501" width="26.28515625" style="1" customWidth="1"/>
    <col min="502" max="749" width="10.42578125" style="1"/>
    <col min="750" max="750" width="7.42578125" style="1" customWidth="1"/>
    <col min="751" max="751" width="37.42578125" style="1" customWidth="1"/>
    <col min="752" max="752" width="10.42578125" style="1"/>
    <col min="753" max="753" width="9.28515625" style="1" customWidth="1"/>
    <col min="754" max="755" width="12.140625" style="1" customWidth="1"/>
    <col min="756" max="756" width="16" style="1" customWidth="1"/>
    <col min="757" max="757" width="26.28515625" style="1" customWidth="1"/>
    <col min="758" max="1005" width="10.42578125" style="1"/>
    <col min="1006" max="1006" width="7.42578125" style="1" customWidth="1"/>
    <col min="1007" max="1007" width="37.42578125" style="1" customWidth="1"/>
    <col min="1008" max="1008" width="10.42578125" style="1"/>
    <col min="1009" max="1009" width="9.28515625" style="1" customWidth="1"/>
    <col min="1010" max="1011" width="12.140625" style="1" customWidth="1"/>
    <col min="1012" max="1012" width="16" style="1" customWidth="1"/>
    <col min="1013" max="1013" width="26.28515625" style="1" customWidth="1"/>
    <col min="1014" max="1261" width="10.42578125" style="1"/>
    <col min="1262" max="1262" width="7.42578125" style="1" customWidth="1"/>
    <col min="1263" max="1263" width="37.42578125" style="1" customWidth="1"/>
    <col min="1264" max="1264" width="10.42578125" style="1"/>
    <col min="1265" max="1265" width="9.28515625" style="1" customWidth="1"/>
    <col min="1266" max="1267" width="12.140625" style="1" customWidth="1"/>
    <col min="1268" max="1268" width="16" style="1" customWidth="1"/>
    <col min="1269" max="1269" width="26.28515625" style="1" customWidth="1"/>
    <col min="1270" max="1517" width="10.42578125" style="1"/>
    <col min="1518" max="1518" width="7.42578125" style="1" customWidth="1"/>
    <col min="1519" max="1519" width="37.42578125" style="1" customWidth="1"/>
    <col min="1520" max="1520" width="10.42578125" style="1"/>
    <col min="1521" max="1521" width="9.28515625" style="1" customWidth="1"/>
    <col min="1522" max="1523" width="12.140625" style="1" customWidth="1"/>
    <col min="1524" max="1524" width="16" style="1" customWidth="1"/>
    <col min="1525" max="1525" width="26.28515625" style="1" customWidth="1"/>
    <col min="1526" max="1773" width="10.42578125" style="1"/>
    <col min="1774" max="1774" width="7.42578125" style="1" customWidth="1"/>
    <col min="1775" max="1775" width="37.42578125" style="1" customWidth="1"/>
    <col min="1776" max="1776" width="10.42578125" style="1"/>
    <col min="1777" max="1777" width="9.28515625" style="1" customWidth="1"/>
    <col min="1778" max="1779" width="12.140625" style="1" customWidth="1"/>
    <col min="1780" max="1780" width="16" style="1" customWidth="1"/>
    <col min="1781" max="1781" width="26.28515625" style="1" customWidth="1"/>
    <col min="1782" max="2029" width="10.42578125" style="1"/>
    <col min="2030" max="2030" width="7.42578125" style="1" customWidth="1"/>
    <col min="2031" max="2031" width="37.42578125" style="1" customWidth="1"/>
    <col min="2032" max="2032" width="10.42578125" style="1"/>
    <col min="2033" max="2033" width="9.28515625" style="1" customWidth="1"/>
    <col min="2034" max="2035" width="12.140625" style="1" customWidth="1"/>
    <col min="2036" max="2036" width="16" style="1" customWidth="1"/>
    <col min="2037" max="2037" width="26.28515625" style="1" customWidth="1"/>
    <col min="2038" max="2285" width="10.42578125" style="1"/>
    <col min="2286" max="2286" width="7.42578125" style="1" customWidth="1"/>
    <col min="2287" max="2287" width="37.42578125" style="1" customWidth="1"/>
    <col min="2288" max="2288" width="10.42578125" style="1"/>
    <col min="2289" max="2289" width="9.28515625" style="1" customWidth="1"/>
    <col min="2290" max="2291" width="12.140625" style="1" customWidth="1"/>
    <col min="2292" max="2292" width="16" style="1" customWidth="1"/>
    <col min="2293" max="2293" width="26.28515625" style="1" customWidth="1"/>
    <col min="2294" max="2541" width="10.42578125" style="1"/>
    <col min="2542" max="2542" width="7.42578125" style="1" customWidth="1"/>
    <col min="2543" max="2543" width="37.42578125" style="1" customWidth="1"/>
    <col min="2544" max="2544" width="10.42578125" style="1"/>
    <col min="2545" max="2545" width="9.28515625" style="1" customWidth="1"/>
    <col min="2546" max="2547" width="12.140625" style="1" customWidth="1"/>
    <col min="2548" max="2548" width="16" style="1" customWidth="1"/>
    <col min="2549" max="2549" width="26.28515625" style="1" customWidth="1"/>
    <col min="2550" max="2797" width="10.42578125" style="1"/>
    <col min="2798" max="2798" width="7.42578125" style="1" customWidth="1"/>
    <col min="2799" max="2799" width="37.42578125" style="1" customWidth="1"/>
    <col min="2800" max="2800" width="10.42578125" style="1"/>
    <col min="2801" max="2801" width="9.28515625" style="1" customWidth="1"/>
    <col min="2802" max="2803" width="12.140625" style="1" customWidth="1"/>
    <col min="2804" max="2804" width="16" style="1" customWidth="1"/>
    <col min="2805" max="2805" width="26.28515625" style="1" customWidth="1"/>
    <col min="2806" max="3053" width="10.42578125" style="1"/>
    <col min="3054" max="3054" width="7.42578125" style="1" customWidth="1"/>
    <col min="3055" max="3055" width="37.42578125" style="1" customWidth="1"/>
    <col min="3056" max="3056" width="10.42578125" style="1"/>
    <col min="3057" max="3057" width="9.28515625" style="1" customWidth="1"/>
    <col min="3058" max="3059" width="12.140625" style="1" customWidth="1"/>
    <col min="3060" max="3060" width="16" style="1" customWidth="1"/>
    <col min="3061" max="3061" width="26.28515625" style="1" customWidth="1"/>
    <col min="3062" max="3309" width="10.42578125" style="1"/>
    <col min="3310" max="3310" width="7.42578125" style="1" customWidth="1"/>
    <col min="3311" max="3311" width="37.42578125" style="1" customWidth="1"/>
    <col min="3312" max="3312" width="10.42578125" style="1"/>
    <col min="3313" max="3313" width="9.28515625" style="1" customWidth="1"/>
    <col min="3314" max="3315" width="12.140625" style="1" customWidth="1"/>
    <col min="3316" max="3316" width="16" style="1" customWidth="1"/>
    <col min="3317" max="3317" width="26.28515625" style="1" customWidth="1"/>
    <col min="3318" max="3565" width="10.42578125" style="1"/>
    <col min="3566" max="3566" width="7.42578125" style="1" customWidth="1"/>
    <col min="3567" max="3567" width="37.42578125" style="1" customWidth="1"/>
    <col min="3568" max="3568" width="10.42578125" style="1"/>
    <col min="3569" max="3569" width="9.28515625" style="1" customWidth="1"/>
    <col min="3570" max="3571" width="12.140625" style="1" customWidth="1"/>
    <col min="3572" max="3572" width="16" style="1" customWidth="1"/>
    <col min="3573" max="3573" width="26.28515625" style="1" customWidth="1"/>
    <col min="3574" max="3821" width="10.42578125" style="1"/>
    <col min="3822" max="3822" width="7.42578125" style="1" customWidth="1"/>
    <col min="3823" max="3823" width="37.42578125" style="1" customWidth="1"/>
    <col min="3824" max="3824" width="10.42578125" style="1"/>
    <col min="3825" max="3825" width="9.28515625" style="1" customWidth="1"/>
    <col min="3826" max="3827" width="12.140625" style="1" customWidth="1"/>
    <col min="3828" max="3828" width="16" style="1" customWidth="1"/>
    <col min="3829" max="3829" width="26.28515625" style="1" customWidth="1"/>
    <col min="3830" max="4077" width="10.42578125" style="1"/>
    <col min="4078" max="4078" width="7.42578125" style="1" customWidth="1"/>
    <col min="4079" max="4079" width="37.42578125" style="1" customWidth="1"/>
    <col min="4080" max="4080" width="10.42578125" style="1"/>
    <col min="4081" max="4081" width="9.28515625" style="1" customWidth="1"/>
    <col min="4082" max="4083" width="12.140625" style="1" customWidth="1"/>
    <col min="4084" max="4084" width="16" style="1" customWidth="1"/>
    <col min="4085" max="4085" width="26.28515625" style="1" customWidth="1"/>
    <col min="4086" max="4333" width="10.42578125" style="1"/>
    <col min="4334" max="4334" width="7.42578125" style="1" customWidth="1"/>
    <col min="4335" max="4335" width="37.42578125" style="1" customWidth="1"/>
    <col min="4336" max="4336" width="10.42578125" style="1"/>
    <col min="4337" max="4337" width="9.28515625" style="1" customWidth="1"/>
    <col min="4338" max="4339" width="12.140625" style="1" customWidth="1"/>
    <col min="4340" max="4340" width="16" style="1" customWidth="1"/>
    <col min="4341" max="4341" width="26.28515625" style="1" customWidth="1"/>
    <col min="4342" max="4589" width="10.42578125" style="1"/>
    <col min="4590" max="4590" width="7.42578125" style="1" customWidth="1"/>
    <col min="4591" max="4591" width="37.42578125" style="1" customWidth="1"/>
    <col min="4592" max="4592" width="10.42578125" style="1"/>
    <col min="4593" max="4593" width="9.28515625" style="1" customWidth="1"/>
    <col min="4594" max="4595" width="12.140625" style="1" customWidth="1"/>
    <col min="4596" max="4596" width="16" style="1" customWidth="1"/>
    <col min="4597" max="4597" width="26.28515625" style="1" customWidth="1"/>
    <col min="4598" max="4845" width="10.42578125" style="1"/>
    <col min="4846" max="4846" width="7.42578125" style="1" customWidth="1"/>
    <col min="4847" max="4847" width="37.42578125" style="1" customWidth="1"/>
    <col min="4848" max="4848" width="10.42578125" style="1"/>
    <col min="4849" max="4849" width="9.28515625" style="1" customWidth="1"/>
    <col min="4850" max="4851" width="12.140625" style="1" customWidth="1"/>
    <col min="4852" max="4852" width="16" style="1" customWidth="1"/>
    <col min="4853" max="4853" width="26.28515625" style="1" customWidth="1"/>
    <col min="4854" max="5101" width="10.42578125" style="1"/>
    <col min="5102" max="5102" width="7.42578125" style="1" customWidth="1"/>
    <col min="5103" max="5103" width="37.42578125" style="1" customWidth="1"/>
    <col min="5104" max="5104" width="10.42578125" style="1"/>
    <col min="5105" max="5105" width="9.28515625" style="1" customWidth="1"/>
    <col min="5106" max="5107" width="12.140625" style="1" customWidth="1"/>
    <col min="5108" max="5108" width="16" style="1" customWidth="1"/>
    <col min="5109" max="5109" width="26.28515625" style="1" customWidth="1"/>
    <col min="5110" max="5357" width="10.42578125" style="1"/>
    <col min="5358" max="5358" width="7.42578125" style="1" customWidth="1"/>
    <col min="5359" max="5359" width="37.42578125" style="1" customWidth="1"/>
    <col min="5360" max="5360" width="10.42578125" style="1"/>
    <col min="5361" max="5361" width="9.28515625" style="1" customWidth="1"/>
    <col min="5362" max="5363" width="12.140625" style="1" customWidth="1"/>
    <col min="5364" max="5364" width="16" style="1" customWidth="1"/>
    <col min="5365" max="5365" width="26.28515625" style="1" customWidth="1"/>
    <col min="5366" max="5613" width="10.42578125" style="1"/>
    <col min="5614" max="5614" width="7.42578125" style="1" customWidth="1"/>
    <col min="5615" max="5615" width="37.42578125" style="1" customWidth="1"/>
    <col min="5616" max="5616" width="10.42578125" style="1"/>
    <col min="5617" max="5617" width="9.28515625" style="1" customWidth="1"/>
    <col min="5618" max="5619" width="12.140625" style="1" customWidth="1"/>
    <col min="5620" max="5620" width="16" style="1" customWidth="1"/>
    <col min="5621" max="5621" width="26.28515625" style="1" customWidth="1"/>
    <col min="5622" max="5869" width="10.42578125" style="1"/>
    <col min="5870" max="5870" width="7.42578125" style="1" customWidth="1"/>
    <col min="5871" max="5871" width="37.42578125" style="1" customWidth="1"/>
    <col min="5872" max="5872" width="10.42578125" style="1"/>
    <col min="5873" max="5873" width="9.28515625" style="1" customWidth="1"/>
    <col min="5874" max="5875" width="12.140625" style="1" customWidth="1"/>
    <col min="5876" max="5876" width="16" style="1" customWidth="1"/>
    <col min="5877" max="5877" width="26.28515625" style="1" customWidth="1"/>
    <col min="5878" max="6125" width="10.42578125" style="1"/>
    <col min="6126" max="6126" width="7.42578125" style="1" customWidth="1"/>
    <col min="6127" max="6127" width="37.42578125" style="1" customWidth="1"/>
    <col min="6128" max="6128" width="10.42578125" style="1"/>
    <col min="6129" max="6129" width="9.28515625" style="1" customWidth="1"/>
    <col min="6130" max="6131" width="12.140625" style="1" customWidth="1"/>
    <col min="6132" max="6132" width="16" style="1" customWidth="1"/>
    <col min="6133" max="6133" width="26.28515625" style="1" customWidth="1"/>
    <col min="6134" max="6381" width="10.42578125" style="1"/>
    <col min="6382" max="6382" width="7.42578125" style="1" customWidth="1"/>
    <col min="6383" max="6383" width="37.42578125" style="1" customWidth="1"/>
    <col min="6384" max="6384" width="10.42578125" style="1"/>
    <col min="6385" max="6385" width="9.28515625" style="1" customWidth="1"/>
    <col min="6386" max="6387" width="12.140625" style="1" customWidth="1"/>
    <col min="6388" max="6388" width="16" style="1" customWidth="1"/>
    <col min="6389" max="6389" width="26.28515625" style="1" customWidth="1"/>
    <col min="6390" max="6637" width="10.42578125" style="1"/>
    <col min="6638" max="6638" width="7.42578125" style="1" customWidth="1"/>
    <col min="6639" max="6639" width="37.42578125" style="1" customWidth="1"/>
    <col min="6640" max="6640" width="10.42578125" style="1"/>
    <col min="6641" max="6641" width="9.28515625" style="1" customWidth="1"/>
    <col min="6642" max="6643" width="12.140625" style="1" customWidth="1"/>
    <col min="6644" max="6644" width="16" style="1" customWidth="1"/>
    <col min="6645" max="6645" width="26.28515625" style="1" customWidth="1"/>
    <col min="6646" max="6893" width="10.42578125" style="1"/>
    <col min="6894" max="6894" width="7.42578125" style="1" customWidth="1"/>
    <col min="6895" max="6895" width="37.42578125" style="1" customWidth="1"/>
    <col min="6896" max="6896" width="10.42578125" style="1"/>
    <col min="6897" max="6897" width="9.28515625" style="1" customWidth="1"/>
    <col min="6898" max="6899" width="12.140625" style="1" customWidth="1"/>
    <col min="6900" max="6900" width="16" style="1" customWidth="1"/>
    <col min="6901" max="6901" width="26.28515625" style="1" customWidth="1"/>
    <col min="6902" max="7149" width="10.42578125" style="1"/>
    <col min="7150" max="7150" width="7.42578125" style="1" customWidth="1"/>
    <col min="7151" max="7151" width="37.42578125" style="1" customWidth="1"/>
    <col min="7152" max="7152" width="10.42578125" style="1"/>
    <col min="7153" max="7153" width="9.28515625" style="1" customWidth="1"/>
    <col min="7154" max="7155" width="12.140625" style="1" customWidth="1"/>
    <col min="7156" max="7156" width="16" style="1" customWidth="1"/>
    <col min="7157" max="7157" width="26.28515625" style="1" customWidth="1"/>
    <col min="7158" max="7405" width="10.42578125" style="1"/>
    <col min="7406" max="7406" width="7.42578125" style="1" customWidth="1"/>
    <col min="7407" max="7407" width="37.42578125" style="1" customWidth="1"/>
    <col min="7408" max="7408" width="10.42578125" style="1"/>
    <col min="7409" max="7409" width="9.28515625" style="1" customWidth="1"/>
    <col min="7410" max="7411" width="12.140625" style="1" customWidth="1"/>
    <col min="7412" max="7412" width="16" style="1" customWidth="1"/>
    <col min="7413" max="7413" width="26.28515625" style="1" customWidth="1"/>
    <col min="7414" max="7661" width="10.42578125" style="1"/>
    <col min="7662" max="7662" width="7.42578125" style="1" customWidth="1"/>
    <col min="7663" max="7663" width="37.42578125" style="1" customWidth="1"/>
    <col min="7664" max="7664" width="10.42578125" style="1"/>
    <col min="7665" max="7665" width="9.28515625" style="1" customWidth="1"/>
    <col min="7666" max="7667" width="12.140625" style="1" customWidth="1"/>
    <col min="7668" max="7668" width="16" style="1" customWidth="1"/>
    <col min="7669" max="7669" width="26.28515625" style="1" customWidth="1"/>
    <col min="7670" max="7917" width="10.42578125" style="1"/>
    <col min="7918" max="7918" width="7.42578125" style="1" customWidth="1"/>
    <col min="7919" max="7919" width="37.42578125" style="1" customWidth="1"/>
    <col min="7920" max="7920" width="10.42578125" style="1"/>
    <col min="7921" max="7921" width="9.28515625" style="1" customWidth="1"/>
    <col min="7922" max="7923" width="12.140625" style="1" customWidth="1"/>
    <col min="7924" max="7924" width="16" style="1" customWidth="1"/>
    <col min="7925" max="7925" width="26.28515625" style="1" customWidth="1"/>
    <col min="7926" max="8173" width="10.42578125" style="1"/>
    <col min="8174" max="8174" width="7.42578125" style="1" customWidth="1"/>
    <col min="8175" max="8175" width="37.42578125" style="1" customWidth="1"/>
    <col min="8176" max="8176" width="10.42578125" style="1"/>
    <col min="8177" max="8177" width="9.28515625" style="1" customWidth="1"/>
    <col min="8178" max="8179" width="12.140625" style="1" customWidth="1"/>
    <col min="8180" max="8180" width="16" style="1" customWidth="1"/>
    <col min="8181" max="8181" width="26.28515625" style="1" customWidth="1"/>
    <col min="8182" max="8429" width="10.42578125" style="1"/>
    <col min="8430" max="8430" width="7.42578125" style="1" customWidth="1"/>
    <col min="8431" max="8431" width="37.42578125" style="1" customWidth="1"/>
    <col min="8432" max="8432" width="10.42578125" style="1"/>
    <col min="8433" max="8433" width="9.28515625" style="1" customWidth="1"/>
    <col min="8434" max="8435" width="12.140625" style="1" customWidth="1"/>
    <col min="8436" max="8436" width="16" style="1" customWidth="1"/>
    <col min="8437" max="8437" width="26.28515625" style="1" customWidth="1"/>
    <col min="8438" max="8685" width="10.42578125" style="1"/>
    <col min="8686" max="8686" width="7.42578125" style="1" customWidth="1"/>
    <col min="8687" max="8687" width="37.42578125" style="1" customWidth="1"/>
    <col min="8688" max="8688" width="10.42578125" style="1"/>
    <col min="8689" max="8689" width="9.28515625" style="1" customWidth="1"/>
    <col min="8690" max="8691" width="12.140625" style="1" customWidth="1"/>
    <col min="8692" max="8692" width="16" style="1" customWidth="1"/>
    <col min="8693" max="8693" width="26.28515625" style="1" customWidth="1"/>
    <col min="8694" max="8941" width="10.42578125" style="1"/>
    <col min="8942" max="8942" width="7.42578125" style="1" customWidth="1"/>
    <col min="8943" max="8943" width="37.42578125" style="1" customWidth="1"/>
    <col min="8944" max="8944" width="10.42578125" style="1"/>
    <col min="8945" max="8945" width="9.28515625" style="1" customWidth="1"/>
    <col min="8946" max="8947" width="12.140625" style="1" customWidth="1"/>
    <col min="8948" max="8948" width="16" style="1" customWidth="1"/>
    <col min="8949" max="8949" width="26.28515625" style="1" customWidth="1"/>
    <col min="8950" max="9197" width="10.42578125" style="1"/>
    <col min="9198" max="9198" width="7.42578125" style="1" customWidth="1"/>
    <col min="9199" max="9199" width="37.42578125" style="1" customWidth="1"/>
    <col min="9200" max="9200" width="10.42578125" style="1"/>
    <col min="9201" max="9201" width="9.28515625" style="1" customWidth="1"/>
    <col min="9202" max="9203" width="12.140625" style="1" customWidth="1"/>
    <col min="9204" max="9204" width="16" style="1" customWidth="1"/>
    <col min="9205" max="9205" width="26.28515625" style="1" customWidth="1"/>
    <col min="9206" max="9453" width="10.42578125" style="1"/>
    <col min="9454" max="9454" width="7.42578125" style="1" customWidth="1"/>
    <col min="9455" max="9455" width="37.42578125" style="1" customWidth="1"/>
    <col min="9456" max="9456" width="10.42578125" style="1"/>
    <col min="9457" max="9457" width="9.28515625" style="1" customWidth="1"/>
    <col min="9458" max="9459" width="12.140625" style="1" customWidth="1"/>
    <col min="9460" max="9460" width="16" style="1" customWidth="1"/>
    <col min="9461" max="9461" width="26.28515625" style="1" customWidth="1"/>
    <col min="9462" max="9709" width="10.42578125" style="1"/>
    <col min="9710" max="9710" width="7.42578125" style="1" customWidth="1"/>
    <col min="9711" max="9711" width="37.42578125" style="1" customWidth="1"/>
    <col min="9712" max="9712" width="10.42578125" style="1"/>
    <col min="9713" max="9713" width="9.28515625" style="1" customWidth="1"/>
    <col min="9714" max="9715" width="12.140625" style="1" customWidth="1"/>
    <col min="9716" max="9716" width="16" style="1" customWidth="1"/>
    <col min="9717" max="9717" width="26.28515625" style="1" customWidth="1"/>
    <col min="9718" max="9965" width="10.42578125" style="1"/>
    <col min="9966" max="9966" width="7.42578125" style="1" customWidth="1"/>
    <col min="9967" max="9967" width="37.42578125" style="1" customWidth="1"/>
    <col min="9968" max="9968" width="10.42578125" style="1"/>
    <col min="9969" max="9969" width="9.28515625" style="1" customWidth="1"/>
    <col min="9970" max="9971" width="12.140625" style="1" customWidth="1"/>
    <col min="9972" max="9972" width="16" style="1" customWidth="1"/>
    <col min="9973" max="9973" width="26.28515625" style="1" customWidth="1"/>
    <col min="9974" max="10221" width="10.42578125" style="1"/>
    <col min="10222" max="10222" width="7.42578125" style="1" customWidth="1"/>
    <col min="10223" max="10223" width="37.42578125" style="1" customWidth="1"/>
    <col min="10224" max="10224" width="10.42578125" style="1"/>
    <col min="10225" max="10225" width="9.28515625" style="1" customWidth="1"/>
    <col min="10226" max="10227" width="12.140625" style="1" customWidth="1"/>
    <col min="10228" max="10228" width="16" style="1" customWidth="1"/>
    <col min="10229" max="10229" width="26.28515625" style="1" customWidth="1"/>
    <col min="10230" max="10477" width="10.42578125" style="1"/>
    <col min="10478" max="10478" width="7.42578125" style="1" customWidth="1"/>
    <col min="10479" max="10479" width="37.42578125" style="1" customWidth="1"/>
    <col min="10480" max="10480" width="10.42578125" style="1"/>
    <col min="10481" max="10481" width="9.28515625" style="1" customWidth="1"/>
    <col min="10482" max="10483" width="12.140625" style="1" customWidth="1"/>
    <col min="10484" max="10484" width="16" style="1" customWidth="1"/>
    <col min="10485" max="10485" width="26.28515625" style="1" customWidth="1"/>
    <col min="10486" max="10733" width="10.42578125" style="1"/>
    <col min="10734" max="10734" width="7.42578125" style="1" customWidth="1"/>
    <col min="10735" max="10735" width="37.42578125" style="1" customWidth="1"/>
    <col min="10736" max="10736" width="10.42578125" style="1"/>
    <col min="10737" max="10737" width="9.28515625" style="1" customWidth="1"/>
    <col min="10738" max="10739" width="12.140625" style="1" customWidth="1"/>
    <col min="10740" max="10740" width="16" style="1" customWidth="1"/>
    <col min="10741" max="10741" width="26.28515625" style="1" customWidth="1"/>
    <col min="10742" max="10989" width="10.42578125" style="1"/>
    <col min="10990" max="10990" width="7.42578125" style="1" customWidth="1"/>
    <col min="10991" max="10991" width="37.42578125" style="1" customWidth="1"/>
    <col min="10992" max="10992" width="10.42578125" style="1"/>
    <col min="10993" max="10993" width="9.28515625" style="1" customWidth="1"/>
    <col min="10994" max="10995" width="12.140625" style="1" customWidth="1"/>
    <col min="10996" max="10996" width="16" style="1" customWidth="1"/>
    <col min="10997" max="10997" width="26.28515625" style="1" customWidth="1"/>
    <col min="10998" max="11245" width="10.42578125" style="1"/>
    <col min="11246" max="11246" width="7.42578125" style="1" customWidth="1"/>
    <col min="11247" max="11247" width="37.42578125" style="1" customWidth="1"/>
    <col min="11248" max="11248" width="10.42578125" style="1"/>
    <col min="11249" max="11249" width="9.28515625" style="1" customWidth="1"/>
    <col min="11250" max="11251" width="12.140625" style="1" customWidth="1"/>
    <col min="11252" max="11252" width="16" style="1" customWidth="1"/>
    <col min="11253" max="11253" width="26.28515625" style="1" customWidth="1"/>
    <col min="11254" max="11501" width="10.42578125" style="1"/>
    <col min="11502" max="11502" width="7.42578125" style="1" customWidth="1"/>
    <col min="11503" max="11503" width="37.42578125" style="1" customWidth="1"/>
    <col min="11504" max="11504" width="10.42578125" style="1"/>
    <col min="11505" max="11505" width="9.28515625" style="1" customWidth="1"/>
    <col min="11506" max="11507" width="12.140625" style="1" customWidth="1"/>
    <col min="11508" max="11508" width="16" style="1" customWidth="1"/>
    <col min="11509" max="11509" width="26.28515625" style="1" customWidth="1"/>
    <col min="11510" max="11757" width="10.42578125" style="1"/>
    <col min="11758" max="11758" width="7.42578125" style="1" customWidth="1"/>
    <col min="11759" max="11759" width="37.42578125" style="1" customWidth="1"/>
    <col min="11760" max="11760" width="10.42578125" style="1"/>
    <col min="11761" max="11761" width="9.28515625" style="1" customWidth="1"/>
    <col min="11762" max="11763" width="12.140625" style="1" customWidth="1"/>
    <col min="11764" max="11764" width="16" style="1" customWidth="1"/>
    <col min="11765" max="11765" width="26.28515625" style="1" customWidth="1"/>
    <col min="11766" max="12013" width="10.42578125" style="1"/>
    <col min="12014" max="12014" width="7.42578125" style="1" customWidth="1"/>
    <col min="12015" max="12015" width="37.42578125" style="1" customWidth="1"/>
    <col min="12016" max="12016" width="10.42578125" style="1"/>
    <col min="12017" max="12017" width="9.28515625" style="1" customWidth="1"/>
    <col min="12018" max="12019" width="12.140625" style="1" customWidth="1"/>
    <col min="12020" max="12020" width="16" style="1" customWidth="1"/>
    <col min="12021" max="12021" width="26.28515625" style="1" customWidth="1"/>
    <col min="12022" max="12269" width="10.42578125" style="1"/>
    <col min="12270" max="12270" width="7.42578125" style="1" customWidth="1"/>
    <col min="12271" max="12271" width="37.42578125" style="1" customWidth="1"/>
    <col min="12272" max="12272" width="10.42578125" style="1"/>
    <col min="12273" max="12273" width="9.28515625" style="1" customWidth="1"/>
    <col min="12274" max="12275" width="12.140625" style="1" customWidth="1"/>
    <col min="12276" max="12276" width="16" style="1" customWidth="1"/>
    <col min="12277" max="12277" width="26.28515625" style="1" customWidth="1"/>
    <col min="12278" max="12525" width="10.42578125" style="1"/>
    <col min="12526" max="12526" width="7.42578125" style="1" customWidth="1"/>
    <col min="12527" max="12527" width="37.42578125" style="1" customWidth="1"/>
    <col min="12528" max="12528" width="10.42578125" style="1"/>
    <col min="12529" max="12529" width="9.28515625" style="1" customWidth="1"/>
    <col min="12530" max="12531" width="12.140625" style="1" customWidth="1"/>
    <col min="12532" max="12532" width="16" style="1" customWidth="1"/>
    <col min="12533" max="12533" width="26.28515625" style="1" customWidth="1"/>
    <col min="12534" max="12781" width="10.42578125" style="1"/>
    <col min="12782" max="12782" width="7.42578125" style="1" customWidth="1"/>
    <col min="12783" max="12783" width="37.42578125" style="1" customWidth="1"/>
    <col min="12784" max="12784" width="10.42578125" style="1"/>
    <col min="12785" max="12785" width="9.28515625" style="1" customWidth="1"/>
    <col min="12786" max="12787" width="12.140625" style="1" customWidth="1"/>
    <col min="12788" max="12788" width="16" style="1" customWidth="1"/>
    <col min="12789" max="12789" width="26.28515625" style="1" customWidth="1"/>
    <col min="12790" max="13037" width="10.42578125" style="1"/>
    <col min="13038" max="13038" width="7.42578125" style="1" customWidth="1"/>
    <col min="13039" max="13039" width="37.42578125" style="1" customWidth="1"/>
    <col min="13040" max="13040" width="10.42578125" style="1"/>
    <col min="13041" max="13041" width="9.28515625" style="1" customWidth="1"/>
    <col min="13042" max="13043" width="12.140625" style="1" customWidth="1"/>
    <col min="13044" max="13044" width="16" style="1" customWidth="1"/>
    <col min="13045" max="13045" width="26.28515625" style="1" customWidth="1"/>
    <col min="13046" max="13293" width="10.42578125" style="1"/>
    <col min="13294" max="13294" width="7.42578125" style="1" customWidth="1"/>
    <col min="13295" max="13295" width="37.42578125" style="1" customWidth="1"/>
    <col min="13296" max="13296" width="10.42578125" style="1"/>
    <col min="13297" max="13297" width="9.28515625" style="1" customWidth="1"/>
    <col min="13298" max="13299" width="12.140625" style="1" customWidth="1"/>
    <col min="13300" max="13300" width="16" style="1" customWidth="1"/>
    <col min="13301" max="13301" width="26.28515625" style="1" customWidth="1"/>
    <col min="13302" max="13549" width="10.42578125" style="1"/>
    <col min="13550" max="13550" width="7.42578125" style="1" customWidth="1"/>
    <col min="13551" max="13551" width="37.42578125" style="1" customWidth="1"/>
    <col min="13552" max="13552" width="10.42578125" style="1"/>
    <col min="13553" max="13553" width="9.28515625" style="1" customWidth="1"/>
    <col min="13554" max="13555" width="12.140625" style="1" customWidth="1"/>
    <col min="13556" max="13556" width="16" style="1" customWidth="1"/>
    <col min="13557" max="13557" width="26.28515625" style="1" customWidth="1"/>
    <col min="13558" max="13805" width="10.42578125" style="1"/>
    <col min="13806" max="13806" width="7.42578125" style="1" customWidth="1"/>
    <col min="13807" max="13807" width="37.42578125" style="1" customWidth="1"/>
    <col min="13808" max="13808" width="10.42578125" style="1"/>
    <col min="13809" max="13809" width="9.28515625" style="1" customWidth="1"/>
    <col min="13810" max="13811" width="12.140625" style="1" customWidth="1"/>
    <col min="13812" max="13812" width="16" style="1" customWidth="1"/>
    <col min="13813" max="13813" width="26.28515625" style="1" customWidth="1"/>
    <col min="13814" max="14061" width="10.42578125" style="1"/>
    <col min="14062" max="14062" width="7.42578125" style="1" customWidth="1"/>
    <col min="14063" max="14063" width="37.42578125" style="1" customWidth="1"/>
    <col min="14064" max="14064" width="10.42578125" style="1"/>
    <col min="14065" max="14065" width="9.28515625" style="1" customWidth="1"/>
    <col min="14066" max="14067" width="12.140625" style="1" customWidth="1"/>
    <col min="14068" max="14068" width="16" style="1" customWidth="1"/>
    <col min="14069" max="14069" width="26.28515625" style="1" customWidth="1"/>
    <col min="14070" max="14317" width="10.42578125" style="1"/>
    <col min="14318" max="14318" width="7.42578125" style="1" customWidth="1"/>
    <col min="14319" max="14319" width="37.42578125" style="1" customWidth="1"/>
    <col min="14320" max="14320" width="10.42578125" style="1"/>
    <col min="14321" max="14321" width="9.28515625" style="1" customWidth="1"/>
    <col min="14322" max="14323" width="12.140625" style="1" customWidth="1"/>
    <col min="14324" max="14324" width="16" style="1" customWidth="1"/>
    <col min="14325" max="14325" width="26.28515625" style="1" customWidth="1"/>
    <col min="14326" max="14573" width="10.42578125" style="1"/>
    <col min="14574" max="14574" width="7.42578125" style="1" customWidth="1"/>
    <col min="14575" max="14575" width="37.42578125" style="1" customWidth="1"/>
    <col min="14576" max="14576" width="10.42578125" style="1"/>
    <col min="14577" max="14577" width="9.28515625" style="1" customWidth="1"/>
    <col min="14578" max="14579" width="12.140625" style="1" customWidth="1"/>
    <col min="14580" max="14580" width="16" style="1" customWidth="1"/>
    <col min="14581" max="14581" width="26.28515625" style="1" customWidth="1"/>
    <col min="14582" max="14829" width="10.42578125" style="1"/>
    <col min="14830" max="14830" width="7.42578125" style="1" customWidth="1"/>
    <col min="14831" max="14831" width="37.42578125" style="1" customWidth="1"/>
    <col min="14832" max="14832" width="10.42578125" style="1"/>
    <col min="14833" max="14833" width="9.28515625" style="1" customWidth="1"/>
    <col min="14834" max="14835" width="12.140625" style="1" customWidth="1"/>
    <col min="14836" max="14836" width="16" style="1" customWidth="1"/>
    <col min="14837" max="14837" width="26.28515625" style="1" customWidth="1"/>
    <col min="14838" max="15085" width="10.42578125" style="1"/>
    <col min="15086" max="15086" width="7.42578125" style="1" customWidth="1"/>
    <col min="15087" max="15087" width="37.42578125" style="1" customWidth="1"/>
    <col min="15088" max="15088" width="10.42578125" style="1"/>
    <col min="15089" max="15089" width="9.28515625" style="1" customWidth="1"/>
    <col min="15090" max="15091" width="12.140625" style="1" customWidth="1"/>
    <col min="15092" max="15092" width="16" style="1" customWidth="1"/>
    <col min="15093" max="15093" width="26.28515625" style="1" customWidth="1"/>
    <col min="15094" max="15341" width="10.42578125" style="1"/>
    <col min="15342" max="15342" width="7.42578125" style="1" customWidth="1"/>
    <col min="15343" max="15343" width="37.42578125" style="1" customWidth="1"/>
    <col min="15344" max="15344" width="10.42578125" style="1"/>
    <col min="15345" max="15345" width="9.28515625" style="1" customWidth="1"/>
    <col min="15346" max="15347" width="12.140625" style="1" customWidth="1"/>
    <col min="15348" max="15348" width="16" style="1" customWidth="1"/>
    <col min="15349" max="15349" width="26.28515625" style="1" customWidth="1"/>
    <col min="15350" max="15597" width="10.42578125" style="1"/>
    <col min="15598" max="15598" width="7.42578125" style="1" customWidth="1"/>
    <col min="15599" max="15599" width="37.42578125" style="1" customWidth="1"/>
    <col min="15600" max="15600" width="10.42578125" style="1"/>
    <col min="15601" max="15601" width="9.28515625" style="1" customWidth="1"/>
    <col min="15602" max="15603" width="12.140625" style="1" customWidth="1"/>
    <col min="15604" max="15604" width="16" style="1" customWidth="1"/>
    <col min="15605" max="15605" width="26.28515625" style="1" customWidth="1"/>
    <col min="15606" max="15853" width="10.42578125" style="1"/>
    <col min="15854" max="15854" width="7.42578125" style="1" customWidth="1"/>
    <col min="15855" max="15855" width="37.42578125" style="1" customWidth="1"/>
    <col min="15856" max="15856" width="10.42578125" style="1"/>
    <col min="15857" max="15857" width="9.28515625" style="1" customWidth="1"/>
    <col min="15858" max="15859" width="12.140625" style="1" customWidth="1"/>
    <col min="15860" max="15860" width="16" style="1" customWidth="1"/>
    <col min="15861" max="15861" width="26.28515625" style="1" customWidth="1"/>
    <col min="15862" max="16109" width="10.42578125" style="1"/>
    <col min="16110" max="16110" width="7.42578125" style="1" customWidth="1"/>
    <col min="16111" max="16111" width="37.42578125" style="1" customWidth="1"/>
    <col min="16112" max="16112" width="10.42578125" style="1"/>
    <col min="16113" max="16113" width="9.28515625" style="1" customWidth="1"/>
    <col min="16114" max="16115" width="12.140625" style="1" customWidth="1"/>
    <col min="16116" max="16116" width="16" style="1" customWidth="1"/>
    <col min="16117" max="16117" width="26.28515625" style="1" customWidth="1"/>
    <col min="16118" max="16384" width="10.42578125" style="1"/>
  </cols>
  <sheetData>
    <row r="1" spans="1:9" ht="16.5" customHeight="1">
      <c r="B1" s="2"/>
      <c r="C1" s="3" t="s">
        <v>0</v>
      </c>
      <c r="D1" s="4"/>
      <c r="E1" s="5"/>
      <c r="F1" s="6"/>
      <c r="G1" s="672" t="s">
        <v>1</v>
      </c>
      <c r="H1" s="938"/>
    </row>
    <row r="3" spans="1:9" s="73" customFormat="1">
      <c r="B3" s="74" t="s">
        <v>35</v>
      </c>
      <c r="C3" s="75" t="s">
        <v>9</v>
      </c>
      <c r="D3" s="1175"/>
      <c r="E3" s="77"/>
      <c r="F3" s="78"/>
      <c r="G3" s="79"/>
    </row>
    <row r="4" spans="1:9" s="73" customFormat="1" ht="12" customHeight="1">
      <c r="B4" s="80"/>
      <c r="C4" s="81"/>
      <c r="D4" s="1176"/>
      <c r="E4" s="83"/>
      <c r="F4" s="84"/>
      <c r="G4" s="85"/>
    </row>
    <row r="5" spans="1:9" s="86" customFormat="1" ht="14.25">
      <c r="B5" s="74" t="s">
        <v>37</v>
      </c>
      <c r="C5" s="75" t="s">
        <v>1688</v>
      </c>
      <c r="D5" s="1175"/>
      <c r="E5" s="77"/>
      <c r="F5" s="78"/>
      <c r="G5" s="79"/>
    </row>
    <row r="6" spans="1:9" s="86" customFormat="1" ht="14.25">
      <c r="B6" s="80"/>
      <c r="C6" s="81"/>
      <c r="D6" s="1176"/>
      <c r="E6" s="83"/>
      <c r="F6" s="84"/>
      <c r="G6" s="88"/>
    </row>
    <row r="7" spans="1:9" s="14" customFormat="1" ht="18" customHeight="1">
      <c r="A7" s="9"/>
      <c r="B7" s="10" t="s">
        <v>38</v>
      </c>
      <c r="C7" s="11"/>
      <c r="D7" s="1177"/>
      <c r="E7" s="12"/>
      <c r="F7" s="12"/>
      <c r="G7" s="13"/>
    </row>
    <row r="8" spans="1:9" s="14" customFormat="1" ht="18" customHeight="1">
      <c r="A8" s="15"/>
      <c r="B8" s="16" t="s">
        <v>39</v>
      </c>
      <c r="C8" s="17"/>
      <c r="D8" s="1179"/>
      <c r="E8" s="19"/>
      <c r="F8" s="19"/>
      <c r="G8" s="18"/>
    </row>
    <row r="9" spans="1:9" s="14" customFormat="1" ht="18" customHeight="1">
      <c r="A9" s="9"/>
      <c r="B9" s="10" t="s">
        <v>4</v>
      </c>
      <c r="C9" s="11"/>
      <c r="D9" s="1180"/>
      <c r="E9" s="12"/>
      <c r="F9" s="12"/>
      <c r="G9" s="13"/>
    </row>
    <row r="10" spans="1:9" s="14" customFormat="1" ht="18" customHeight="1">
      <c r="A10" s="15"/>
      <c r="B10" s="16" t="s">
        <v>5</v>
      </c>
      <c r="C10" s="17"/>
      <c r="D10" s="1181"/>
      <c r="E10" s="19"/>
      <c r="F10" s="19"/>
      <c r="G10" s="18"/>
    </row>
    <row r="11" spans="1:9" s="86" customFormat="1" ht="14.25">
      <c r="B11" s="89"/>
      <c r="C11" s="90"/>
      <c r="D11" s="1182"/>
      <c r="E11" s="92"/>
      <c r="F11" s="93"/>
      <c r="G11" s="94"/>
    </row>
    <row r="12" spans="1:9" s="86" customFormat="1" ht="14.25">
      <c r="B12" s="95"/>
      <c r="C12" s="96" t="s">
        <v>40</v>
      </c>
      <c r="D12" s="1183"/>
      <c r="E12" s="98"/>
      <c r="F12" s="99"/>
      <c r="G12" s="100"/>
    </row>
    <row r="13" spans="1:9" s="101" customFormat="1">
      <c r="B13" s="95" t="s">
        <v>41</v>
      </c>
      <c r="C13" s="102" t="s">
        <v>42</v>
      </c>
      <c r="D13" s="1183"/>
      <c r="E13" s="104"/>
      <c r="F13" s="105"/>
      <c r="G13" s="106" t="s">
        <v>10</v>
      </c>
      <c r="H13" s="73"/>
      <c r="I13" s="73"/>
    </row>
    <row r="14" spans="1:9" s="101" customFormat="1">
      <c r="B14" s="107" t="s">
        <v>43</v>
      </c>
      <c r="C14" s="108" t="s">
        <v>44</v>
      </c>
      <c r="D14" s="1185"/>
      <c r="E14" s="110"/>
      <c r="F14" s="111"/>
      <c r="G14" s="112">
        <f>G35</f>
        <v>0</v>
      </c>
      <c r="H14" s="73"/>
      <c r="I14" s="73"/>
    </row>
    <row r="15" spans="1:9" s="101" customFormat="1">
      <c r="B15" s="107" t="s">
        <v>45</v>
      </c>
      <c r="C15" s="108" t="s">
        <v>46</v>
      </c>
      <c r="D15" s="1185"/>
      <c r="E15" s="110"/>
      <c r="F15" s="111"/>
      <c r="G15" s="112">
        <f>G90</f>
        <v>0</v>
      </c>
      <c r="H15" s="73"/>
      <c r="I15" s="73"/>
    </row>
    <row r="16" spans="1:9" s="101" customFormat="1">
      <c r="B16" s="107" t="s">
        <v>47</v>
      </c>
      <c r="C16" s="108" t="s">
        <v>48</v>
      </c>
      <c r="D16" s="1185"/>
      <c r="E16" s="110"/>
      <c r="F16" s="111"/>
      <c r="G16" s="112">
        <f>G206</f>
        <v>0</v>
      </c>
      <c r="H16" s="73"/>
      <c r="I16" s="73"/>
    </row>
    <row r="17" spans="2:9" s="101" customFormat="1">
      <c r="B17" s="113"/>
      <c r="C17" s="114" t="s">
        <v>49</v>
      </c>
      <c r="D17" s="1187"/>
      <c r="E17" s="116"/>
      <c r="F17" s="117"/>
      <c r="G17" s="50">
        <f>SUM(G14:G16)</f>
        <v>0</v>
      </c>
      <c r="H17" s="73"/>
      <c r="I17" s="73"/>
    </row>
    <row r="18" spans="2:9">
      <c r="B18" s="61"/>
      <c r="C18" s="62"/>
      <c r="D18" s="63"/>
      <c r="E18" s="64"/>
      <c r="F18" s="65"/>
    </row>
    <row r="19" spans="2:9">
      <c r="G19" s="118"/>
    </row>
    <row r="20" spans="2:9" ht="12.75" customHeight="1">
      <c r="B20" s="119" t="s">
        <v>50</v>
      </c>
      <c r="C20" s="120" t="s">
        <v>51</v>
      </c>
      <c r="D20" s="120" t="s">
        <v>52</v>
      </c>
      <c r="E20" s="122" t="s">
        <v>53</v>
      </c>
      <c r="F20" s="123" t="s">
        <v>54</v>
      </c>
      <c r="G20" s="124" t="s">
        <v>55</v>
      </c>
    </row>
    <row r="21" spans="2:9">
      <c r="B21" s="125"/>
      <c r="C21" s="126"/>
      <c r="D21" s="140"/>
      <c r="E21" s="128"/>
      <c r="F21" s="129"/>
      <c r="G21" s="130"/>
    </row>
    <row r="22" spans="2:9" s="138" customFormat="1" ht="20.25">
      <c r="B22" s="131" t="s">
        <v>43</v>
      </c>
      <c r="C22" s="132" t="s">
        <v>44</v>
      </c>
      <c r="D22" s="165"/>
      <c r="E22" s="134"/>
      <c r="F22" s="135"/>
      <c r="G22" s="136"/>
    </row>
    <row r="23" spans="2:9" ht="27.75" customHeight="1">
      <c r="B23" s="125">
        <v>1</v>
      </c>
      <c r="C23" s="139" t="s">
        <v>56</v>
      </c>
      <c r="D23" s="140" t="s">
        <v>57</v>
      </c>
      <c r="E23" s="198">
        <v>1853</v>
      </c>
      <c r="F23" s="1191">
        <v>0</v>
      </c>
      <c r="G23" s="1083">
        <f t="shared" ref="G23" si="0">E23*F23</f>
        <v>0</v>
      </c>
    </row>
    <row r="24" spans="2:9">
      <c r="B24" s="125">
        <v>2</v>
      </c>
      <c r="C24" s="139" t="s">
        <v>58</v>
      </c>
      <c r="D24" s="140" t="s">
        <v>57</v>
      </c>
      <c r="E24" s="198">
        <v>1853</v>
      </c>
      <c r="F24" s="1191">
        <v>0</v>
      </c>
      <c r="G24" s="1083">
        <f>E24*F24</f>
        <v>0</v>
      </c>
    </row>
    <row r="25" spans="2:9" ht="53.25" customHeight="1">
      <c r="B25" s="125">
        <v>3</v>
      </c>
      <c r="C25" s="139" t="s">
        <v>59</v>
      </c>
      <c r="D25" s="140" t="s">
        <v>60</v>
      </c>
      <c r="E25" s="198">
        <v>1</v>
      </c>
      <c r="F25" s="1191">
        <v>0</v>
      </c>
      <c r="G25" s="1083">
        <f t="shared" ref="G25:G34" si="1">E25*F25</f>
        <v>0</v>
      </c>
    </row>
    <row r="26" spans="2:9" ht="124.5" customHeight="1">
      <c r="B26" s="125">
        <v>4</v>
      </c>
      <c r="C26" s="144" t="s">
        <v>61</v>
      </c>
      <c r="D26" s="145" t="s">
        <v>60</v>
      </c>
      <c r="E26" s="198">
        <v>1</v>
      </c>
      <c r="F26" s="1191">
        <v>0</v>
      </c>
      <c r="G26" s="1083">
        <f t="shared" si="1"/>
        <v>0</v>
      </c>
    </row>
    <row r="27" spans="2:9" ht="30.75" customHeight="1">
      <c r="B27" s="125">
        <v>5</v>
      </c>
      <c r="C27" s="144" t="s">
        <v>62</v>
      </c>
      <c r="D27" s="146" t="s">
        <v>60</v>
      </c>
      <c r="E27" s="198">
        <v>1</v>
      </c>
      <c r="F27" s="1191">
        <v>0</v>
      </c>
      <c r="G27" s="1083">
        <f t="shared" si="1"/>
        <v>0</v>
      </c>
    </row>
    <row r="28" spans="2:9" ht="27" customHeight="1">
      <c r="B28" s="125">
        <v>6</v>
      </c>
      <c r="C28" s="147" t="s">
        <v>63</v>
      </c>
      <c r="D28" s="140" t="s">
        <v>57</v>
      </c>
      <c r="E28" s="198">
        <v>1853</v>
      </c>
      <c r="F28" s="1191">
        <v>0</v>
      </c>
      <c r="G28" s="1083">
        <f t="shared" si="1"/>
        <v>0</v>
      </c>
    </row>
    <row r="29" spans="2:9" ht="52.5" customHeight="1">
      <c r="B29" s="125">
        <v>7</v>
      </c>
      <c r="C29" s="147" t="s">
        <v>64</v>
      </c>
      <c r="D29" s="146" t="s">
        <v>60</v>
      </c>
      <c r="E29" s="198">
        <v>2</v>
      </c>
      <c r="F29" s="1191">
        <v>0</v>
      </c>
      <c r="G29" s="1083">
        <f t="shared" si="1"/>
        <v>0</v>
      </c>
    </row>
    <row r="30" spans="2:9" ht="36.75" customHeight="1">
      <c r="B30" s="125">
        <v>8</v>
      </c>
      <c r="C30" s="1080" t="s">
        <v>2294</v>
      </c>
      <c r="D30" s="146" t="s">
        <v>57</v>
      </c>
      <c r="E30" s="198">
        <v>1853</v>
      </c>
      <c r="F30" s="1191">
        <v>0</v>
      </c>
      <c r="G30" s="1083">
        <f t="shared" si="1"/>
        <v>0</v>
      </c>
    </row>
    <row r="31" spans="2:9" ht="27.75" customHeight="1">
      <c r="B31" s="125">
        <v>9</v>
      </c>
      <c r="C31" s="1080" t="s">
        <v>2293</v>
      </c>
      <c r="D31" s="146" t="s">
        <v>57</v>
      </c>
      <c r="E31" s="198">
        <v>1853</v>
      </c>
      <c r="F31" s="1191">
        <v>0</v>
      </c>
      <c r="G31" s="1083">
        <f t="shared" si="1"/>
        <v>0</v>
      </c>
    </row>
    <row r="32" spans="2:9" ht="14.25" customHeight="1">
      <c r="B32" s="125">
        <v>10</v>
      </c>
      <c r="C32" s="147" t="s">
        <v>67</v>
      </c>
      <c r="D32" s="146" t="s">
        <v>60</v>
      </c>
      <c r="E32" s="198">
        <v>1</v>
      </c>
      <c r="F32" s="1191">
        <v>0</v>
      </c>
      <c r="G32" s="1083">
        <f t="shared" si="1"/>
        <v>0</v>
      </c>
    </row>
    <row r="33" spans="2:7" ht="38.25" customHeight="1">
      <c r="B33" s="125">
        <v>11</v>
      </c>
      <c r="C33" s="148" t="s">
        <v>68</v>
      </c>
      <c r="D33" s="146" t="s">
        <v>60</v>
      </c>
      <c r="E33" s="198">
        <v>1</v>
      </c>
      <c r="F33" s="1191">
        <v>0</v>
      </c>
      <c r="G33" s="1083">
        <f t="shared" si="1"/>
        <v>0</v>
      </c>
    </row>
    <row r="34" spans="2:7" ht="39.75" customHeight="1">
      <c r="B34" s="125">
        <v>12</v>
      </c>
      <c r="C34" s="150" t="s">
        <v>69</v>
      </c>
      <c r="D34" s="146" t="s">
        <v>60</v>
      </c>
      <c r="E34" s="198">
        <v>1</v>
      </c>
      <c r="F34" s="1191">
        <v>0</v>
      </c>
      <c r="G34" s="1083">
        <f t="shared" si="1"/>
        <v>0</v>
      </c>
    </row>
    <row r="35" spans="2:7">
      <c r="B35" s="151" t="s">
        <v>43</v>
      </c>
      <c r="C35" s="152" t="s">
        <v>70</v>
      </c>
      <c r="D35" s="185"/>
      <c r="E35" s="741"/>
      <c r="F35" s="1122"/>
      <c r="G35" s="263">
        <f>SUM(G23:G34)</f>
        <v>0</v>
      </c>
    </row>
    <row r="36" spans="2:7">
      <c r="B36" s="125"/>
      <c r="C36" s="126"/>
      <c r="D36" s="140"/>
      <c r="E36" s="128"/>
      <c r="F36" s="129"/>
      <c r="G36" s="130"/>
    </row>
    <row r="37" spans="2:7">
      <c r="B37" s="1202" t="s">
        <v>50</v>
      </c>
      <c r="C37" s="1203" t="s">
        <v>51</v>
      </c>
      <c r="D37" s="1203" t="s">
        <v>52</v>
      </c>
      <c r="E37" s="1204" t="s">
        <v>53</v>
      </c>
      <c r="F37" s="1205" t="s">
        <v>54</v>
      </c>
      <c r="G37" s="1206" t="s">
        <v>55</v>
      </c>
    </row>
    <row r="38" spans="2:7">
      <c r="B38" s="125"/>
      <c r="C38" s="163"/>
      <c r="D38" s="140"/>
      <c r="E38" s="128"/>
      <c r="F38" s="129"/>
      <c r="G38" s="130"/>
    </row>
    <row r="39" spans="2:7" s="138" customFormat="1" ht="20.25">
      <c r="B39" s="131" t="s">
        <v>45</v>
      </c>
      <c r="C39" s="164" t="s">
        <v>71</v>
      </c>
      <c r="D39" s="165"/>
      <c r="E39" s="134"/>
      <c r="F39" s="135"/>
      <c r="G39" s="136"/>
    </row>
    <row r="40" spans="2:7" s="166" customFormat="1" ht="71.25" customHeight="1">
      <c r="B40" s="2399" t="s">
        <v>72</v>
      </c>
      <c r="C40" s="2400"/>
      <c r="D40" s="2400"/>
      <c r="E40" s="2400"/>
      <c r="F40" s="2400"/>
      <c r="G40" s="2401"/>
    </row>
    <row r="41" spans="2:7" ht="27.75" customHeight="1">
      <c r="B41" s="167">
        <v>1</v>
      </c>
      <c r="C41" s="139" t="s">
        <v>73</v>
      </c>
      <c r="D41" s="140" t="s">
        <v>74</v>
      </c>
      <c r="E41" s="128">
        <v>138</v>
      </c>
      <c r="F41" s="141">
        <v>0</v>
      </c>
      <c r="G41" s="142">
        <f t="shared" ref="G41:G89" si="2">E41*F41</f>
        <v>0</v>
      </c>
    </row>
    <row r="42" spans="2:7" ht="39" customHeight="1">
      <c r="B42" s="167">
        <v>2</v>
      </c>
      <c r="C42" s="171" t="s">
        <v>246</v>
      </c>
      <c r="D42" s="277" t="s">
        <v>57</v>
      </c>
      <c r="E42" s="173">
        <v>18</v>
      </c>
      <c r="F42" s="141">
        <v>0</v>
      </c>
      <c r="G42" s="175">
        <f t="shared" si="2"/>
        <v>0</v>
      </c>
    </row>
    <row r="43" spans="2:7" ht="36">
      <c r="B43" s="167">
        <v>3</v>
      </c>
      <c r="C43" s="139" t="s">
        <v>1499</v>
      </c>
      <c r="D43" s="145" t="s">
        <v>74</v>
      </c>
      <c r="E43" s="128">
        <v>114</v>
      </c>
      <c r="F43" s="141">
        <v>0</v>
      </c>
      <c r="G43" s="142">
        <f t="shared" si="2"/>
        <v>0</v>
      </c>
    </row>
    <row r="44" spans="2:7" ht="39.75" customHeight="1">
      <c r="B44" s="167">
        <v>4</v>
      </c>
      <c r="C44" s="139" t="s">
        <v>1500</v>
      </c>
      <c r="D44" s="145" t="s">
        <v>74</v>
      </c>
      <c r="E44" s="128">
        <v>5575</v>
      </c>
      <c r="F44" s="141">
        <v>0</v>
      </c>
      <c r="G44" s="142">
        <f t="shared" si="2"/>
        <v>0</v>
      </c>
    </row>
    <row r="45" spans="2:7" ht="29.25" customHeight="1">
      <c r="B45" s="167">
        <v>5</v>
      </c>
      <c r="C45" s="716" t="s">
        <v>77</v>
      </c>
      <c r="D45" s="169" t="s">
        <v>78</v>
      </c>
      <c r="E45" s="1199">
        <v>8320</v>
      </c>
      <c r="F45" s="141">
        <v>0</v>
      </c>
      <c r="G45" s="142">
        <f t="shared" si="2"/>
        <v>0</v>
      </c>
    </row>
    <row r="46" spans="2:7" ht="29.25" customHeight="1">
      <c r="B46" s="167">
        <v>6</v>
      </c>
      <c r="C46" s="139" t="s">
        <v>79</v>
      </c>
      <c r="D46" s="145" t="s">
        <v>78</v>
      </c>
      <c r="E46" s="128">
        <v>2646</v>
      </c>
      <c r="F46" s="141">
        <v>0</v>
      </c>
      <c r="G46" s="142">
        <f t="shared" si="2"/>
        <v>0</v>
      </c>
    </row>
    <row r="47" spans="2:7" ht="27" customHeight="1">
      <c r="B47" s="167">
        <v>7</v>
      </c>
      <c r="C47" s="139" t="s">
        <v>80</v>
      </c>
      <c r="D47" s="145" t="s">
        <v>74</v>
      </c>
      <c r="E47" s="128">
        <v>1670</v>
      </c>
      <c r="F47" s="141">
        <v>0</v>
      </c>
      <c r="G47" s="142">
        <f t="shared" si="2"/>
        <v>0</v>
      </c>
    </row>
    <row r="48" spans="2:7" ht="24">
      <c r="B48" s="167">
        <v>8</v>
      </c>
      <c r="C48" s="139" t="s">
        <v>247</v>
      </c>
      <c r="D48" s="145" t="s">
        <v>74</v>
      </c>
      <c r="E48" s="128">
        <v>1098</v>
      </c>
      <c r="F48" s="141">
        <v>0</v>
      </c>
      <c r="G48" s="142">
        <f t="shared" si="2"/>
        <v>0</v>
      </c>
    </row>
    <row r="49" spans="2:8" ht="40.5" customHeight="1">
      <c r="B49" s="167">
        <v>9</v>
      </c>
      <c r="C49" s="144" t="s">
        <v>248</v>
      </c>
      <c r="D49" s="145" t="s">
        <v>74</v>
      </c>
      <c r="E49" s="128">
        <v>2380</v>
      </c>
      <c r="F49" s="141">
        <v>0</v>
      </c>
      <c r="G49" s="142">
        <f t="shared" si="2"/>
        <v>0</v>
      </c>
    </row>
    <row r="50" spans="2:8" s="166" customFormat="1" ht="39" customHeight="1">
      <c r="B50" s="167">
        <v>10</v>
      </c>
      <c r="C50" s="397" t="s">
        <v>249</v>
      </c>
      <c r="D50" s="146" t="s">
        <v>74</v>
      </c>
      <c r="E50" s="128">
        <v>770</v>
      </c>
      <c r="F50" s="141">
        <v>0</v>
      </c>
      <c r="G50" s="142">
        <f t="shared" si="2"/>
        <v>0</v>
      </c>
    </row>
    <row r="51" spans="2:8" s="179" customFormat="1" ht="54" customHeight="1">
      <c r="B51" s="2406">
        <v>11</v>
      </c>
      <c r="C51" s="276" t="s">
        <v>83</v>
      </c>
      <c r="D51" s="275"/>
      <c r="E51" s="173"/>
      <c r="F51" s="174"/>
      <c r="G51" s="175"/>
    </row>
    <row r="52" spans="2:8" s="179" customFormat="1" ht="15" customHeight="1">
      <c r="B52" s="2417"/>
      <c r="C52" s="276" t="s">
        <v>84</v>
      </c>
      <c r="D52" s="277" t="s">
        <v>57</v>
      </c>
      <c r="E52" s="173">
        <v>4</v>
      </c>
      <c r="F52" s="174">
        <v>0</v>
      </c>
      <c r="G52" s="175">
        <f t="shared" si="2"/>
        <v>0</v>
      </c>
    </row>
    <row r="53" spans="2:8" s="179" customFormat="1" ht="15" customHeight="1">
      <c r="B53" s="2407"/>
      <c r="C53" s="276" t="s">
        <v>253</v>
      </c>
      <c r="D53" s="277" t="s">
        <v>57</v>
      </c>
      <c r="E53" s="173">
        <v>6</v>
      </c>
      <c r="F53" s="174">
        <v>0</v>
      </c>
      <c r="G53" s="175">
        <f t="shared" si="2"/>
        <v>0</v>
      </c>
    </row>
    <row r="54" spans="2:8" ht="25.5" customHeight="1">
      <c r="B54" s="167">
        <v>12</v>
      </c>
      <c r="C54" s="139" t="s">
        <v>85</v>
      </c>
      <c r="D54" s="145" t="s">
        <v>57</v>
      </c>
      <c r="E54" s="128">
        <v>990</v>
      </c>
      <c r="F54" s="174">
        <v>0</v>
      </c>
      <c r="G54" s="142">
        <f t="shared" si="2"/>
        <v>0</v>
      </c>
    </row>
    <row r="55" spans="2:8" ht="24">
      <c r="B55" s="167">
        <v>13</v>
      </c>
      <c r="C55" s="139" t="s">
        <v>86</v>
      </c>
      <c r="D55" s="140" t="s">
        <v>78</v>
      </c>
      <c r="E55" s="128">
        <v>1670</v>
      </c>
      <c r="F55" s="174">
        <v>0</v>
      </c>
      <c r="G55" s="142">
        <f t="shared" si="2"/>
        <v>0</v>
      </c>
    </row>
    <row r="56" spans="2:8" ht="36">
      <c r="B56" s="125">
        <f t="shared" ref="B56" si="3">SUM(B55)+1</f>
        <v>14</v>
      </c>
      <c r="C56" s="171" t="s">
        <v>1689</v>
      </c>
      <c r="D56" s="277" t="s">
        <v>60</v>
      </c>
      <c r="E56" s="173">
        <v>3</v>
      </c>
      <c r="F56" s="174">
        <v>0</v>
      </c>
      <c r="G56" s="175">
        <f t="shared" si="2"/>
        <v>0</v>
      </c>
    </row>
    <row r="57" spans="2:8" ht="48">
      <c r="B57" s="167">
        <f>SUM(B56)+1</f>
        <v>15</v>
      </c>
      <c r="C57" s="139" t="s">
        <v>87</v>
      </c>
      <c r="D57" s="140" t="s">
        <v>78</v>
      </c>
      <c r="E57" s="128">
        <f>E55</f>
        <v>1670</v>
      </c>
      <c r="F57" s="174">
        <v>0</v>
      </c>
      <c r="G57" s="142">
        <f t="shared" si="2"/>
        <v>0</v>
      </c>
    </row>
    <row r="58" spans="2:8" ht="38.25" customHeight="1">
      <c r="B58" s="167">
        <f t="shared" ref="B58:B64" si="4">SUM(B57)+1</f>
        <v>16</v>
      </c>
      <c r="C58" s="139" t="s">
        <v>90</v>
      </c>
      <c r="D58" s="140" t="s">
        <v>78</v>
      </c>
      <c r="E58" s="128">
        <v>416</v>
      </c>
      <c r="F58" s="174">
        <v>0</v>
      </c>
      <c r="G58" s="142">
        <f>E58*F58</f>
        <v>0</v>
      </c>
    </row>
    <row r="59" spans="2:8" ht="51.75" customHeight="1">
      <c r="B59" s="167">
        <f t="shared" si="4"/>
        <v>17</v>
      </c>
      <c r="C59" s="144" t="s">
        <v>256</v>
      </c>
      <c r="D59" s="145" t="s">
        <v>78</v>
      </c>
      <c r="E59" s="128">
        <v>1585</v>
      </c>
      <c r="F59" s="174">
        <v>0</v>
      </c>
      <c r="G59" s="142">
        <f t="shared" si="2"/>
        <v>0</v>
      </c>
    </row>
    <row r="60" spans="2:8" ht="64.5" customHeight="1">
      <c r="B60" s="167">
        <f t="shared" si="4"/>
        <v>18</v>
      </c>
      <c r="C60" s="144" t="s">
        <v>258</v>
      </c>
      <c r="D60" s="145" t="s">
        <v>78</v>
      </c>
      <c r="E60" s="128">
        <v>4740</v>
      </c>
      <c r="F60" s="174">
        <v>0</v>
      </c>
      <c r="G60" s="142">
        <f t="shared" si="2"/>
        <v>0</v>
      </c>
    </row>
    <row r="61" spans="2:8" ht="51.75" customHeight="1">
      <c r="B61" s="167">
        <f>SUM(B60)+1</f>
        <v>19</v>
      </c>
      <c r="C61" s="144" t="s">
        <v>260</v>
      </c>
      <c r="D61" s="145" t="s">
        <v>78</v>
      </c>
      <c r="E61" s="128">
        <v>90</v>
      </c>
      <c r="F61" s="174">
        <v>0</v>
      </c>
      <c r="G61" s="142">
        <f t="shared" si="2"/>
        <v>0</v>
      </c>
    </row>
    <row r="62" spans="2:8" ht="64.5" customHeight="1">
      <c r="B62" s="167">
        <f t="shared" si="4"/>
        <v>20</v>
      </c>
      <c r="C62" s="144" t="s">
        <v>262</v>
      </c>
      <c r="D62" s="145" t="s">
        <v>78</v>
      </c>
      <c r="E62" s="128">
        <v>90</v>
      </c>
      <c r="F62" s="174">
        <v>0</v>
      </c>
      <c r="G62" s="142">
        <f>E62*F62</f>
        <v>0</v>
      </c>
    </row>
    <row r="63" spans="2:8" ht="84">
      <c r="B63" s="167">
        <f t="shared" si="4"/>
        <v>21</v>
      </c>
      <c r="C63" s="144" t="s">
        <v>1690</v>
      </c>
      <c r="D63" s="145" t="s">
        <v>78</v>
      </c>
      <c r="E63" s="128">
        <v>26</v>
      </c>
      <c r="F63" s="174">
        <v>0</v>
      </c>
      <c r="G63" s="142">
        <f>E63*F63</f>
        <v>0</v>
      </c>
      <c r="H63" s="1223"/>
    </row>
    <row r="64" spans="2:8" ht="51.75" customHeight="1">
      <c r="B64" s="167">
        <f t="shared" si="4"/>
        <v>22</v>
      </c>
      <c r="C64" s="139" t="s">
        <v>1583</v>
      </c>
      <c r="D64" s="145" t="s">
        <v>78</v>
      </c>
      <c r="E64" s="128">
        <v>87</v>
      </c>
      <c r="F64" s="174">
        <v>0</v>
      </c>
      <c r="G64" s="142">
        <f>E64*F64</f>
        <v>0</v>
      </c>
    </row>
    <row r="65" spans="1:9" ht="60">
      <c r="A65" s="2421"/>
      <c r="B65" s="2408">
        <v>23</v>
      </c>
      <c r="C65" s="1289" t="s">
        <v>1691</v>
      </c>
      <c r="D65" s="1221"/>
      <c r="E65" s="173"/>
      <c r="F65" s="174"/>
      <c r="G65" s="175"/>
    </row>
    <row r="66" spans="1:9">
      <c r="A66" s="2421"/>
      <c r="B66" s="2418"/>
      <c r="C66" s="1313" t="s">
        <v>1692</v>
      </c>
      <c r="D66" s="1221" t="s">
        <v>57</v>
      </c>
      <c r="E66" s="173">
        <v>30</v>
      </c>
      <c r="F66" s="174">
        <v>0</v>
      </c>
      <c r="G66" s="175">
        <f>E66*F66</f>
        <v>0</v>
      </c>
    </row>
    <row r="67" spans="1:9" s="8" customFormat="1" ht="14.25" customHeight="1">
      <c r="A67" s="2421"/>
      <c r="B67" s="2418"/>
      <c r="C67" s="1313" t="s">
        <v>1693</v>
      </c>
      <c r="D67" s="1221" t="s">
        <v>57</v>
      </c>
      <c r="E67" s="173">
        <v>30</v>
      </c>
      <c r="F67" s="174">
        <v>0</v>
      </c>
      <c r="G67" s="175">
        <f t="shared" ref="G67:G71" si="5">E67*F67</f>
        <v>0</v>
      </c>
      <c r="H67" s="1"/>
      <c r="I67" s="1"/>
    </row>
    <row r="68" spans="1:9" s="8" customFormat="1" ht="14.25" customHeight="1">
      <c r="A68" s="2421"/>
      <c r="B68" s="2418"/>
      <c r="C68" s="1313" t="s">
        <v>1694</v>
      </c>
      <c r="D68" s="1221" t="s">
        <v>57</v>
      </c>
      <c r="E68" s="173">
        <v>890</v>
      </c>
      <c r="F68" s="174">
        <v>0</v>
      </c>
      <c r="G68" s="175">
        <f t="shared" si="5"/>
        <v>0</v>
      </c>
      <c r="H68" s="1"/>
      <c r="I68" s="1"/>
    </row>
    <row r="69" spans="1:9" s="8" customFormat="1">
      <c r="A69" s="2421"/>
      <c r="B69" s="2418"/>
      <c r="C69" s="1313" t="s">
        <v>1695</v>
      </c>
      <c r="D69" s="1221" t="s">
        <v>57</v>
      </c>
      <c r="E69" s="173">
        <v>6</v>
      </c>
      <c r="F69" s="174">
        <v>0</v>
      </c>
      <c r="G69" s="175">
        <f t="shared" si="5"/>
        <v>0</v>
      </c>
      <c r="H69" s="1"/>
      <c r="I69" s="1"/>
    </row>
    <row r="70" spans="1:9" s="8" customFormat="1">
      <c r="A70" s="2421"/>
      <c r="B70" s="2418"/>
      <c r="C70" s="1313" t="s">
        <v>1696</v>
      </c>
      <c r="D70" s="1221" t="s">
        <v>57</v>
      </c>
      <c r="E70" s="173">
        <v>12</v>
      </c>
      <c r="F70" s="174">
        <v>0</v>
      </c>
      <c r="G70" s="175">
        <f t="shared" si="5"/>
        <v>0</v>
      </c>
      <c r="H70" s="1"/>
      <c r="I70" s="1"/>
    </row>
    <row r="71" spans="1:9" s="8" customFormat="1">
      <c r="A71" s="2421"/>
      <c r="B71" s="2418"/>
      <c r="C71" s="1313" t="s">
        <v>1697</v>
      </c>
      <c r="D71" s="277" t="s">
        <v>78</v>
      </c>
      <c r="E71" s="173">
        <v>15</v>
      </c>
      <c r="F71" s="174">
        <v>0</v>
      </c>
      <c r="G71" s="175">
        <f t="shared" si="5"/>
        <v>0</v>
      </c>
      <c r="H71" s="1"/>
      <c r="I71" s="1"/>
    </row>
    <row r="72" spans="1:9" ht="24">
      <c r="B72" s="167">
        <v>24</v>
      </c>
      <c r="C72" s="139" t="s">
        <v>263</v>
      </c>
      <c r="D72" s="145" t="s">
        <v>74</v>
      </c>
      <c r="E72" s="128">
        <v>138</v>
      </c>
      <c r="F72" s="174">
        <v>0</v>
      </c>
      <c r="G72" s="142">
        <f t="shared" si="2"/>
        <v>0</v>
      </c>
    </row>
    <row r="73" spans="1:9" ht="24">
      <c r="B73" s="167">
        <f>SUM(B72)+1</f>
        <v>25</v>
      </c>
      <c r="C73" s="139" t="s">
        <v>1698</v>
      </c>
      <c r="D73" s="145" t="s">
        <v>74</v>
      </c>
      <c r="E73" s="128">
        <v>4862</v>
      </c>
      <c r="F73" s="174">
        <v>0</v>
      </c>
      <c r="G73" s="142">
        <f t="shared" si="2"/>
        <v>0</v>
      </c>
    </row>
    <row r="74" spans="1:9">
      <c r="B74" s="167">
        <v>26</v>
      </c>
      <c r="C74" s="139" t="s">
        <v>93</v>
      </c>
      <c r="D74" s="145" t="s">
        <v>74</v>
      </c>
      <c r="E74" s="128">
        <v>4862</v>
      </c>
      <c r="F74" s="174">
        <v>0</v>
      </c>
      <c r="G74" s="142">
        <f t="shared" si="2"/>
        <v>0</v>
      </c>
    </row>
    <row r="75" spans="1:9" ht="24">
      <c r="B75" s="167">
        <v>27</v>
      </c>
      <c r="C75" s="139" t="s">
        <v>94</v>
      </c>
      <c r="D75" s="145" t="s">
        <v>78</v>
      </c>
      <c r="E75" s="128">
        <v>1670</v>
      </c>
      <c r="F75" s="174">
        <v>0</v>
      </c>
      <c r="G75" s="142">
        <f t="shared" si="2"/>
        <v>0</v>
      </c>
    </row>
    <row r="76" spans="1:9" ht="24">
      <c r="B76" s="167">
        <v>28</v>
      </c>
      <c r="C76" s="171" t="s">
        <v>95</v>
      </c>
      <c r="D76" s="277" t="s">
        <v>78</v>
      </c>
      <c r="E76" s="173">
        <v>890</v>
      </c>
      <c r="F76" s="174">
        <v>0</v>
      </c>
      <c r="G76" s="175">
        <f t="shared" si="2"/>
        <v>0</v>
      </c>
    </row>
    <row r="77" spans="1:9" s="166" customFormat="1" ht="51.75" customHeight="1">
      <c r="B77" s="2406">
        <v>29</v>
      </c>
      <c r="C77" s="1314" t="s">
        <v>292</v>
      </c>
      <c r="D77" s="1216"/>
      <c r="E77" s="173"/>
      <c r="F77" s="174"/>
      <c r="G77" s="175"/>
    </row>
    <row r="78" spans="1:9" s="166" customFormat="1">
      <c r="B78" s="2417"/>
      <c r="C78" s="1215" t="s">
        <v>1699</v>
      </c>
      <c r="D78" s="1216" t="s">
        <v>57</v>
      </c>
      <c r="E78" s="173">
        <v>15</v>
      </c>
      <c r="F78" s="174">
        <v>0</v>
      </c>
      <c r="G78" s="175">
        <f t="shared" si="2"/>
        <v>0</v>
      </c>
    </row>
    <row r="79" spans="1:9" ht="39.75" customHeight="1">
      <c r="B79" s="2406">
        <v>30</v>
      </c>
      <c r="C79" s="274" t="s">
        <v>295</v>
      </c>
      <c r="D79" s="277"/>
      <c r="E79" s="173"/>
      <c r="F79" s="174"/>
      <c r="G79" s="175"/>
    </row>
    <row r="80" spans="1:9" s="166" customFormat="1">
      <c r="B80" s="2417"/>
      <c r="C80" s="1215" t="s">
        <v>1700</v>
      </c>
      <c r="D80" s="1216" t="s">
        <v>57</v>
      </c>
      <c r="E80" s="173">
        <v>5</v>
      </c>
      <c r="F80" s="174">
        <v>0</v>
      </c>
      <c r="G80" s="175">
        <f t="shared" ref="G80" si="6">E80*F80</f>
        <v>0</v>
      </c>
    </row>
    <row r="81" spans="1:7" ht="25.5" customHeight="1">
      <c r="B81" s="167">
        <v>31</v>
      </c>
      <c r="C81" s="177" t="s">
        <v>96</v>
      </c>
      <c r="D81" s="140" t="s">
        <v>57</v>
      </c>
      <c r="E81" s="128">
        <v>15</v>
      </c>
      <c r="F81" s="174">
        <v>0</v>
      </c>
      <c r="G81" s="142">
        <f t="shared" si="2"/>
        <v>0</v>
      </c>
    </row>
    <row r="82" spans="1:7" ht="25.5" customHeight="1">
      <c r="B82" s="728" t="s">
        <v>1271</v>
      </c>
      <c r="C82" s="177" t="s">
        <v>268</v>
      </c>
      <c r="D82" s="140" t="s">
        <v>57</v>
      </c>
      <c r="E82" s="128">
        <v>15</v>
      </c>
      <c r="F82" s="174">
        <v>0</v>
      </c>
      <c r="G82" s="142">
        <f t="shared" si="2"/>
        <v>0</v>
      </c>
    </row>
    <row r="83" spans="1:7" ht="120">
      <c r="B83" s="167">
        <v>33</v>
      </c>
      <c r="C83" s="1289" t="s">
        <v>300</v>
      </c>
      <c r="D83" s="1221" t="s">
        <v>66</v>
      </c>
      <c r="E83" s="173">
        <v>1</v>
      </c>
      <c r="F83" s="174">
        <v>0</v>
      </c>
      <c r="G83" s="175">
        <f t="shared" si="2"/>
        <v>0</v>
      </c>
    </row>
    <row r="84" spans="1:7" ht="168">
      <c r="B84" s="167">
        <v>34</v>
      </c>
      <c r="C84" s="1289" t="s">
        <v>1666</v>
      </c>
      <c r="D84" s="1221" t="s">
        <v>66</v>
      </c>
      <c r="E84" s="173">
        <v>1</v>
      </c>
      <c r="F84" s="174">
        <v>0</v>
      </c>
      <c r="G84" s="175">
        <f t="shared" si="2"/>
        <v>0</v>
      </c>
    </row>
    <row r="85" spans="1:7" ht="144">
      <c r="B85" s="167">
        <v>35</v>
      </c>
      <c r="C85" s="1289" t="s">
        <v>1701</v>
      </c>
      <c r="D85" s="1221" t="s">
        <v>66</v>
      </c>
      <c r="E85" s="173">
        <v>1</v>
      </c>
      <c r="F85" s="174">
        <v>0</v>
      </c>
      <c r="G85" s="175">
        <f t="shared" si="2"/>
        <v>0</v>
      </c>
    </row>
    <row r="86" spans="1:7" ht="29.25" customHeight="1">
      <c r="B86" s="729">
        <v>36</v>
      </c>
      <c r="C86" s="402" t="s">
        <v>269</v>
      </c>
      <c r="D86" s="182" t="s">
        <v>74</v>
      </c>
      <c r="E86" s="128">
        <v>8</v>
      </c>
      <c r="F86" s="174">
        <v>0</v>
      </c>
      <c r="G86" s="142">
        <f t="shared" si="2"/>
        <v>0</v>
      </c>
    </row>
    <row r="87" spans="1:7" ht="36.75" customHeight="1">
      <c r="B87" s="167">
        <v>37</v>
      </c>
      <c r="C87" s="184" t="s">
        <v>270</v>
      </c>
      <c r="D87" s="182" t="s">
        <v>66</v>
      </c>
      <c r="E87" s="128">
        <v>8</v>
      </c>
      <c r="F87" s="174">
        <v>0</v>
      </c>
      <c r="G87" s="142">
        <f t="shared" si="2"/>
        <v>0</v>
      </c>
    </row>
    <row r="88" spans="1:7" ht="30" customHeight="1">
      <c r="B88" s="729">
        <v>38</v>
      </c>
      <c r="C88" s="184" t="s">
        <v>99</v>
      </c>
      <c r="D88" s="182" t="s">
        <v>74</v>
      </c>
      <c r="E88" s="128">
        <v>2</v>
      </c>
      <c r="F88" s="174">
        <v>0</v>
      </c>
      <c r="G88" s="142">
        <f t="shared" si="2"/>
        <v>0</v>
      </c>
    </row>
    <row r="89" spans="1:7" ht="28.5" customHeight="1">
      <c r="B89" s="167">
        <v>39</v>
      </c>
      <c r="C89" s="184" t="s">
        <v>100</v>
      </c>
      <c r="D89" s="182" t="s">
        <v>65</v>
      </c>
      <c r="E89" s="128">
        <v>580</v>
      </c>
      <c r="F89" s="174">
        <v>0</v>
      </c>
      <c r="G89" s="142">
        <f t="shared" si="2"/>
        <v>0</v>
      </c>
    </row>
    <row r="90" spans="1:7">
      <c r="B90" s="151" t="s">
        <v>45</v>
      </c>
      <c r="C90" s="152" t="s">
        <v>101</v>
      </c>
      <c r="D90" s="185"/>
      <c r="E90" s="154"/>
      <c r="F90" s="155"/>
      <c r="G90" s="263">
        <f>SUM(G41:G89)</f>
        <v>0</v>
      </c>
    </row>
    <row r="91" spans="1:7">
      <c r="B91" s="125"/>
      <c r="C91" s="126"/>
      <c r="D91" s="140"/>
      <c r="E91" s="128"/>
      <c r="F91" s="129"/>
      <c r="G91" s="130"/>
    </row>
    <row r="92" spans="1:7">
      <c r="B92" s="1202" t="s">
        <v>50</v>
      </c>
      <c r="C92" s="1203" t="s">
        <v>51</v>
      </c>
      <c r="D92" s="1203" t="s">
        <v>52</v>
      </c>
      <c r="E92" s="1204" t="s">
        <v>53</v>
      </c>
      <c r="F92" s="1205" t="s">
        <v>54</v>
      </c>
      <c r="G92" s="1206" t="s">
        <v>55</v>
      </c>
    </row>
    <row r="93" spans="1:7">
      <c r="B93" s="125"/>
      <c r="C93" s="126"/>
      <c r="D93" s="140"/>
      <c r="E93" s="128"/>
      <c r="F93" s="129"/>
      <c r="G93" s="130"/>
    </row>
    <row r="94" spans="1:7" s="138" customFormat="1" ht="20.25">
      <c r="B94" s="186" t="s">
        <v>47</v>
      </c>
      <c r="C94" s="187" t="s">
        <v>102</v>
      </c>
      <c r="D94" s="165"/>
      <c r="E94" s="134"/>
      <c r="F94" s="135"/>
      <c r="G94" s="136"/>
    </row>
    <row r="95" spans="1:7" s="14" customFormat="1" ht="18" customHeight="1">
      <c r="A95" s="9"/>
      <c r="B95" s="10" t="s">
        <v>38</v>
      </c>
      <c r="C95" s="11"/>
      <c r="D95" s="1177"/>
      <c r="E95" s="12"/>
      <c r="F95" s="12"/>
      <c r="G95" s="13"/>
    </row>
    <row r="96" spans="1:7" s="14" customFormat="1" ht="18" customHeight="1">
      <c r="A96" s="15"/>
      <c r="B96" s="16" t="s">
        <v>39</v>
      </c>
      <c r="C96" s="17"/>
      <c r="D96" s="1179"/>
      <c r="E96" s="19"/>
      <c r="F96" s="19"/>
      <c r="G96" s="18"/>
    </row>
    <row r="97" spans="1:10" s="14" customFormat="1" ht="18" customHeight="1">
      <c r="A97" s="9"/>
      <c r="B97" s="10" t="s">
        <v>4</v>
      </c>
      <c r="C97" s="11"/>
      <c r="D97" s="1180"/>
      <c r="E97" s="12"/>
      <c r="F97" s="12"/>
      <c r="G97" s="13"/>
    </row>
    <row r="98" spans="1:10" s="14" customFormat="1" ht="18" customHeight="1">
      <c r="A98" s="15"/>
      <c r="B98" s="16" t="s">
        <v>5</v>
      </c>
      <c r="C98" s="17"/>
      <c r="D98" s="1181"/>
      <c r="E98" s="19"/>
      <c r="F98" s="19"/>
      <c r="G98" s="18"/>
    </row>
    <row r="99" spans="1:10" s="166" customFormat="1" ht="29.25" customHeight="1">
      <c r="B99" s="2399" t="s">
        <v>103</v>
      </c>
      <c r="C99" s="2400"/>
      <c r="D99" s="2400"/>
      <c r="E99" s="2400"/>
      <c r="F99" s="2400"/>
      <c r="G99" s="2401"/>
    </row>
    <row r="100" spans="1:10" s="166" customFormat="1" ht="18.75" customHeight="1">
      <c r="B100" s="2399" t="s">
        <v>104</v>
      </c>
      <c r="C100" s="2400"/>
      <c r="D100" s="2400"/>
      <c r="E100" s="2400"/>
      <c r="F100" s="2400"/>
      <c r="G100" s="2401"/>
    </row>
    <row r="101" spans="1:10" s="166" customFormat="1" ht="18.75" customHeight="1">
      <c r="B101" s="2399" t="s">
        <v>105</v>
      </c>
      <c r="C101" s="2400"/>
      <c r="D101" s="2400"/>
      <c r="E101" s="2400"/>
      <c r="F101" s="2400"/>
      <c r="G101" s="2401"/>
    </row>
    <row r="102" spans="1:10" ht="30" customHeight="1">
      <c r="B102" s="188">
        <v>1</v>
      </c>
      <c r="C102" s="189" t="s">
        <v>106</v>
      </c>
      <c r="D102" s="190"/>
      <c r="E102" s="128"/>
      <c r="F102" s="129"/>
      <c r="G102" s="130"/>
    </row>
    <row r="103" spans="1:10" s="179" customFormat="1" ht="18.75" customHeight="1">
      <c r="B103" s="191"/>
      <c r="C103" s="271" t="s">
        <v>1702</v>
      </c>
      <c r="D103" s="190" t="s">
        <v>57</v>
      </c>
      <c r="E103" s="128">
        <v>556</v>
      </c>
      <c r="F103" s="141">
        <v>0</v>
      </c>
      <c r="G103" s="142">
        <f t="shared" ref="G103:G105" si="7">E103*F103</f>
        <v>0</v>
      </c>
    </row>
    <row r="104" spans="1:10" s="179" customFormat="1" ht="18.75" customHeight="1">
      <c r="B104" s="191"/>
      <c r="C104" s="271" t="s">
        <v>1703</v>
      </c>
      <c r="D104" s="190" t="s">
        <v>57</v>
      </c>
      <c r="E104" s="128">
        <v>1297</v>
      </c>
      <c r="F104" s="141">
        <v>0</v>
      </c>
      <c r="G104" s="142">
        <f t="shared" si="7"/>
        <v>0</v>
      </c>
    </row>
    <row r="105" spans="1:10" ht="40.5" customHeight="1">
      <c r="B105" s="196">
        <v>2</v>
      </c>
      <c r="C105" s="197" t="s">
        <v>114</v>
      </c>
      <c r="D105" s="145" t="s">
        <v>57</v>
      </c>
      <c r="E105" s="128">
        <v>1853</v>
      </c>
      <c r="F105" s="141">
        <v>0</v>
      </c>
      <c r="G105" s="142">
        <f t="shared" si="7"/>
        <v>0</v>
      </c>
    </row>
    <row r="106" spans="1:10" ht="41.25" customHeight="1">
      <c r="B106" s="199" t="s">
        <v>115</v>
      </c>
      <c r="C106" s="197" t="s">
        <v>116</v>
      </c>
      <c r="D106" s="145" t="s">
        <v>57</v>
      </c>
      <c r="E106" s="128">
        <v>1853</v>
      </c>
      <c r="F106" s="141">
        <v>0</v>
      </c>
      <c r="G106" s="142">
        <f>E106*F106</f>
        <v>0</v>
      </c>
      <c r="J106" s="1119"/>
    </row>
    <row r="107" spans="1:10" ht="27" customHeight="1">
      <c r="B107" s="199" t="s">
        <v>117</v>
      </c>
      <c r="C107" s="197" t="s">
        <v>118</v>
      </c>
      <c r="D107" s="145" t="s">
        <v>57</v>
      </c>
      <c r="E107" s="128">
        <v>1853</v>
      </c>
      <c r="F107" s="141">
        <v>0</v>
      </c>
      <c r="G107" s="142">
        <f>E107*F107</f>
        <v>0</v>
      </c>
    </row>
    <row r="108" spans="1:10" ht="39" customHeight="1">
      <c r="B108" s="199" t="s">
        <v>119</v>
      </c>
      <c r="C108" s="197" t="s">
        <v>120</v>
      </c>
      <c r="D108" s="145" t="s">
        <v>57</v>
      </c>
      <c r="E108" s="128">
        <v>1853</v>
      </c>
      <c r="F108" s="141">
        <v>0</v>
      </c>
      <c r="G108" s="142">
        <f>E108*F108</f>
        <v>0</v>
      </c>
    </row>
    <row r="109" spans="1:10" ht="27.75" customHeight="1">
      <c r="B109" s="188">
        <v>3</v>
      </c>
      <c r="C109" s="200" t="s">
        <v>121</v>
      </c>
      <c r="D109" s="140"/>
      <c r="E109" s="128"/>
      <c r="F109" s="130"/>
      <c r="G109" s="130"/>
    </row>
    <row r="110" spans="1:10">
      <c r="B110" s="201" t="s">
        <v>122</v>
      </c>
      <c r="C110" s="202" t="s">
        <v>123</v>
      </c>
      <c r="D110" s="209"/>
      <c r="E110" s="204"/>
      <c r="F110" s="205"/>
      <c r="G110" s="206"/>
    </row>
    <row r="111" spans="1:10">
      <c r="B111" s="125"/>
      <c r="C111" s="202" t="s">
        <v>1704</v>
      </c>
      <c r="D111" s="209"/>
      <c r="E111" s="204"/>
      <c r="F111" s="205"/>
      <c r="G111" s="206"/>
    </row>
    <row r="112" spans="1:10" s="179" customFormat="1" ht="18" customHeight="1">
      <c r="B112" s="207"/>
      <c r="C112" s="208" t="s">
        <v>1705</v>
      </c>
      <c r="D112" s="209" t="s">
        <v>66</v>
      </c>
      <c r="E112" s="204">
        <v>4</v>
      </c>
      <c r="F112" s="210">
        <v>0</v>
      </c>
      <c r="G112" s="211">
        <f t="shared" ref="G112:G117" si="8">E112*F112</f>
        <v>0</v>
      </c>
      <c r="I112" s="1315"/>
    </row>
    <row r="113" spans="2:9" s="179" customFormat="1" ht="18" customHeight="1">
      <c r="B113" s="207"/>
      <c r="C113" s="208" t="s">
        <v>1706</v>
      </c>
      <c r="D113" s="209" t="s">
        <v>66</v>
      </c>
      <c r="E113" s="204">
        <v>2</v>
      </c>
      <c r="F113" s="210">
        <v>0</v>
      </c>
      <c r="G113" s="211">
        <f t="shared" si="8"/>
        <v>0</v>
      </c>
      <c r="I113" s="1315"/>
    </row>
    <row r="114" spans="2:9" s="179" customFormat="1" ht="18" customHeight="1">
      <c r="B114" s="207"/>
      <c r="C114" s="208" t="s">
        <v>1707</v>
      </c>
      <c r="D114" s="209" t="s">
        <v>66</v>
      </c>
      <c r="E114" s="204">
        <v>3</v>
      </c>
      <c r="F114" s="210">
        <v>0</v>
      </c>
      <c r="G114" s="211">
        <f t="shared" si="8"/>
        <v>0</v>
      </c>
      <c r="I114" s="1315"/>
    </row>
    <row r="115" spans="2:9" s="179" customFormat="1" ht="18" customHeight="1">
      <c r="B115" s="207"/>
      <c r="C115" s="208" t="s">
        <v>1708</v>
      </c>
      <c r="D115" s="209" t="s">
        <v>66</v>
      </c>
      <c r="E115" s="204">
        <v>21</v>
      </c>
      <c r="F115" s="210">
        <v>0</v>
      </c>
      <c r="G115" s="211">
        <f t="shared" si="8"/>
        <v>0</v>
      </c>
      <c r="I115" s="1315"/>
    </row>
    <row r="116" spans="2:9" s="179" customFormat="1" ht="18" customHeight="1">
      <c r="B116" s="207"/>
      <c r="C116" s="208" t="s">
        <v>1709</v>
      </c>
      <c r="D116" s="209" t="s">
        <v>66</v>
      </c>
      <c r="E116" s="204">
        <v>2</v>
      </c>
      <c r="F116" s="210">
        <v>0</v>
      </c>
      <c r="G116" s="211">
        <f t="shared" si="8"/>
        <v>0</v>
      </c>
      <c r="I116" s="1315"/>
    </row>
    <row r="117" spans="2:9" s="179" customFormat="1" ht="18" customHeight="1">
      <c r="B117" s="207"/>
      <c r="C117" s="208" t="s">
        <v>1710</v>
      </c>
      <c r="D117" s="209" t="s">
        <v>66</v>
      </c>
      <c r="E117" s="204">
        <v>1</v>
      </c>
      <c r="F117" s="210">
        <v>0</v>
      </c>
      <c r="G117" s="211">
        <f t="shared" si="8"/>
        <v>0</v>
      </c>
      <c r="I117" s="1315"/>
    </row>
    <row r="118" spans="2:9" s="217" customFormat="1">
      <c r="B118" s="201" t="s">
        <v>126</v>
      </c>
      <c r="C118" s="212" t="s">
        <v>127</v>
      </c>
      <c r="D118" s="1228"/>
      <c r="E118" s="214"/>
      <c r="F118" s="215">
        <v>0</v>
      </c>
      <c r="G118" s="216"/>
    </row>
    <row r="119" spans="2:9" s="217" customFormat="1">
      <c r="B119" s="218"/>
      <c r="C119" s="212" t="s">
        <v>1711</v>
      </c>
      <c r="D119" s="1228"/>
      <c r="E119" s="214"/>
      <c r="F119" s="215">
        <v>0</v>
      </c>
      <c r="G119" s="216"/>
    </row>
    <row r="120" spans="2:9" s="217" customFormat="1">
      <c r="B120" s="218"/>
      <c r="C120" s="219" t="s">
        <v>1712</v>
      </c>
      <c r="D120" s="1228" t="s">
        <v>66</v>
      </c>
      <c r="E120" s="214">
        <v>2</v>
      </c>
      <c r="F120" s="220">
        <v>0</v>
      </c>
      <c r="G120" s="221">
        <f t="shared" ref="G120:G127" si="9">E120*F120</f>
        <v>0</v>
      </c>
    </row>
    <row r="121" spans="2:9" s="217" customFormat="1" ht="38.25" customHeight="1">
      <c r="B121" s="218"/>
      <c r="C121" s="222" t="s">
        <v>130</v>
      </c>
      <c r="D121" s="1228" t="s">
        <v>66</v>
      </c>
      <c r="E121" s="214">
        <v>2</v>
      </c>
      <c r="F121" s="220">
        <v>0</v>
      </c>
      <c r="G121" s="221">
        <f t="shared" si="9"/>
        <v>0</v>
      </c>
    </row>
    <row r="122" spans="2:9" s="217" customFormat="1">
      <c r="B122" s="218"/>
      <c r="C122" s="222" t="s">
        <v>1713</v>
      </c>
      <c r="D122" s="1228" t="s">
        <v>66</v>
      </c>
      <c r="E122" s="214">
        <v>2</v>
      </c>
      <c r="F122" s="220">
        <v>0</v>
      </c>
      <c r="G122" s="221">
        <f t="shared" si="9"/>
        <v>0</v>
      </c>
    </row>
    <row r="123" spans="2:9" s="217" customFormat="1">
      <c r="B123" s="218"/>
      <c r="C123" s="222" t="s">
        <v>1714</v>
      </c>
      <c r="D123" s="1228" t="s">
        <v>66</v>
      </c>
      <c r="E123" s="214">
        <v>2</v>
      </c>
      <c r="F123" s="220">
        <v>0</v>
      </c>
      <c r="G123" s="221">
        <f t="shared" si="9"/>
        <v>0</v>
      </c>
    </row>
    <row r="124" spans="2:9" s="217" customFormat="1">
      <c r="B124" s="218"/>
      <c r="C124" s="222" t="s">
        <v>1715</v>
      </c>
      <c r="D124" s="1228" t="s">
        <v>66</v>
      </c>
      <c r="E124" s="214">
        <v>2</v>
      </c>
      <c r="F124" s="220">
        <v>0</v>
      </c>
      <c r="G124" s="221">
        <f t="shared" si="9"/>
        <v>0</v>
      </c>
    </row>
    <row r="125" spans="2:9" s="217" customFormat="1">
      <c r="B125" s="218"/>
      <c r="C125" s="222" t="s">
        <v>1716</v>
      </c>
      <c r="D125" s="1228" t="s">
        <v>66</v>
      </c>
      <c r="E125" s="214">
        <v>2</v>
      </c>
      <c r="F125" s="220">
        <v>0</v>
      </c>
      <c r="G125" s="221">
        <f t="shared" si="9"/>
        <v>0</v>
      </c>
    </row>
    <row r="126" spans="2:9" s="217" customFormat="1">
      <c r="B126" s="218"/>
      <c r="C126" s="234" t="s">
        <v>1708</v>
      </c>
      <c r="D126" s="1228" t="s">
        <v>66</v>
      </c>
      <c r="E126" s="214">
        <v>4</v>
      </c>
      <c r="F126" s="220">
        <v>0</v>
      </c>
      <c r="G126" s="221">
        <f t="shared" si="9"/>
        <v>0</v>
      </c>
    </row>
    <row r="127" spans="2:9" s="217" customFormat="1">
      <c r="B127" s="218"/>
      <c r="C127" s="235" t="s">
        <v>135</v>
      </c>
      <c r="D127" s="1228" t="s">
        <v>66</v>
      </c>
      <c r="E127" s="214">
        <v>2</v>
      </c>
      <c r="F127" s="220">
        <v>0</v>
      </c>
      <c r="G127" s="221">
        <f t="shared" si="9"/>
        <v>0</v>
      </c>
    </row>
    <row r="128" spans="2:9" s="217" customFormat="1">
      <c r="B128" s="201" t="s">
        <v>136</v>
      </c>
      <c r="C128" s="223" t="s">
        <v>137</v>
      </c>
      <c r="D128" s="1232"/>
      <c r="E128" s="225"/>
      <c r="F128" s="226"/>
      <c r="G128" s="227"/>
    </row>
    <row r="129" spans="2:7" s="217" customFormat="1">
      <c r="B129" s="218"/>
      <c r="C129" s="223" t="s">
        <v>1717</v>
      </c>
      <c r="D129" s="1232"/>
      <c r="E129" s="225"/>
      <c r="F129" s="226">
        <v>0</v>
      </c>
      <c r="G129" s="227"/>
    </row>
    <row r="130" spans="2:7" s="217" customFormat="1">
      <c r="B130" s="218"/>
      <c r="C130" s="228" t="s">
        <v>1712</v>
      </c>
      <c r="D130" s="1232" t="s">
        <v>66</v>
      </c>
      <c r="E130" s="225">
        <v>2</v>
      </c>
      <c r="F130" s="229">
        <v>0</v>
      </c>
      <c r="G130" s="230">
        <f t="shared" ref="G130:G145" si="10">E130*F130</f>
        <v>0</v>
      </c>
    </row>
    <row r="131" spans="2:7" s="217" customFormat="1">
      <c r="B131" s="218"/>
      <c r="C131" s="228" t="s">
        <v>1718</v>
      </c>
      <c r="D131" s="1232" t="s">
        <v>66</v>
      </c>
      <c r="E131" s="225">
        <v>4</v>
      </c>
      <c r="F131" s="229">
        <v>0</v>
      </c>
      <c r="G131" s="230">
        <f t="shared" si="10"/>
        <v>0</v>
      </c>
    </row>
    <row r="132" spans="2:7" s="217" customFormat="1" ht="12.75" customHeight="1">
      <c r="B132" s="218"/>
      <c r="C132" s="231" t="s">
        <v>140</v>
      </c>
      <c r="D132" s="1232" t="s">
        <v>66</v>
      </c>
      <c r="E132" s="225">
        <v>2</v>
      </c>
      <c r="F132" s="229">
        <v>0</v>
      </c>
      <c r="G132" s="230">
        <f t="shared" si="10"/>
        <v>0</v>
      </c>
    </row>
    <row r="133" spans="2:7" s="217" customFormat="1">
      <c r="B133" s="218"/>
      <c r="C133" s="231" t="s">
        <v>1713</v>
      </c>
      <c r="D133" s="1232" t="s">
        <v>66</v>
      </c>
      <c r="E133" s="225">
        <v>2</v>
      </c>
      <c r="F133" s="229">
        <v>0</v>
      </c>
      <c r="G133" s="230">
        <f t="shared" si="10"/>
        <v>0</v>
      </c>
    </row>
    <row r="134" spans="2:7" s="217" customFormat="1" ht="12.75" customHeight="1">
      <c r="B134" s="218"/>
      <c r="C134" s="231" t="s">
        <v>142</v>
      </c>
      <c r="D134" s="1232" t="s">
        <v>66</v>
      </c>
      <c r="E134" s="225">
        <v>2</v>
      </c>
      <c r="F134" s="229">
        <v>0</v>
      </c>
      <c r="G134" s="230">
        <f t="shared" si="10"/>
        <v>0</v>
      </c>
    </row>
    <row r="135" spans="2:7" s="217" customFormat="1" ht="12.75" customHeight="1">
      <c r="B135" s="218"/>
      <c r="C135" s="231" t="s">
        <v>143</v>
      </c>
      <c r="D135" s="1232" t="s">
        <v>66</v>
      </c>
      <c r="E135" s="225">
        <v>2</v>
      </c>
      <c r="F135" s="229">
        <v>0</v>
      </c>
      <c r="G135" s="230">
        <f t="shared" si="10"/>
        <v>0</v>
      </c>
    </row>
    <row r="136" spans="2:7" s="217" customFormat="1">
      <c r="B136" s="218"/>
      <c r="C136" s="231" t="s">
        <v>1719</v>
      </c>
      <c r="D136" s="1232" t="s">
        <v>66</v>
      </c>
      <c r="E136" s="225">
        <v>2</v>
      </c>
      <c r="F136" s="229">
        <v>0</v>
      </c>
      <c r="G136" s="230">
        <f t="shared" si="10"/>
        <v>0</v>
      </c>
    </row>
    <row r="137" spans="2:7" s="217" customFormat="1" ht="12.75" customHeight="1">
      <c r="B137" s="218"/>
      <c r="C137" s="231" t="s">
        <v>1715</v>
      </c>
      <c r="D137" s="1232" t="s">
        <v>66</v>
      </c>
      <c r="E137" s="225">
        <v>2</v>
      </c>
      <c r="F137" s="229">
        <v>0</v>
      </c>
      <c r="G137" s="230">
        <f t="shared" si="10"/>
        <v>0</v>
      </c>
    </row>
    <row r="138" spans="2:7" s="217" customFormat="1" ht="12.75" customHeight="1">
      <c r="B138" s="218"/>
      <c r="C138" s="231" t="s">
        <v>1716</v>
      </c>
      <c r="D138" s="1232" t="s">
        <v>66</v>
      </c>
      <c r="E138" s="225">
        <v>2</v>
      </c>
      <c r="F138" s="229">
        <v>0</v>
      </c>
      <c r="G138" s="230">
        <f t="shared" si="10"/>
        <v>0</v>
      </c>
    </row>
    <row r="139" spans="2:7" s="217" customFormat="1" ht="12.75" customHeight="1">
      <c r="B139" s="218"/>
      <c r="C139" s="231" t="s">
        <v>146</v>
      </c>
      <c r="D139" s="1232" t="s">
        <v>66</v>
      </c>
      <c r="E139" s="225">
        <v>2</v>
      </c>
      <c r="F139" s="229">
        <v>0</v>
      </c>
      <c r="G139" s="230">
        <f t="shared" si="10"/>
        <v>0</v>
      </c>
    </row>
    <row r="140" spans="2:7" s="217" customFormat="1">
      <c r="B140" s="218"/>
      <c r="C140" s="232" t="s">
        <v>147</v>
      </c>
      <c r="D140" s="1232" t="s">
        <v>66</v>
      </c>
      <c r="E140" s="225">
        <v>4</v>
      </c>
      <c r="F140" s="229">
        <v>0</v>
      </c>
      <c r="G140" s="230">
        <f t="shared" si="10"/>
        <v>0</v>
      </c>
    </row>
    <row r="141" spans="2:7" s="217" customFormat="1">
      <c r="B141" s="218"/>
      <c r="C141" s="232" t="s">
        <v>188</v>
      </c>
      <c r="D141" s="1232" t="s">
        <v>66</v>
      </c>
      <c r="E141" s="225">
        <v>2</v>
      </c>
      <c r="F141" s="229">
        <v>0</v>
      </c>
      <c r="G141" s="230">
        <f t="shared" si="10"/>
        <v>0</v>
      </c>
    </row>
    <row r="142" spans="2:7" s="217" customFormat="1">
      <c r="B142" s="218"/>
      <c r="C142" s="232" t="s">
        <v>1708</v>
      </c>
      <c r="D142" s="1232" t="s">
        <v>66</v>
      </c>
      <c r="E142" s="225">
        <v>4</v>
      </c>
      <c r="F142" s="229">
        <v>0</v>
      </c>
      <c r="G142" s="230">
        <f t="shared" si="10"/>
        <v>0</v>
      </c>
    </row>
    <row r="143" spans="2:7" s="217" customFormat="1">
      <c r="B143" s="218"/>
      <c r="C143" s="232" t="s">
        <v>149</v>
      </c>
      <c r="D143" s="1232" t="s">
        <v>66</v>
      </c>
      <c r="E143" s="225">
        <v>2</v>
      </c>
      <c r="F143" s="229">
        <v>0</v>
      </c>
      <c r="G143" s="230">
        <f t="shared" si="10"/>
        <v>0</v>
      </c>
    </row>
    <row r="144" spans="2:7" s="217" customFormat="1">
      <c r="B144" s="218"/>
      <c r="C144" s="232" t="s">
        <v>150</v>
      </c>
      <c r="D144" s="1232" t="s">
        <v>66</v>
      </c>
      <c r="E144" s="225">
        <v>6</v>
      </c>
      <c r="F144" s="229">
        <v>0</v>
      </c>
      <c r="G144" s="230">
        <f t="shared" si="10"/>
        <v>0</v>
      </c>
    </row>
    <row r="145" spans="2:7" s="217" customFormat="1">
      <c r="B145" s="218"/>
      <c r="C145" s="233" t="s">
        <v>135</v>
      </c>
      <c r="D145" s="1232" t="s">
        <v>66</v>
      </c>
      <c r="E145" s="225">
        <v>2</v>
      </c>
      <c r="F145" s="229">
        <v>0</v>
      </c>
      <c r="G145" s="230">
        <f t="shared" si="10"/>
        <v>0</v>
      </c>
    </row>
    <row r="146" spans="2:7" s="217" customFormat="1">
      <c r="B146" s="201" t="s">
        <v>151</v>
      </c>
      <c r="C146" s="223" t="s">
        <v>160</v>
      </c>
      <c r="D146" s="1232"/>
      <c r="E146" s="225"/>
      <c r="F146" s="226"/>
      <c r="G146" s="227"/>
    </row>
    <row r="147" spans="2:7" s="217" customFormat="1">
      <c r="B147" s="218"/>
      <c r="C147" s="223" t="s">
        <v>1720</v>
      </c>
      <c r="D147" s="1232"/>
      <c r="E147" s="225"/>
      <c r="F147" s="226">
        <v>0</v>
      </c>
      <c r="G147" s="227"/>
    </row>
    <row r="148" spans="2:7" s="217" customFormat="1">
      <c r="B148" s="218"/>
      <c r="C148" s="228" t="s">
        <v>1721</v>
      </c>
      <c r="D148" s="1232" t="s">
        <v>66</v>
      </c>
      <c r="E148" s="225">
        <v>1</v>
      </c>
      <c r="F148" s="229">
        <v>0</v>
      </c>
      <c r="G148" s="230">
        <f t="shared" ref="G148:G155" si="11">E148*F148</f>
        <v>0</v>
      </c>
    </row>
    <row r="149" spans="2:7" s="217" customFormat="1">
      <c r="B149" s="218"/>
      <c r="C149" s="231" t="s">
        <v>1718</v>
      </c>
      <c r="D149" s="1232" t="s">
        <v>66</v>
      </c>
      <c r="E149" s="225">
        <v>1</v>
      </c>
      <c r="F149" s="229">
        <v>0</v>
      </c>
      <c r="G149" s="230">
        <f t="shared" si="11"/>
        <v>0</v>
      </c>
    </row>
    <row r="150" spans="2:7" s="217" customFormat="1">
      <c r="B150" s="218"/>
      <c r="C150" s="231" t="s">
        <v>1548</v>
      </c>
      <c r="D150" s="1232" t="s">
        <v>66</v>
      </c>
      <c r="E150" s="225">
        <v>1</v>
      </c>
      <c r="F150" s="229">
        <v>0</v>
      </c>
      <c r="G150" s="230">
        <f t="shared" si="11"/>
        <v>0</v>
      </c>
    </row>
    <row r="151" spans="2:7" s="217" customFormat="1">
      <c r="B151" s="218"/>
      <c r="C151" s="231" t="s">
        <v>1722</v>
      </c>
      <c r="D151" s="1232" t="s">
        <v>66</v>
      </c>
      <c r="E151" s="225">
        <v>2</v>
      </c>
      <c r="F151" s="229">
        <v>0</v>
      </c>
      <c r="G151" s="230">
        <f t="shared" si="11"/>
        <v>0</v>
      </c>
    </row>
    <row r="152" spans="2:7" s="217" customFormat="1">
      <c r="B152" s="218"/>
      <c r="C152" s="232" t="s">
        <v>1708</v>
      </c>
      <c r="D152" s="1232" t="s">
        <v>66</v>
      </c>
      <c r="E152" s="225">
        <v>1</v>
      </c>
      <c r="F152" s="229">
        <v>0</v>
      </c>
      <c r="G152" s="230">
        <f t="shared" si="11"/>
        <v>0</v>
      </c>
    </row>
    <row r="153" spans="2:7" s="217" customFormat="1">
      <c r="B153" s="218"/>
      <c r="C153" s="232" t="s">
        <v>1551</v>
      </c>
      <c r="D153" s="1232" t="s">
        <v>66</v>
      </c>
      <c r="E153" s="225">
        <v>2</v>
      </c>
      <c r="F153" s="229">
        <v>0</v>
      </c>
      <c r="G153" s="230">
        <f t="shared" si="11"/>
        <v>0</v>
      </c>
    </row>
    <row r="154" spans="2:7" s="217" customFormat="1">
      <c r="B154" s="218"/>
      <c r="C154" s="232" t="s">
        <v>150</v>
      </c>
      <c r="D154" s="1232" t="s">
        <v>66</v>
      </c>
      <c r="E154" s="225">
        <v>2</v>
      </c>
      <c r="F154" s="229">
        <v>0</v>
      </c>
      <c r="G154" s="230">
        <f t="shared" si="11"/>
        <v>0</v>
      </c>
    </row>
    <row r="155" spans="2:7" s="217" customFormat="1">
      <c r="B155" s="218"/>
      <c r="C155" s="233" t="s">
        <v>135</v>
      </c>
      <c r="D155" s="1232" t="s">
        <v>66</v>
      </c>
      <c r="E155" s="225">
        <v>1</v>
      </c>
      <c r="F155" s="229">
        <v>0</v>
      </c>
      <c r="G155" s="230">
        <f t="shared" si="11"/>
        <v>0</v>
      </c>
    </row>
    <row r="156" spans="2:7" s="217" customFormat="1">
      <c r="B156" s="218"/>
      <c r="C156" s="223" t="s">
        <v>1723</v>
      </c>
      <c r="D156" s="1232"/>
      <c r="E156" s="225"/>
      <c r="F156" s="227"/>
      <c r="G156" s="227"/>
    </row>
    <row r="157" spans="2:7" s="217" customFormat="1">
      <c r="B157" s="218"/>
      <c r="C157" s="228" t="s">
        <v>1724</v>
      </c>
      <c r="D157" s="1232" t="s">
        <v>66</v>
      </c>
      <c r="E157" s="225">
        <v>1</v>
      </c>
      <c r="F157" s="229">
        <v>0</v>
      </c>
      <c r="G157" s="230">
        <f t="shared" ref="G157:G165" si="12">E157*F157</f>
        <v>0</v>
      </c>
    </row>
    <row r="158" spans="2:7" s="217" customFormat="1">
      <c r="B158" s="218"/>
      <c r="C158" s="228" t="s">
        <v>1718</v>
      </c>
      <c r="D158" s="1232" t="s">
        <v>66</v>
      </c>
      <c r="E158" s="225">
        <v>2</v>
      </c>
      <c r="F158" s="229">
        <v>0</v>
      </c>
      <c r="G158" s="230">
        <f t="shared" si="12"/>
        <v>0</v>
      </c>
    </row>
    <row r="159" spans="2:7" s="217" customFormat="1">
      <c r="B159" s="218"/>
      <c r="C159" s="232" t="s">
        <v>1708</v>
      </c>
      <c r="D159" s="1232" t="s">
        <v>66</v>
      </c>
      <c r="E159" s="225">
        <v>2</v>
      </c>
      <c r="F159" s="229">
        <v>0</v>
      </c>
      <c r="G159" s="230">
        <f>E159*F159</f>
        <v>0</v>
      </c>
    </row>
    <row r="160" spans="2:7" s="217" customFormat="1">
      <c r="B160" s="218"/>
      <c r="C160" s="228" t="s">
        <v>1725</v>
      </c>
      <c r="D160" s="1232" t="s">
        <v>66</v>
      </c>
      <c r="E160" s="225">
        <v>1</v>
      </c>
      <c r="F160" s="229">
        <v>0</v>
      </c>
      <c r="G160" s="230">
        <f t="shared" ref="G160" si="13">E160*F160</f>
        <v>0</v>
      </c>
    </row>
    <row r="161" spans="2:7" s="217" customFormat="1">
      <c r="B161" s="218"/>
      <c r="C161" s="231" t="s">
        <v>1726</v>
      </c>
      <c r="D161" s="1232" t="s">
        <v>66</v>
      </c>
      <c r="E161" s="225">
        <v>1</v>
      </c>
      <c r="F161" s="229">
        <v>0</v>
      </c>
      <c r="G161" s="230">
        <f t="shared" si="12"/>
        <v>0</v>
      </c>
    </row>
    <row r="162" spans="2:7" s="217" customFormat="1">
      <c r="B162" s="218"/>
      <c r="C162" s="232" t="s">
        <v>132</v>
      </c>
      <c r="D162" s="1232" t="s">
        <v>66</v>
      </c>
      <c r="E162" s="225">
        <v>1</v>
      </c>
      <c r="F162" s="229">
        <v>0</v>
      </c>
      <c r="G162" s="230">
        <f t="shared" si="12"/>
        <v>0</v>
      </c>
    </row>
    <row r="163" spans="2:7" s="217" customFormat="1">
      <c r="B163" s="218"/>
      <c r="C163" s="232" t="s">
        <v>148</v>
      </c>
      <c r="D163" s="1232" t="s">
        <v>66</v>
      </c>
      <c r="E163" s="225">
        <v>1</v>
      </c>
      <c r="F163" s="229">
        <v>0</v>
      </c>
      <c r="G163" s="230">
        <f t="shared" si="12"/>
        <v>0</v>
      </c>
    </row>
    <row r="164" spans="2:7" s="217" customFormat="1">
      <c r="B164" s="218"/>
      <c r="C164" s="232" t="s">
        <v>150</v>
      </c>
      <c r="D164" s="1232" t="s">
        <v>66</v>
      </c>
      <c r="E164" s="225">
        <v>3</v>
      </c>
      <c r="F164" s="229">
        <v>0</v>
      </c>
      <c r="G164" s="230">
        <f t="shared" si="12"/>
        <v>0</v>
      </c>
    </row>
    <row r="165" spans="2:7" s="217" customFormat="1">
      <c r="B165" s="218"/>
      <c r="C165" s="233" t="s">
        <v>135</v>
      </c>
      <c r="D165" s="1232" t="s">
        <v>66</v>
      </c>
      <c r="E165" s="225">
        <v>1</v>
      </c>
      <c r="F165" s="229">
        <v>0</v>
      </c>
      <c r="G165" s="230">
        <f t="shared" si="12"/>
        <v>0</v>
      </c>
    </row>
    <row r="166" spans="2:7" s="217" customFormat="1">
      <c r="B166" s="201" t="s">
        <v>159</v>
      </c>
      <c r="C166" s="223" t="s">
        <v>345</v>
      </c>
      <c r="D166" s="1232"/>
      <c r="E166" s="225"/>
      <c r="F166" s="226"/>
      <c r="G166" s="227"/>
    </row>
    <row r="167" spans="2:7" s="217" customFormat="1">
      <c r="B167" s="218"/>
      <c r="C167" s="223" t="s">
        <v>1727</v>
      </c>
      <c r="D167" s="1232"/>
      <c r="E167" s="225"/>
      <c r="F167" s="226">
        <v>0</v>
      </c>
      <c r="G167" s="227"/>
    </row>
    <row r="168" spans="2:7" s="217" customFormat="1">
      <c r="B168" s="218"/>
      <c r="C168" s="228" t="s">
        <v>1728</v>
      </c>
      <c r="D168" s="1232" t="s">
        <v>66</v>
      </c>
      <c r="E168" s="225">
        <v>1</v>
      </c>
      <c r="F168" s="229">
        <v>0</v>
      </c>
      <c r="G168" s="230">
        <f t="shared" ref="G168:G186" si="14">E168*F168</f>
        <v>0</v>
      </c>
    </row>
    <row r="169" spans="2:7" s="217" customFormat="1">
      <c r="B169" s="218"/>
      <c r="C169" s="228" t="s">
        <v>1729</v>
      </c>
      <c r="D169" s="1232" t="s">
        <v>66</v>
      </c>
      <c r="E169" s="225">
        <v>1</v>
      </c>
      <c r="F169" s="229">
        <v>0</v>
      </c>
      <c r="G169" s="230">
        <f t="shared" si="14"/>
        <v>0</v>
      </c>
    </row>
    <row r="170" spans="2:7" s="217" customFormat="1">
      <c r="B170" s="218"/>
      <c r="C170" s="228" t="s">
        <v>1730</v>
      </c>
      <c r="D170" s="1232" t="s">
        <v>66</v>
      </c>
      <c r="E170" s="225">
        <v>2</v>
      </c>
      <c r="F170" s="229">
        <v>0</v>
      </c>
      <c r="G170" s="230">
        <f t="shared" si="14"/>
        <v>0</v>
      </c>
    </row>
    <row r="171" spans="2:7" s="217" customFormat="1">
      <c r="B171" s="218"/>
      <c r="C171" s="228" t="s">
        <v>1731</v>
      </c>
      <c r="D171" s="1232" t="s">
        <v>66</v>
      </c>
      <c r="E171" s="225">
        <v>2</v>
      </c>
      <c r="F171" s="229">
        <v>0</v>
      </c>
      <c r="G171" s="230">
        <f t="shared" si="14"/>
        <v>0</v>
      </c>
    </row>
    <row r="172" spans="2:7" s="217" customFormat="1">
      <c r="B172" s="218"/>
      <c r="C172" s="228" t="s">
        <v>1732</v>
      </c>
      <c r="D172" s="1232" t="s">
        <v>66</v>
      </c>
      <c r="E172" s="225">
        <v>2</v>
      </c>
      <c r="F172" s="229">
        <v>0</v>
      </c>
      <c r="G172" s="230">
        <f t="shared" si="14"/>
        <v>0</v>
      </c>
    </row>
    <row r="173" spans="2:7" s="217" customFormat="1">
      <c r="B173" s="218"/>
      <c r="C173" s="228" t="s">
        <v>1733</v>
      </c>
      <c r="D173" s="1232" t="s">
        <v>66</v>
      </c>
      <c r="E173" s="225">
        <v>2</v>
      </c>
      <c r="F173" s="229">
        <v>0</v>
      </c>
      <c r="G173" s="230">
        <f t="shared" si="14"/>
        <v>0</v>
      </c>
    </row>
    <row r="174" spans="2:7" s="217" customFormat="1">
      <c r="B174" s="218"/>
      <c r="C174" s="228" t="s">
        <v>1549</v>
      </c>
      <c r="D174" s="1232" t="s">
        <v>66</v>
      </c>
      <c r="E174" s="225">
        <v>2</v>
      </c>
      <c r="F174" s="229">
        <v>0</v>
      </c>
      <c r="G174" s="230">
        <f t="shared" si="14"/>
        <v>0</v>
      </c>
    </row>
    <row r="175" spans="2:7" s="217" customFormat="1" ht="12.75" customHeight="1">
      <c r="B175" s="218"/>
      <c r="C175" s="228" t="s">
        <v>1734</v>
      </c>
      <c r="D175" s="1232" t="s">
        <v>66</v>
      </c>
      <c r="E175" s="225">
        <v>2</v>
      </c>
      <c r="F175" s="229">
        <v>0</v>
      </c>
      <c r="G175" s="230">
        <f t="shared" si="14"/>
        <v>0</v>
      </c>
    </row>
    <row r="176" spans="2:7" s="217" customFormat="1" ht="12.75" customHeight="1">
      <c r="B176" s="218"/>
      <c r="C176" s="228" t="s">
        <v>1735</v>
      </c>
      <c r="D176" s="1232" t="s">
        <v>66</v>
      </c>
      <c r="E176" s="225">
        <v>1</v>
      </c>
      <c r="F176" s="229">
        <v>0</v>
      </c>
      <c r="G176" s="230">
        <f t="shared" si="14"/>
        <v>0</v>
      </c>
    </row>
    <row r="177" spans="2:7" s="217" customFormat="1" ht="12.75" customHeight="1">
      <c r="B177" s="218"/>
      <c r="C177" s="231" t="s">
        <v>1736</v>
      </c>
      <c r="D177" s="1232" t="s">
        <v>66</v>
      </c>
      <c r="E177" s="225">
        <v>1</v>
      </c>
      <c r="F177" s="229">
        <v>0</v>
      </c>
      <c r="G177" s="230">
        <f t="shared" si="14"/>
        <v>0</v>
      </c>
    </row>
    <row r="178" spans="2:7" s="217" customFormat="1">
      <c r="B178" s="218"/>
      <c r="C178" s="231" t="s">
        <v>1737</v>
      </c>
      <c r="D178" s="1232" t="s">
        <v>66</v>
      </c>
      <c r="E178" s="225">
        <v>1</v>
      </c>
      <c r="F178" s="229">
        <v>0</v>
      </c>
      <c r="G178" s="230">
        <f t="shared" si="14"/>
        <v>0</v>
      </c>
    </row>
    <row r="179" spans="2:7" s="217" customFormat="1">
      <c r="B179" s="218"/>
      <c r="C179" s="231" t="s">
        <v>1738</v>
      </c>
      <c r="D179" s="1232" t="s">
        <v>66</v>
      </c>
      <c r="E179" s="225">
        <v>1</v>
      </c>
      <c r="F179" s="229">
        <v>0</v>
      </c>
      <c r="G179" s="230">
        <f t="shared" si="14"/>
        <v>0</v>
      </c>
    </row>
    <row r="180" spans="2:7" s="217" customFormat="1" ht="12.75" customHeight="1">
      <c r="B180" s="218"/>
      <c r="C180" s="231" t="s">
        <v>1739</v>
      </c>
      <c r="D180" s="1232" t="s">
        <v>66</v>
      </c>
      <c r="E180" s="225">
        <v>1</v>
      </c>
      <c r="F180" s="229">
        <v>0</v>
      </c>
      <c r="G180" s="230">
        <f t="shared" si="14"/>
        <v>0</v>
      </c>
    </row>
    <row r="181" spans="2:7" s="217" customFormat="1">
      <c r="B181" s="218"/>
      <c r="C181" s="231" t="s">
        <v>1740</v>
      </c>
      <c r="D181" s="1232" t="s">
        <v>66</v>
      </c>
      <c r="E181" s="225">
        <v>1</v>
      </c>
      <c r="F181" s="229">
        <v>0</v>
      </c>
      <c r="G181" s="230">
        <f t="shared" si="14"/>
        <v>0</v>
      </c>
    </row>
    <row r="182" spans="2:7" s="217" customFormat="1">
      <c r="B182" s="218"/>
      <c r="C182" s="232" t="s">
        <v>518</v>
      </c>
      <c r="D182" s="1232" t="s">
        <v>66</v>
      </c>
      <c r="E182" s="225">
        <v>1</v>
      </c>
      <c r="F182" s="229">
        <v>0</v>
      </c>
      <c r="G182" s="230">
        <f t="shared" si="14"/>
        <v>0</v>
      </c>
    </row>
    <row r="183" spans="2:7" s="217" customFormat="1">
      <c r="B183" s="218"/>
      <c r="C183" s="232" t="s">
        <v>509</v>
      </c>
      <c r="D183" s="1232" t="s">
        <v>66</v>
      </c>
      <c r="E183" s="225">
        <v>1</v>
      </c>
      <c r="F183" s="229">
        <v>0</v>
      </c>
      <c r="G183" s="230">
        <f t="shared" si="14"/>
        <v>0</v>
      </c>
    </row>
    <row r="184" spans="2:7" s="217" customFormat="1">
      <c r="B184" s="218"/>
      <c r="C184" s="228" t="s">
        <v>510</v>
      </c>
      <c r="D184" s="1232" t="s">
        <v>66</v>
      </c>
      <c r="E184" s="225">
        <v>1</v>
      </c>
      <c r="F184" s="229">
        <v>0</v>
      </c>
      <c r="G184" s="230">
        <f t="shared" si="14"/>
        <v>0</v>
      </c>
    </row>
    <row r="185" spans="2:7" s="217" customFormat="1">
      <c r="B185" s="218"/>
      <c r="C185" s="232" t="s">
        <v>150</v>
      </c>
      <c r="D185" s="1232" t="s">
        <v>66</v>
      </c>
      <c r="E185" s="225">
        <v>2</v>
      </c>
      <c r="F185" s="229">
        <v>0</v>
      </c>
      <c r="G185" s="230">
        <f t="shared" si="14"/>
        <v>0</v>
      </c>
    </row>
    <row r="186" spans="2:7" s="217" customFormat="1">
      <c r="B186" s="218"/>
      <c r="C186" s="233" t="s">
        <v>135</v>
      </c>
      <c r="D186" s="1232" t="s">
        <v>66</v>
      </c>
      <c r="E186" s="225">
        <v>1</v>
      </c>
      <c r="F186" s="229">
        <v>0</v>
      </c>
      <c r="G186" s="230">
        <f t="shared" si="14"/>
        <v>0</v>
      </c>
    </row>
    <row r="187" spans="2:7" s="217" customFormat="1">
      <c r="B187" s="218"/>
      <c r="C187" s="223" t="s">
        <v>1741</v>
      </c>
      <c r="D187" s="1232"/>
      <c r="E187" s="225"/>
      <c r="F187" s="227"/>
      <c r="G187" s="227"/>
    </row>
    <row r="188" spans="2:7" s="217" customFormat="1">
      <c r="B188" s="218"/>
      <c r="C188" s="228" t="s">
        <v>1742</v>
      </c>
      <c r="D188" s="1232" t="s">
        <v>66</v>
      </c>
      <c r="E188" s="225">
        <v>1</v>
      </c>
      <c r="F188" s="229">
        <v>0</v>
      </c>
      <c r="G188" s="230">
        <f t="shared" ref="G188:G205" si="15">E188*F188</f>
        <v>0</v>
      </c>
    </row>
    <row r="189" spans="2:7" s="217" customFormat="1">
      <c r="B189" s="218"/>
      <c r="C189" s="228" t="s">
        <v>1551</v>
      </c>
      <c r="D189" s="1232" t="s">
        <v>66</v>
      </c>
      <c r="E189" s="225">
        <v>1</v>
      </c>
      <c r="F189" s="229">
        <v>0</v>
      </c>
      <c r="G189" s="230">
        <f t="shared" si="15"/>
        <v>0</v>
      </c>
    </row>
    <row r="190" spans="2:7" s="217" customFormat="1">
      <c r="B190" s="218"/>
      <c r="C190" s="228" t="s">
        <v>1743</v>
      </c>
      <c r="D190" s="1232" t="s">
        <v>66</v>
      </c>
      <c r="E190" s="225">
        <v>1</v>
      </c>
      <c r="F190" s="229">
        <v>0</v>
      </c>
      <c r="G190" s="230">
        <f t="shared" si="15"/>
        <v>0</v>
      </c>
    </row>
    <row r="191" spans="2:7" s="217" customFormat="1">
      <c r="B191" s="218"/>
      <c r="C191" s="228" t="s">
        <v>1732</v>
      </c>
      <c r="D191" s="1232" t="s">
        <v>66</v>
      </c>
      <c r="E191" s="225">
        <v>3</v>
      </c>
      <c r="F191" s="229">
        <v>0</v>
      </c>
      <c r="G191" s="230">
        <f t="shared" si="15"/>
        <v>0</v>
      </c>
    </row>
    <row r="192" spans="2:7" s="217" customFormat="1">
      <c r="B192" s="218"/>
      <c r="C192" s="228" t="s">
        <v>1733</v>
      </c>
      <c r="D192" s="1232" t="s">
        <v>66</v>
      </c>
      <c r="E192" s="225">
        <v>6</v>
      </c>
      <c r="F192" s="229">
        <v>0</v>
      </c>
      <c r="G192" s="230">
        <f t="shared" si="15"/>
        <v>0</v>
      </c>
    </row>
    <row r="193" spans="2:7" s="217" customFormat="1">
      <c r="B193" s="218"/>
      <c r="C193" s="228" t="s">
        <v>1549</v>
      </c>
      <c r="D193" s="1232" t="s">
        <v>66</v>
      </c>
      <c r="E193" s="225">
        <v>4</v>
      </c>
      <c r="F193" s="229">
        <v>0</v>
      </c>
      <c r="G193" s="230">
        <f t="shared" si="15"/>
        <v>0</v>
      </c>
    </row>
    <row r="194" spans="2:7" s="217" customFormat="1" ht="12.75" customHeight="1">
      <c r="B194" s="218"/>
      <c r="C194" s="228" t="s">
        <v>1734</v>
      </c>
      <c r="D194" s="1232" t="s">
        <v>66</v>
      </c>
      <c r="E194" s="225">
        <v>3</v>
      </c>
      <c r="F194" s="229">
        <v>0</v>
      </c>
      <c r="G194" s="230">
        <f t="shared" si="15"/>
        <v>0</v>
      </c>
    </row>
    <row r="195" spans="2:7" s="217" customFormat="1" ht="12.75" customHeight="1">
      <c r="B195" s="218"/>
      <c r="C195" s="228" t="s">
        <v>1744</v>
      </c>
      <c r="D195" s="1232" t="s">
        <v>66</v>
      </c>
      <c r="E195" s="225">
        <v>3</v>
      </c>
      <c r="F195" s="229">
        <v>0</v>
      </c>
      <c r="G195" s="230">
        <f t="shared" si="15"/>
        <v>0</v>
      </c>
    </row>
    <row r="196" spans="2:7" s="217" customFormat="1" ht="12.75" customHeight="1">
      <c r="B196" s="218"/>
      <c r="C196" s="231" t="s">
        <v>1745</v>
      </c>
      <c r="D196" s="1232" t="s">
        <v>66</v>
      </c>
      <c r="E196" s="225">
        <v>2</v>
      </c>
      <c r="F196" s="229">
        <v>0</v>
      </c>
      <c r="G196" s="230">
        <f t="shared" si="15"/>
        <v>0</v>
      </c>
    </row>
    <row r="197" spans="2:7" s="217" customFormat="1">
      <c r="B197" s="218"/>
      <c r="C197" s="231" t="s">
        <v>1746</v>
      </c>
      <c r="D197" s="1232" t="s">
        <v>66</v>
      </c>
      <c r="E197" s="225">
        <v>3</v>
      </c>
      <c r="F197" s="229">
        <v>0</v>
      </c>
      <c r="G197" s="230">
        <f t="shared" si="15"/>
        <v>0</v>
      </c>
    </row>
    <row r="198" spans="2:7" s="217" customFormat="1">
      <c r="B198" s="218"/>
      <c r="C198" s="231" t="s">
        <v>1747</v>
      </c>
      <c r="D198" s="1232" t="s">
        <v>66</v>
      </c>
      <c r="E198" s="225">
        <v>2</v>
      </c>
      <c r="F198" s="229">
        <v>0</v>
      </c>
      <c r="G198" s="230">
        <f t="shared" si="15"/>
        <v>0</v>
      </c>
    </row>
    <row r="199" spans="2:7" s="217" customFormat="1" ht="24">
      <c r="B199" s="218"/>
      <c r="C199" s="231" t="s">
        <v>1748</v>
      </c>
      <c r="D199" s="1232" t="s">
        <v>66</v>
      </c>
      <c r="E199" s="225">
        <v>2</v>
      </c>
      <c r="F199" s="229">
        <v>0</v>
      </c>
      <c r="G199" s="230">
        <f t="shared" si="15"/>
        <v>0</v>
      </c>
    </row>
    <row r="200" spans="2:7" s="217" customFormat="1">
      <c r="B200" s="218"/>
      <c r="C200" s="231" t="s">
        <v>1746</v>
      </c>
      <c r="D200" s="1232" t="s">
        <v>66</v>
      </c>
      <c r="E200" s="225">
        <v>2</v>
      </c>
      <c r="F200" s="229">
        <v>0</v>
      </c>
      <c r="G200" s="230">
        <f t="shared" si="15"/>
        <v>0</v>
      </c>
    </row>
    <row r="201" spans="2:7" s="217" customFormat="1">
      <c r="B201" s="218"/>
      <c r="C201" s="279" t="s">
        <v>1749</v>
      </c>
      <c r="D201" s="1232" t="s">
        <v>66</v>
      </c>
      <c r="E201" s="225">
        <v>2</v>
      </c>
      <c r="F201" s="229">
        <v>0</v>
      </c>
      <c r="G201" s="230">
        <f t="shared" si="15"/>
        <v>0</v>
      </c>
    </row>
    <row r="202" spans="2:7" s="217" customFormat="1">
      <c r="B202" s="218"/>
      <c r="C202" s="279" t="s">
        <v>1750</v>
      </c>
      <c r="D202" s="1232" t="s">
        <v>66</v>
      </c>
      <c r="E202" s="225">
        <v>1</v>
      </c>
      <c r="F202" s="229">
        <v>0</v>
      </c>
      <c r="G202" s="230">
        <f t="shared" si="15"/>
        <v>0</v>
      </c>
    </row>
    <row r="203" spans="2:7" s="217" customFormat="1">
      <c r="B203" s="218"/>
      <c r="C203" s="228" t="s">
        <v>1751</v>
      </c>
      <c r="D203" s="1232" t="s">
        <v>66</v>
      </c>
      <c r="E203" s="225">
        <v>1</v>
      </c>
      <c r="F203" s="229">
        <v>0</v>
      </c>
      <c r="G203" s="230">
        <f t="shared" si="15"/>
        <v>0</v>
      </c>
    </row>
    <row r="204" spans="2:7" s="217" customFormat="1">
      <c r="B204" s="218"/>
      <c r="C204" s="279" t="s">
        <v>150</v>
      </c>
      <c r="D204" s="1232" t="s">
        <v>66</v>
      </c>
      <c r="E204" s="225">
        <v>2</v>
      </c>
      <c r="F204" s="229">
        <v>0</v>
      </c>
      <c r="G204" s="230">
        <f t="shared" si="15"/>
        <v>0</v>
      </c>
    </row>
    <row r="205" spans="2:7" s="217" customFormat="1">
      <c r="B205" s="218"/>
      <c r="C205" s="1233" t="s">
        <v>1537</v>
      </c>
      <c r="D205" s="1232" t="s">
        <v>66</v>
      </c>
      <c r="E205" s="225">
        <v>1</v>
      </c>
      <c r="F205" s="229">
        <v>0</v>
      </c>
      <c r="G205" s="230">
        <f t="shared" si="15"/>
        <v>0</v>
      </c>
    </row>
    <row r="206" spans="2:7" s="179" customFormat="1" ht="16.5" customHeight="1">
      <c r="B206" s="258" t="s">
        <v>47</v>
      </c>
      <c r="C206" s="259" t="s">
        <v>175</v>
      </c>
      <c r="D206" s="260"/>
      <c r="E206" s="261"/>
      <c r="F206" s="262"/>
      <c r="G206" s="263">
        <f>SUM(G102:G205)</f>
        <v>0</v>
      </c>
    </row>
  </sheetData>
  <mergeCells count="9">
    <mergeCell ref="B100:G100"/>
    <mergeCell ref="B101:G101"/>
    <mergeCell ref="B40:G40"/>
    <mergeCell ref="B51:B53"/>
    <mergeCell ref="A65:A71"/>
    <mergeCell ref="B65:B71"/>
    <mergeCell ref="B77:B78"/>
    <mergeCell ref="B79:B80"/>
    <mergeCell ref="B99:G99"/>
  </mergeCells>
  <pageMargins left="0.7" right="0.7" top="0.75" bottom="0.75" header="0.3" footer="0.3"/>
  <pageSetup paperSize="9" scale="85" orientation="portrait" r:id="rId1"/>
  <headerFooter alignWithMargins="0">
    <oddFooter>&amp;C&amp;8&amp;P/&amp;N</oddFooter>
  </headerFooter>
  <rowBreaks count="2" manualBreakCount="2">
    <brk id="36" max="16383" man="1"/>
    <brk id="9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2A93-EBC8-4CE4-8FF2-274351214495}">
  <sheetPr>
    <tabColor theme="9" tint="-0.249977111117893"/>
  </sheetPr>
  <dimension ref="A1:L260"/>
  <sheetViews>
    <sheetView topLeftCell="A28" workbookViewId="0">
      <selection activeCell="B30" sqref="B30:B38"/>
    </sheetView>
  </sheetViews>
  <sheetFormatPr defaultRowHeight="12.75"/>
  <cols>
    <col min="1" max="1" width="9.140625" style="1321"/>
    <col min="2" max="2" width="10.7109375" style="1388" customWidth="1"/>
    <col min="3" max="3" width="51.140625" style="651" customWidth="1"/>
    <col min="4" max="4" width="13.7109375" style="1388" customWidth="1"/>
    <col min="5" max="5" width="12.7109375" style="1389" customWidth="1"/>
    <col min="6" max="6" width="15.7109375" style="1390" customWidth="1"/>
    <col min="7" max="7" width="15.7109375" style="1665" customWidth="1"/>
    <col min="8" max="8" width="12.42578125" style="73" bestFit="1" customWidth="1"/>
    <col min="9" max="10" width="9.140625" style="73"/>
    <col min="11" max="11" width="56.5703125" style="73" customWidth="1"/>
    <col min="12" max="16384" width="9.140625" style="73"/>
  </cols>
  <sheetData>
    <row r="1" spans="1:8" s="1" customFormat="1" ht="16.5" customHeight="1">
      <c r="B1" s="2"/>
      <c r="C1" s="3" t="s">
        <v>0</v>
      </c>
      <c r="D1" s="4"/>
      <c r="E1" s="5"/>
      <c r="F1" s="6"/>
      <c r="G1" s="672" t="s">
        <v>1</v>
      </c>
      <c r="H1" s="938"/>
    </row>
    <row r="3" spans="1:8">
      <c r="B3" s="1322" t="s">
        <v>1763</v>
      </c>
      <c r="C3" s="1323" t="s">
        <v>1764</v>
      </c>
      <c r="D3" s="1324"/>
      <c r="E3" s="1322"/>
      <c r="F3" s="1325"/>
      <c r="G3" s="1664"/>
    </row>
    <row r="4" spans="1:8">
      <c r="A4" s="560"/>
      <c r="B4" s="1322" t="s">
        <v>1765</v>
      </c>
      <c r="C4" s="2431" t="s">
        <v>1766</v>
      </c>
      <c r="D4" s="2431"/>
      <c r="E4" s="2431"/>
      <c r="F4" s="2431"/>
      <c r="G4" s="1664"/>
    </row>
    <row r="5" spans="1:8">
      <c r="A5" s="560"/>
      <c r="B5" s="1322" t="s">
        <v>1767</v>
      </c>
      <c r="C5" s="2431" t="s">
        <v>1768</v>
      </c>
      <c r="D5" s="2431"/>
      <c r="E5" s="2431"/>
      <c r="F5" s="2431"/>
      <c r="G5" s="1664"/>
    </row>
    <row r="6" spans="1:8">
      <c r="A6" s="560"/>
      <c r="B6" s="1322" t="s">
        <v>1769</v>
      </c>
      <c r="C6" s="2432" t="s">
        <v>1770</v>
      </c>
      <c r="D6" s="2432"/>
      <c r="E6" s="2432"/>
      <c r="F6" s="2432"/>
      <c r="G6" s="1664"/>
    </row>
    <row r="7" spans="1:8">
      <c r="A7" s="560"/>
      <c r="B7" s="1322" t="s">
        <v>1771</v>
      </c>
      <c r="C7" s="1323" t="s">
        <v>1772</v>
      </c>
      <c r="D7" s="1326"/>
      <c r="E7" s="1326"/>
      <c r="F7" s="1327"/>
      <c r="G7" s="1664"/>
    </row>
    <row r="8" spans="1:8">
      <c r="A8" s="560"/>
      <c r="B8" s="1328"/>
      <c r="C8" s="1329"/>
      <c r="D8" s="1329"/>
      <c r="E8" s="1330"/>
      <c r="F8" s="1331"/>
    </row>
    <row r="9" spans="1:8">
      <c r="A9" s="560"/>
      <c r="B9" s="1332" t="s">
        <v>38</v>
      </c>
      <c r="C9" s="1333"/>
      <c r="D9" s="1333"/>
      <c r="E9" s="1333"/>
      <c r="F9" s="1333"/>
      <c r="G9" s="1666"/>
    </row>
    <row r="10" spans="1:8">
      <c r="A10" s="560"/>
      <c r="B10" s="1334" t="s">
        <v>39</v>
      </c>
      <c r="C10" s="1335"/>
      <c r="D10" s="1335"/>
      <c r="E10" s="1335"/>
      <c r="F10" s="1335"/>
      <c r="G10" s="1667"/>
    </row>
    <row r="11" spans="1:8">
      <c r="A11" s="560"/>
      <c r="B11" s="1332" t="s">
        <v>4</v>
      </c>
      <c r="C11" s="1333"/>
      <c r="D11" s="1333"/>
      <c r="E11" s="1333"/>
      <c r="F11" s="1333"/>
      <c r="G11" s="1666"/>
    </row>
    <row r="12" spans="1:8" ht="18">
      <c r="A12" s="1336"/>
      <c r="B12" s="1334" t="s">
        <v>5</v>
      </c>
      <c r="C12" s="1335"/>
      <c r="D12" s="1335"/>
      <c r="E12" s="1335"/>
      <c r="F12" s="1335"/>
      <c r="G12" s="1667"/>
    </row>
    <row r="13" spans="1:8" ht="18">
      <c r="A13" s="1336"/>
      <c r="B13" s="1336"/>
      <c r="C13" s="1336"/>
      <c r="D13" s="1336"/>
      <c r="E13" s="1336"/>
      <c r="F13" s="1336"/>
      <c r="G13" s="1668"/>
    </row>
    <row r="14" spans="1:8" ht="18">
      <c r="A14" s="1336"/>
      <c r="B14" s="1337"/>
      <c r="C14" s="1337"/>
      <c r="D14" s="1337"/>
      <c r="E14" s="1337"/>
      <c r="F14" s="1337"/>
      <c r="G14" s="1669"/>
    </row>
    <row r="15" spans="1:8" ht="18">
      <c r="A15" s="1336"/>
      <c r="B15" s="2433" t="s">
        <v>1773</v>
      </c>
      <c r="C15" s="2433"/>
      <c r="D15" s="2433"/>
      <c r="E15" s="2433"/>
      <c r="F15" s="2433"/>
      <c r="G15" s="2433"/>
    </row>
    <row r="16" spans="1:8" ht="18">
      <c r="A16" s="1336"/>
      <c r="B16" s="1338" t="s">
        <v>41</v>
      </c>
      <c r="C16" s="1339" t="s">
        <v>42</v>
      </c>
      <c r="D16" s="1339"/>
      <c r="E16" s="1339"/>
      <c r="F16" s="1339"/>
      <c r="G16" s="1339" t="s">
        <v>10</v>
      </c>
    </row>
    <row r="17" spans="1:8" ht="18">
      <c r="A17" s="1336"/>
      <c r="B17" s="1340" t="s">
        <v>43</v>
      </c>
      <c r="C17" s="1340" t="s">
        <v>1774</v>
      </c>
      <c r="D17" s="1338"/>
      <c r="E17" s="1338"/>
      <c r="F17" s="1338"/>
      <c r="G17" s="1670">
        <f>G39</f>
        <v>0</v>
      </c>
    </row>
    <row r="18" spans="1:8" ht="18">
      <c r="A18" s="1336"/>
      <c r="B18" s="1340" t="s">
        <v>45</v>
      </c>
      <c r="C18" s="1340" t="s">
        <v>71</v>
      </c>
      <c r="D18" s="1338"/>
      <c r="E18" s="1338"/>
      <c r="F18" s="1338"/>
      <c r="G18" s="1670">
        <f>G62</f>
        <v>0</v>
      </c>
    </row>
    <row r="19" spans="1:8" ht="18">
      <c r="A19" s="1336"/>
      <c r="B19" s="1340" t="s">
        <v>47</v>
      </c>
      <c r="C19" s="1340" t="s">
        <v>48</v>
      </c>
      <c r="D19" s="1338"/>
      <c r="E19" s="1338"/>
      <c r="F19" s="1338"/>
      <c r="G19" s="1670">
        <f>G125</f>
        <v>0</v>
      </c>
    </row>
    <row r="20" spans="1:8" ht="18.75" thickBot="1">
      <c r="A20" s="1336"/>
      <c r="B20" s="1340" t="s">
        <v>914</v>
      </c>
      <c r="C20" s="1340" t="s">
        <v>1775</v>
      </c>
      <c r="D20" s="1338"/>
      <c r="E20" s="1338"/>
      <c r="F20" s="1338"/>
      <c r="G20" s="1670">
        <f>G132</f>
        <v>0</v>
      </c>
    </row>
    <row r="21" spans="1:8" ht="18">
      <c r="A21" s="1336"/>
      <c r="B21" s="1341"/>
      <c r="C21" s="1341" t="s">
        <v>1777</v>
      </c>
      <c r="D21" s="1341"/>
      <c r="E21" s="1341"/>
      <c r="F21" s="1341"/>
      <c r="G21" s="1671">
        <f>+SUM(G17:G20)</f>
        <v>0</v>
      </c>
    </row>
    <row r="22" spans="1:8" ht="18">
      <c r="B22" s="1342"/>
      <c r="C22" s="1343"/>
      <c r="D22" s="1342"/>
      <c r="E22" s="1344"/>
      <c r="F22" s="1345"/>
      <c r="G22" s="1672"/>
    </row>
    <row r="23" spans="1:8" ht="30">
      <c r="B23" s="1346" t="s">
        <v>50</v>
      </c>
      <c r="C23" s="1346" t="s">
        <v>1778</v>
      </c>
      <c r="D23" s="1346" t="s">
        <v>52</v>
      </c>
      <c r="E23" s="1346" t="s">
        <v>561</v>
      </c>
      <c r="F23" s="1346" t="s">
        <v>1779</v>
      </c>
      <c r="G23" s="1346" t="s">
        <v>1780</v>
      </c>
    </row>
    <row r="24" spans="1:8" ht="15">
      <c r="B24" s="1347"/>
      <c r="C24" s="1348"/>
      <c r="D24" s="1347"/>
      <c r="E24" s="1349"/>
      <c r="F24" s="1350"/>
      <c r="G24" s="1673"/>
    </row>
    <row r="25" spans="1:8">
      <c r="A25" s="1328"/>
      <c r="B25" s="1351" t="s">
        <v>43</v>
      </c>
      <c r="C25" s="1352" t="s">
        <v>1774</v>
      </c>
      <c r="D25" s="1352"/>
      <c r="E25" s="2430"/>
      <c r="F25" s="2430"/>
      <c r="G25" s="1674"/>
    </row>
    <row r="26" spans="1:8" s="1" customFormat="1" ht="27.75" customHeight="1">
      <c r="B26" s="125">
        <v>1</v>
      </c>
      <c r="C26" s="139" t="s">
        <v>56</v>
      </c>
      <c r="D26" s="140" t="s">
        <v>57</v>
      </c>
      <c r="E26" s="128">
        <v>256</v>
      </c>
      <c r="F26" s="1701">
        <v>0</v>
      </c>
      <c r="G26" s="1702">
        <f t="shared" ref="G26" si="0">E26*F26</f>
        <v>0</v>
      </c>
      <c r="H26" s="1703"/>
    </row>
    <row r="27" spans="1:8" s="1" customFormat="1">
      <c r="B27" s="125">
        <v>2</v>
      </c>
      <c r="C27" s="139" t="s">
        <v>58</v>
      </c>
      <c r="D27" s="140" t="s">
        <v>57</v>
      </c>
      <c r="E27" s="128">
        <f>E26</f>
        <v>256</v>
      </c>
      <c r="F27" s="1701">
        <v>0</v>
      </c>
      <c r="G27" s="1702">
        <f>E27*F27</f>
        <v>0</v>
      </c>
      <c r="H27" s="1703"/>
    </row>
    <row r="28" spans="1:8" s="1" customFormat="1" ht="53.25" customHeight="1">
      <c r="B28" s="125">
        <v>3</v>
      </c>
      <c r="C28" s="139" t="s">
        <v>245</v>
      </c>
      <c r="D28" s="140" t="s">
        <v>60</v>
      </c>
      <c r="E28" s="128">
        <v>1</v>
      </c>
      <c r="F28" s="1701">
        <v>0</v>
      </c>
      <c r="G28" s="1702">
        <f t="shared" ref="G28:G38" si="1">E28*F28</f>
        <v>0</v>
      </c>
      <c r="H28" s="1704"/>
    </row>
    <row r="29" spans="1:8" s="1" customFormat="1" ht="127.5" customHeight="1">
      <c r="B29" s="125">
        <v>4</v>
      </c>
      <c r="C29" s="144" t="s">
        <v>61</v>
      </c>
      <c r="D29" s="145" t="s">
        <v>60</v>
      </c>
      <c r="E29" s="128">
        <v>1</v>
      </c>
      <c r="F29" s="1701">
        <v>0</v>
      </c>
      <c r="G29" s="1702">
        <f t="shared" si="1"/>
        <v>0</v>
      </c>
      <c r="H29" s="1703"/>
    </row>
    <row r="30" spans="1:8" s="1" customFormat="1" ht="30.75" customHeight="1">
      <c r="B30" s="125">
        <v>5</v>
      </c>
      <c r="C30" s="144" t="s">
        <v>62</v>
      </c>
      <c r="D30" s="146" t="s">
        <v>60</v>
      </c>
      <c r="E30" s="128">
        <v>1</v>
      </c>
      <c r="F30" s="1701">
        <v>0</v>
      </c>
      <c r="G30" s="1702">
        <f t="shared" si="1"/>
        <v>0</v>
      </c>
      <c r="H30" s="1703"/>
    </row>
    <row r="31" spans="1:8" s="1" customFormat="1" ht="27" customHeight="1">
      <c r="B31" s="125">
        <v>6</v>
      </c>
      <c r="C31" s="1705" t="s">
        <v>63</v>
      </c>
      <c r="D31" s="146" t="s">
        <v>60</v>
      </c>
      <c r="E31" s="128">
        <v>1</v>
      </c>
      <c r="F31" s="1701">
        <v>0</v>
      </c>
      <c r="G31" s="1702">
        <f t="shared" si="1"/>
        <v>0</v>
      </c>
      <c r="H31" s="1703"/>
    </row>
    <row r="32" spans="1:8" s="1" customFormat="1" ht="52.5" customHeight="1">
      <c r="B32" s="125">
        <v>7</v>
      </c>
      <c r="C32" s="1705" t="s">
        <v>64</v>
      </c>
      <c r="D32" s="146" t="s">
        <v>60</v>
      </c>
      <c r="E32" s="128">
        <v>1</v>
      </c>
      <c r="F32" s="1701">
        <v>0</v>
      </c>
      <c r="G32" s="1702">
        <f t="shared" si="1"/>
        <v>0</v>
      </c>
      <c r="H32" s="1703"/>
    </row>
    <row r="33" spans="1:8" s="1" customFormat="1" ht="52.5" customHeight="1">
      <c r="B33" s="125">
        <v>8</v>
      </c>
      <c r="C33" s="1080" t="s">
        <v>2292</v>
      </c>
      <c r="D33" s="146" t="s">
        <v>66</v>
      </c>
      <c r="E33" s="128">
        <v>30</v>
      </c>
      <c r="F33" s="1701">
        <v>0</v>
      </c>
      <c r="G33" s="1702">
        <f t="shared" si="1"/>
        <v>0</v>
      </c>
      <c r="H33" s="1703"/>
    </row>
    <row r="34" spans="1:8" s="1" customFormat="1" ht="25.5" customHeight="1">
      <c r="B34" s="125">
        <v>9</v>
      </c>
      <c r="C34" s="1080" t="s">
        <v>2294</v>
      </c>
      <c r="D34" s="146" t="s">
        <v>57</v>
      </c>
      <c r="E34" s="128">
        <f>E26</f>
        <v>256</v>
      </c>
      <c r="F34" s="1701">
        <v>0</v>
      </c>
      <c r="G34" s="1702">
        <f t="shared" si="1"/>
        <v>0</v>
      </c>
      <c r="H34" s="1704"/>
    </row>
    <row r="35" spans="1:8" s="1" customFormat="1" ht="27.75" customHeight="1">
      <c r="B35" s="125">
        <v>10</v>
      </c>
      <c r="C35" s="1080" t="s">
        <v>2293</v>
      </c>
      <c r="D35" s="146" t="s">
        <v>60</v>
      </c>
      <c r="E35" s="128">
        <v>1</v>
      </c>
      <c r="F35" s="1701">
        <v>0</v>
      </c>
      <c r="G35" s="1702">
        <f t="shared" si="1"/>
        <v>0</v>
      </c>
      <c r="H35" s="1703"/>
    </row>
    <row r="36" spans="1:8" s="1" customFormat="1" ht="14.25" customHeight="1">
      <c r="B36" s="125">
        <v>11</v>
      </c>
      <c r="C36" s="1705" t="s">
        <v>67</v>
      </c>
      <c r="D36" s="146" t="s">
        <v>60</v>
      </c>
      <c r="E36" s="128">
        <v>1</v>
      </c>
      <c r="F36" s="1701">
        <v>0</v>
      </c>
      <c r="G36" s="1702">
        <f t="shared" si="1"/>
        <v>0</v>
      </c>
      <c r="H36" s="1703"/>
    </row>
    <row r="37" spans="1:8" s="1" customFormat="1" ht="38.25" customHeight="1">
      <c r="B37" s="125">
        <v>12</v>
      </c>
      <c r="C37" s="148" t="s">
        <v>68</v>
      </c>
      <c r="D37" s="146" t="s">
        <v>60</v>
      </c>
      <c r="E37" s="149">
        <v>1</v>
      </c>
      <c r="F37" s="1701">
        <v>0</v>
      </c>
      <c r="G37" s="1702">
        <f t="shared" si="1"/>
        <v>0</v>
      </c>
      <c r="H37" s="1703"/>
    </row>
    <row r="38" spans="1:8" s="1" customFormat="1" ht="39.75" customHeight="1">
      <c r="B38" s="125">
        <v>13</v>
      </c>
      <c r="C38" s="150" t="s">
        <v>69</v>
      </c>
      <c r="D38" s="146" t="s">
        <v>60</v>
      </c>
      <c r="E38" s="149">
        <v>1</v>
      </c>
      <c r="F38" s="1701">
        <v>0</v>
      </c>
      <c r="G38" s="1702">
        <f t="shared" si="1"/>
        <v>0</v>
      </c>
      <c r="H38" s="1704"/>
    </row>
    <row r="39" spans="1:8">
      <c r="A39" s="1328"/>
      <c r="B39" s="1351" t="s">
        <v>43</v>
      </c>
      <c r="C39" s="1352" t="s">
        <v>1781</v>
      </c>
      <c r="D39" s="1352"/>
      <c r="E39" s="2430"/>
      <c r="F39" s="2430"/>
      <c r="G39" s="1674">
        <f>SUM(G26:G38)</f>
        <v>0</v>
      </c>
    </row>
    <row r="40" spans="1:8">
      <c r="A40" s="1328"/>
      <c r="B40" s="1353"/>
      <c r="C40" s="576"/>
      <c r="D40" s="1354"/>
      <c r="E40" s="1355"/>
      <c r="F40" s="1356"/>
      <c r="G40" s="1676"/>
    </row>
    <row r="41" spans="1:8" ht="30">
      <c r="B41" s="1346" t="s">
        <v>50</v>
      </c>
      <c r="C41" s="1346" t="s">
        <v>1778</v>
      </c>
      <c r="D41" s="1346" t="s">
        <v>52</v>
      </c>
      <c r="E41" s="1346" t="s">
        <v>561</v>
      </c>
      <c r="F41" s="1346" t="s">
        <v>1779</v>
      </c>
      <c r="G41" s="1346" t="s">
        <v>1780</v>
      </c>
    </row>
    <row r="42" spans="1:8" ht="99" customHeight="1">
      <c r="A42" s="1328"/>
      <c r="B42" s="2425" t="s">
        <v>72</v>
      </c>
      <c r="C42" s="2426"/>
      <c r="D42" s="2426"/>
      <c r="E42" s="2426"/>
      <c r="F42" s="2426"/>
      <c r="G42" s="2426"/>
    </row>
    <row r="43" spans="1:8">
      <c r="A43" s="1328"/>
      <c r="B43" s="1357"/>
      <c r="C43" s="1358"/>
      <c r="D43" s="1358"/>
      <c r="E43" s="1358"/>
      <c r="F43" s="1358"/>
      <c r="G43" s="1677"/>
    </row>
    <row r="44" spans="1:8">
      <c r="A44" s="1328"/>
      <c r="B44" s="1351" t="s">
        <v>45</v>
      </c>
      <c r="C44" s="1351" t="s">
        <v>71</v>
      </c>
      <c r="D44" s="1351"/>
      <c r="E44" s="1351"/>
      <c r="F44" s="1351"/>
      <c r="G44" s="1678"/>
    </row>
    <row r="45" spans="1:8" ht="78" customHeight="1">
      <c r="A45" s="1328"/>
      <c r="B45" s="1353" t="s">
        <v>11</v>
      </c>
      <c r="C45" s="576" t="s">
        <v>1782</v>
      </c>
      <c r="D45" s="1353" t="s">
        <v>74</v>
      </c>
      <c r="E45" s="1355">
        <v>128</v>
      </c>
      <c r="F45" s="1560">
        <v>0</v>
      </c>
      <c r="G45" s="1675">
        <f t="shared" ref="G45:G54" si="2">E45*F45</f>
        <v>0</v>
      </c>
    </row>
    <row r="46" spans="1:8" ht="51">
      <c r="A46" s="1328"/>
      <c r="B46" s="1353" t="s">
        <v>13</v>
      </c>
      <c r="C46" s="576" t="s">
        <v>1783</v>
      </c>
      <c r="D46" s="1353" t="s">
        <v>74</v>
      </c>
      <c r="E46" s="1355">
        <v>440</v>
      </c>
      <c r="F46" s="1560">
        <v>0</v>
      </c>
      <c r="G46" s="1675">
        <f t="shared" si="2"/>
        <v>0</v>
      </c>
    </row>
    <row r="47" spans="1:8" ht="38.25">
      <c r="A47" s="1328"/>
      <c r="B47" s="1353" t="s">
        <v>15</v>
      </c>
      <c r="C47" s="576" t="s">
        <v>1784</v>
      </c>
      <c r="D47" s="1353" t="s">
        <v>78</v>
      </c>
      <c r="E47" s="1355">
        <v>243</v>
      </c>
      <c r="F47" s="1560">
        <v>0</v>
      </c>
      <c r="G47" s="1675">
        <f t="shared" si="2"/>
        <v>0</v>
      </c>
    </row>
    <row r="48" spans="1:8" ht="63.75">
      <c r="A48" s="1328"/>
      <c r="B48" s="1353" t="s">
        <v>17</v>
      </c>
      <c r="C48" s="576" t="s">
        <v>1785</v>
      </c>
      <c r="D48" s="1353" t="s">
        <v>74</v>
      </c>
      <c r="E48" s="1355">
        <v>44</v>
      </c>
      <c r="F48" s="1560">
        <v>0</v>
      </c>
      <c r="G48" s="1675">
        <f t="shared" si="2"/>
        <v>0</v>
      </c>
    </row>
    <row r="49" spans="1:7" ht="51">
      <c r="A49" s="1328"/>
      <c r="B49" s="1353" t="s">
        <v>19</v>
      </c>
      <c r="C49" s="576" t="s">
        <v>1786</v>
      </c>
      <c r="D49" s="1353" t="s">
        <v>74</v>
      </c>
      <c r="E49" s="1355">
        <v>114</v>
      </c>
      <c r="F49" s="1560">
        <v>0</v>
      </c>
      <c r="G49" s="1675">
        <f t="shared" si="2"/>
        <v>0</v>
      </c>
    </row>
    <row r="50" spans="1:7" ht="63.75">
      <c r="A50" s="1328"/>
      <c r="B50" s="1353" t="s">
        <v>21</v>
      </c>
      <c r="C50" s="576" t="s">
        <v>1787</v>
      </c>
      <c r="D50" s="1353" t="s">
        <v>74</v>
      </c>
      <c r="E50" s="1355">
        <v>238</v>
      </c>
      <c r="F50" s="1560">
        <v>0</v>
      </c>
      <c r="G50" s="1675">
        <f t="shared" si="2"/>
        <v>0</v>
      </c>
    </row>
    <row r="51" spans="1:7" ht="30" customHeight="1">
      <c r="A51" s="1328"/>
      <c r="B51" s="1353" t="s">
        <v>23</v>
      </c>
      <c r="C51" s="576" t="s">
        <v>1788</v>
      </c>
      <c r="D51" s="1353" t="s">
        <v>78</v>
      </c>
      <c r="E51" s="1355">
        <v>20</v>
      </c>
      <c r="F51" s="1560">
        <v>0</v>
      </c>
      <c r="G51" s="1675">
        <f t="shared" si="2"/>
        <v>0</v>
      </c>
    </row>
    <row r="52" spans="1:7" ht="38.25">
      <c r="A52" s="1328"/>
      <c r="B52" s="1353" t="s">
        <v>25</v>
      </c>
      <c r="C52" s="576" t="s">
        <v>1789</v>
      </c>
      <c r="D52" s="1353" t="s">
        <v>74</v>
      </c>
      <c r="E52" s="1355">
        <v>46</v>
      </c>
      <c r="F52" s="1560">
        <v>0</v>
      </c>
      <c r="G52" s="1675">
        <f t="shared" si="2"/>
        <v>0</v>
      </c>
    </row>
    <row r="53" spans="1:7">
      <c r="A53" s="1328"/>
      <c r="B53" s="1353" t="s">
        <v>864</v>
      </c>
      <c r="C53" s="576" t="s">
        <v>1790</v>
      </c>
      <c r="D53" s="1353" t="s">
        <v>78</v>
      </c>
      <c r="E53" s="1355">
        <v>12</v>
      </c>
      <c r="F53" s="1560">
        <v>0</v>
      </c>
      <c r="G53" s="1675">
        <f t="shared" si="2"/>
        <v>0</v>
      </c>
    </row>
    <row r="54" spans="1:7" ht="25.5">
      <c r="A54" s="1328"/>
      <c r="B54" s="1353" t="s">
        <v>865</v>
      </c>
      <c r="C54" s="576" t="s">
        <v>1791</v>
      </c>
      <c r="D54" s="1353" t="s">
        <v>74</v>
      </c>
      <c r="E54" s="1355">
        <v>4</v>
      </c>
      <c r="F54" s="1560">
        <v>0</v>
      </c>
      <c r="G54" s="1675">
        <f t="shared" si="2"/>
        <v>0</v>
      </c>
    </row>
    <row r="55" spans="1:7" ht="51">
      <c r="A55" s="1328"/>
      <c r="B55" s="1353" t="s">
        <v>866</v>
      </c>
      <c r="C55" s="576" t="s">
        <v>1792</v>
      </c>
      <c r="D55" s="1353" t="s">
        <v>74</v>
      </c>
      <c r="E55" s="1355">
        <v>34</v>
      </c>
      <c r="F55" s="1561">
        <v>0</v>
      </c>
      <c r="G55" s="1675">
        <f t="shared" ref="G55:G61" si="3">E55*F55</f>
        <v>0</v>
      </c>
    </row>
    <row r="56" spans="1:7" ht="57.75" customHeight="1">
      <c r="A56" s="1328"/>
      <c r="B56" s="1353" t="s">
        <v>1232</v>
      </c>
      <c r="C56" s="576" t="s">
        <v>1793</v>
      </c>
      <c r="D56" s="1353" t="s">
        <v>60</v>
      </c>
      <c r="E56" s="1355">
        <v>1</v>
      </c>
      <c r="F56" s="1561">
        <v>0</v>
      </c>
      <c r="G56" s="1675">
        <f t="shared" si="3"/>
        <v>0</v>
      </c>
    </row>
    <row r="57" spans="1:7" ht="47.45" customHeight="1">
      <c r="A57" s="1328"/>
      <c r="B57" s="1353" t="s">
        <v>1234</v>
      </c>
      <c r="C57" s="576" t="s">
        <v>1794</v>
      </c>
      <c r="D57" s="1353" t="s">
        <v>252</v>
      </c>
      <c r="E57" s="1355">
        <v>17</v>
      </c>
      <c r="F57" s="1561">
        <v>0</v>
      </c>
      <c r="G57" s="1675">
        <f t="shared" si="3"/>
        <v>0</v>
      </c>
    </row>
    <row r="58" spans="1:7" ht="28.5" customHeight="1">
      <c r="A58" s="1328"/>
      <c r="B58" s="1353" t="s">
        <v>1236</v>
      </c>
      <c r="C58" s="1360" t="s">
        <v>1795</v>
      </c>
      <c r="D58" s="1353" t="s">
        <v>65</v>
      </c>
      <c r="E58" s="1355">
        <v>8</v>
      </c>
      <c r="F58" s="1561">
        <v>0</v>
      </c>
      <c r="G58" s="1675">
        <f t="shared" si="3"/>
        <v>0</v>
      </c>
    </row>
    <row r="59" spans="1:7" ht="38.450000000000003" customHeight="1">
      <c r="A59" s="1328"/>
      <c r="B59" s="1353" t="s">
        <v>1238</v>
      </c>
      <c r="C59" s="576" t="s">
        <v>1796</v>
      </c>
      <c r="D59" s="1353" t="s">
        <v>74</v>
      </c>
      <c r="E59" s="1355">
        <f>E45</f>
        <v>128</v>
      </c>
      <c r="F59" s="1561">
        <v>0</v>
      </c>
      <c r="G59" s="1675">
        <f t="shared" si="3"/>
        <v>0</v>
      </c>
    </row>
    <row r="60" spans="1:7" ht="49.9" customHeight="1">
      <c r="A60" s="1328"/>
      <c r="B60" s="1353" t="s">
        <v>1240</v>
      </c>
      <c r="C60" s="576" t="s">
        <v>1797</v>
      </c>
      <c r="D60" s="1353" t="s">
        <v>74</v>
      </c>
      <c r="E60" s="1355">
        <f>E48+E49</f>
        <v>158</v>
      </c>
      <c r="F60" s="1561">
        <v>0</v>
      </c>
      <c r="G60" s="1675">
        <f t="shared" si="3"/>
        <v>0</v>
      </c>
    </row>
    <row r="61" spans="1:7" ht="45" customHeight="1">
      <c r="B61" s="1353" t="s">
        <v>1242</v>
      </c>
      <c r="C61" s="184" t="s">
        <v>270</v>
      </c>
      <c r="D61" s="1353" t="s">
        <v>60</v>
      </c>
      <c r="E61" s="1355">
        <v>4</v>
      </c>
      <c r="F61" s="1561">
        <v>0</v>
      </c>
      <c r="G61" s="1675">
        <f t="shared" si="3"/>
        <v>0</v>
      </c>
    </row>
    <row r="62" spans="1:7">
      <c r="A62" s="1328"/>
      <c r="B62" s="1351" t="s">
        <v>45</v>
      </c>
      <c r="C62" s="1351" t="s">
        <v>101</v>
      </c>
      <c r="D62" s="1351"/>
      <c r="E62" s="1351"/>
      <c r="F62" s="1351"/>
      <c r="G62" s="1679">
        <f>SUM(G45:G61)</f>
        <v>0</v>
      </c>
    </row>
    <row r="63" spans="1:7">
      <c r="B63" s="1353"/>
      <c r="C63" s="576"/>
      <c r="D63" s="1353"/>
      <c r="E63" s="1355"/>
      <c r="F63" s="1359"/>
      <c r="G63" s="1680"/>
    </row>
    <row r="64" spans="1:7" ht="30">
      <c r="B64" s="1346" t="s">
        <v>50</v>
      </c>
      <c r="C64" s="1346" t="s">
        <v>1778</v>
      </c>
      <c r="D64" s="1346" t="s">
        <v>52</v>
      </c>
      <c r="E64" s="1346" t="s">
        <v>561</v>
      </c>
      <c r="F64" s="1346" t="s">
        <v>1779</v>
      </c>
      <c r="G64" s="1346" t="s">
        <v>1780</v>
      </c>
    </row>
    <row r="65" spans="1:12" ht="15">
      <c r="B65" s="1361"/>
      <c r="C65" s="1361"/>
      <c r="D65" s="1361"/>
      <c r="E65" s="1361"/>
      <c r="F65" s="1361"/>
      <c r="G65" s="1361"/>
    </row>
    <row r="66" spans="1:12">
      <c r="A66" s="1328"/>
      <c r="B66" s="1351" t="s">
        <v>47</v>
      </c>
      <c r="C66" s="1351" t="s">
        <v>48</v>
      </c>
      <c r="D66" s="1351"/>
      <c r="E66" s="1351"/>
      <c r="F66" s="1351"/>
      <c r="G66" s="1679"/>
    </row>
    <row r="67" spans="1:12">
      <c r="B67" s="1362" t="s">
        <v>38</v>
      </c>
      <c r="C67" s="1363"/>
      <c r="D67" s="1364"/>
      <c r="E67" s="1365"/>
      <c r="F67" s="1365"/>
      <c r="G67" s="1681"/>
    </row>
    <row r="68" spans="1:12">
      <c r="B68" s="1366" t="s">
        <v>39</v>
      </c>
      <c r="C68" s="1367"/>
      <c r="D68" s="1368"/>
      <c r="E68" s="1369"/>
      <c r="F68" s="1369"/>
      <c r="G68" s="1682"/>
    </row>
    <row r="69" spans="1:12">
      <c r="B69" s="1362" t="s">
        <v>4</v>
      </c>
      <c r="C69" s="1363"/>
      <c r="D69" s="1365"/>
      <c r="E69" s="1365"/>
      <c r="F69" s="1365"/>
      <c r="G69" s="1681"/>
    </row>
    <row r="70" spans="1:12">
      <c r="B70" s="1366" t="s">
        <v>5</v>
      </c>
      <c r="C70" s="1367"/>
      <c r="D70" s="1369"/>
      <c r="E70" s="1369"/>
      <c r="F70" s="1369"/>
      <c r="G70" s="1682"/>
    </row>
    <row r="71" spans="1:12">
      <c r="B71" s="2427" t="s">
        <v>271</v>
      </c>
      <c r="C71" s="2428"/>
      <c r="D71" s="2428"/>
      <c r="E71" s="2428"/>
      <c r="F71" s="2428"/>
      <c r="G71" s="2429"/>
    </row>
    <row r="72" spans="1:12">
      <c r="B72" s="2427" t="s">
        <v>104</v>
      </c>
      <c r="C72" s="2428"/>
      <c r="D72" s="2428"/>
      <c r="E72" s="2428"/>
      <c r="F72" s="2428"/>
      <c r="G72" s="2429"/>
    </row>
    <row r="73" spans="1:12">
      <c r="B73" s="2427" t="s">
        <v>105</v>
      </c>
      <c r="C73" s="2428"/>
      <c r="D73" s="2428"/>
      <c r="E73" s="2428"/>
      <c r="F73" s="2428"/>
      <c r="G73" s="2429"/>
    </row>
    <row r="74" spans="1:12">
      <c r="B74" s="1353"/>
      <c r="C74" s="1370"/>
      <c r="D74" s="1353"/>
      <c r="E74" s="1355"/>
      <c r="F74" s="1371"/>
      <c r="G74" s="1676"/>
      <c r="J74" s="1663"/>
      <c r="K74" s="1663"/>
      <c r="L74" s="1663"/>
    </row>
    <row r="75" spans="1:12" ht="27" customHeight="1">
      <c r="B75" s="2422" t="s">
        <v>11</v>
      </c>
      <c r="C75" s="1658" t="s">
        <v>106</v>
      </c>
      <c r="D75" s="1657"/>
      <c r="E75" s="1659"/>
      <c r="F75" s="1660"/>
      <c r="G75" s="1683"/>
      <c r="J75" s="1663"/>
      <c r="K75" s="1663"/>
      <c r="L75" s="1663"/>
    </row>
    <row r="76" spans="1:12" ht="18.75" customHeight="1">
      <c r="B76" s="2423"/>
      <c r="C76" s="1661" t="s">
        <v>485</v>
      </c>
      <c r="D76" s="1657" t="s">
        <v>57</v>
      </c>
      <c r="E76" s="1659">
        <v>78</v>
      </c>
      <c r="F76" s="1662">
        <v>0</v>
      </c>
      <c r="G76" s="1684">
        <f>E76*F76</f>
        <v>0</v>
      </c>
      <c r="J76" s="1663"/>
      <c r="K76" s="1663"/>
      <c r="L76" s="1663"/>
    </row>
    <row r="77" spans="1:12" ht="18.75" customHeight="1">
      <c r="B77" s="2424"/>
      <c r="C77" s="1661" t="s">
        <v>486</v>
      </c>
      <c r="D77" s="1657" t="s">
        <v>57</v>
      </c>
      <c r="E77" s="1659">
        <v>178</v>
      </c>
      <c r="F77" s="1662">
        <v>0</v>
      </c>
      <c r="G77" s="1684">
        <f>E77*F77</f>
        <v>0</v>
      </c>
      <c r="J77" s="1663"/>
      <c r="K77" s="1663"/>
      <c r="L77" s="1663"/>
    </row>
    <row r="78" spans="1:12" s="1" customFormat="1" ht="40.5" customHeight="1">
      <c r="B78" s="1706">
        <v>2</v>
      </c>
      <c r="C78" s="197" t="s">
        <v>114</v>
      </c>
      <c r="D78" s="145" t="s">
        <v>57</v>
      </c>
      <c r="E78" s="198">
        <v>256</v>
      </c>
      <c r="F78" s="1701">
        <v>0</v>
      </c>
      <c r="G78" s="1702">
        <f t="shared" ref="G78" si="4">E78*F78</f>
        <v>0</v>
      </c>
      <c r="H78" s="1703"/>
    </row>
    <row r="79" spans="1:12" s="1" customFormat="1" ht="41.25" customHeight="1">
      <c r="B79" s="1707" t="s">
        <v>115</v>
      </c>
      <c r="C79" s="197" t="s">
        <v>116</v>
      </c>
      <c r="D79" s="145" t="s">
        <v>57</v>
      </c>
      <c r="E79" s="198">
        <v>256</v>
      </c>
      <c r="F79" s="1701">
        <v>0</v>
      </c>
      <c r="G79" s="1702">
        <f>E79*F79</f>
        <v>0</v>
      </c>
      <c r="H79" s="1703"/>
    </row>
    <row r="80" spans="1:12" s="1" customFormat="1" ht="27" customHeight="1">
      <c r="B80" s="1707" t="s">
        <v>117</v>
      </c>
      <c r="C80" s="197" t="s">
        <v>118</v>
      </c>
      <c r="D80" s="145" t="s">
        <v>57</v>
      </c>
      <c r="E80" s="198">
        <v>256</v>
      </c>
      <c r="F80" s="1701">
        <v>0</v>
      </c>
      <c r="G80" s="1702">
        <f>E80*F80</f>
        <v>0</v>
      </c>
      <c r="H80" s="1703"/>
    </row>
    <row r="81" spans="2:12" s="1" customFormat="1" ht="39" customHeight="1">
      <c r="B81" s="1707" t="s">
        <v>119</v>
      </c>
      <c r="C81" s="197" t="s">
        <v>120</v>
      </c>
      <c r="D81" s="145" t="s">
        <v>57</v>
      </c>
      <c r="E81" s="198">
        <v>256</v>
      </c>
      <c r="F81" s="1701">
        <v>0</v>
      </c>
      <c r="G81" s="1702">
        <f>E81*F81</f>
        <v>0</v>
      </c>
      <c r="H81" s="1703"/>
    </row>
    <row r="82" spans="2:12" ht="20.25" customHeight="1">
      <c r="B82" s="1353" t="s">
        <v>15</v>
      </c>
      <c r="C82" s="1708" t="s">
        <v>2089</v>
      </c>
      <c r="D82" s="1353"/>
      <c r="E82" s="1355"/>
      <c r="F82" s="1563"/>
      <c r="G82" s="1685"/>
      <c r="J82" s="1663"/>
      <c r="K82" s="1663"/>
      <c r="L82" s="1663"/>
    </row>
    <row r="83" spans="2:12">
      <c r="B83" s="1353"/>
      <c r="C83" s="1372" t="s">
        <v>1798</v>
      </c>
      <c r="D83" s="1373" t="s">
        <v>252</v>
      </c>
      <c r="E83" s="1374">
        <v>1</v>
      </c>
      <c r="F83" s="1564">
        <v>0</v>
      </c>
      <c r="G83" s="1686">
        <f t="shared" ref="G83:G91" si="5">E83*F83</f>
        <v>0</v>
      </c>
    </row>
    <row r="84" spans="2:12">
      <c r="B84" s="1353"/>
      <c r="C84" s="1372" t="s">
        <v>1799</v>
      </c>
      <c r="D84" s="1373" t="s">
        <v>252</v>
      </c>
      <c r="E84" s="1374">
        <v>4</v>
      </c>
      <c r="F84" s="1564">
        <v>0</v>
      </c>
      <c r="G84" s="1686">
        <f t="shared" si="5"/>
        <v>0</v>
      </c>
    </row>
    <row r="85" spans="2:12">
      <c r="B85" s="1353"/>
      <c r="C85" s="1372" t="s">
        <v>515</v>
      </c>
      <c r="D85" s="1373" t="s">
        <v>252</v>
      </c>
      <c r="E85" s="1374">
        <v>2</v>
      </c>
      <c r="F85" s="1564">
        <v>0</v>
      </c>
      <c r="G85" s="1686">
        <f t="shared" si="5"/>
        <v>0</v>
      </c>
    </row>
    <row r="86" spans="2:12">
      <c r="B86" s="1353"/>
      <c r="C86" s="1372"/>
      <c r="D86" s="1373"/>
      <c r="E86" s="1374"/>
      <c r="F86" s="1564"/>
      <c r="G86" s="1686"/>
    </row>
    <row r="87" spans="2:12">
      <c r="B87" s="1353"/>
      <c r="C87" s="1372" t="s">
        <v>1800</v>
      </c>
      <c r="D87" s="1373" t="s">
        <v>252</v>
      </c>
      <c r="E87" s="1374">
        <v>1</v>
      </c>
      <c r="F87" s="1564">
        <v>0</v>
      </c>
      <c r="G87" s="1686">
        <f>E87*F87</f>
        <v>0</v>
      </c>
    </row>
    <row r="88" spans="2:12">
      <c r="B88" s="1353"/>
      <c r="C88" s="1372"/>
      <c r="D88" s="1373"/>
      <c r="E88" s="1374"/>
      <c r="F88" s="1564"/>
      <c r="G88" s="1686"/>
    </row>
    <row r="89" spans="2:12">
      <c r="B89" s="1353"/>
      <c r="C89" s="219" t="s">
        <v>512</v>
      </c>
      <c r="D89" s="1373" t="s">
        <v>252</v>
      </c>
      <c r="E89" s="1374">
        <v>3</v>
      </c>
      <c r="F89" s="1564">
        <v>0</v>
      </c>
      <c r="G89" s="1686">
        <f t="shared" si="5"/>
        <v>0</v>
      </c>
    </row>
    <row r="90" spans="2:12">
      <c r="B90" s="1353"/>
      <c r="C90" s="219" t="s">
        <v>513</v>
      </c>
      <c r="D90" s="1373" t="s">
        <v>252</v>
      </c>
      <c r="E90" s="1374">
        <v>2</v>
      </c>
      <c r="F90" s="1564">
        <v>0</v>
      </c>
      <c r="G90" s="1686">
        <f>E90*F90</f>
        <v>0</v>
      </c>
    </row>
    <row r="91" spans="2:12">
      <c r="B91" s="1353"/>
      <c r="C91" s="219" t="s">
        <v>2094</v>
      </c>
      <c r="D91" s="1373" t="s">
        <v>252</v>
      </c>
      <c r="E91" s="1374">
        <v>1</v>
      </c>
      <c r="F91" s="1564">
        <v>0</v>
      </c>
      <c r="G91" s="1686">
        <f t="shared" si="5"/>
        <v>0</v>
      </c>
    </row>
    <row r="92" spans="2:12">
      <c r="B92" s="1697"/>
      <c r="C92" s="1696"/>
      <c r="D92" s="1698"/>
      <c r="E92" s="1374"/>
      <c r="F92" s="1564"/>
      <c r="G92" s="1686"/>
    </row>
    <row r="93" spans="2:12">
      <c r="B93" s="1353"/>
      <c r="C93" s="1699" t="s">
        <v>2093</v>
      </c>
      <c r="D93" s="1353" t="s">
        <v>252</v>
      </c>
      <c r="E93" s="1355">
        <v>7</v>
      </c>
      <c r="F93" s="1562">
        <v>0</v>
      </c>
      <c r="G93" s="1685">
        <f>E93*F93</f>
        <v>0</v>
      </c>
    </row>
    <row r="94" spans="2:12">
      <c r="B94" s="1353"/>
      <c r="C94" s="208" t="s">
        <v>2092</v>
      </c>
      <c r="D94" s="1353" t="s">
        <v>252</v>
      </c>
      <c r="E94" s="1355">
        <v>2</v>
      </c>
      <c r="F94" s="1562">
        <v>0</v>
      </c>
      <c r="G94" s="1685">
        <f>E94*F94</f>
        <v>0</v>
      </c>
    </row>
    <row r="95" spans="2:12">
      <c r="B95" s="1353"/>
      <c r="C95" s="208" t="s">
        <v>2091</v>
      </c>
      <c r="D95" s="1353" t="s">
        <v>252</v>
      </c>
      <c r="E95" s="1355">
        <v>1</v>
      </c>
      <c r="F95" s="1562">
        <v>0</v>
      </c>
      <c r="G95" s="1685">
        <f>E95*F95</f>
        <v>0</v>
      </c>
    </row>
    <row r="96" spans="2:12">
      <c r="B96" s="1353"/>
      <c r="C96" s="1372"/>
      <c r="D96" s="1373"/>
      <c r="E96" s="1374"/>
      <c r="F96" s="1564"/>
      <c r="G96" s="1686"/>
    </row>
    <row r="97" spans="1:7">
      <c r="A97" s="1375"/>
      <c r="B97" s="1353"/>
      <c r="C97" s="219" t="s">
        <v>2095</v>
      </c>
      <c r="D97" s="1353" t="s">
        <v>252</v>
      </c>
      <c r="E97" s="1355">
        <v>1</v>
      </c>
      <c r="F97" s="1562">
        <v>0</v>
      </c>
      <c r="G97" s="1685">
        <f>E97*F97</f>
        <v>0</v>
      </c>
    </row>
    <row r="98" spans="1:7">
      <c r="B98" s="1353"/>
      <c r="C98" s="219" t="s">
        <v>207</v>
      </c>
      <c r="D98" s="1353" t="s">
        <v>252</v>
      </c>
      <c r="E98" s="1355">
        <v>1</v>
      </c>
      <c r="F98" s="1562">
        <v>0</v>
      </c>
      <c r="G98" s="1685">
        <f>E98*F98</f>
        <v>0</v>
      </c>
    </row>
    <row r="99" spans="1:7">
      <c r="B99" s="1353"/>
      <c r="C99" s="1372"/>
      <c r="D99" s="1373"/>
      <c r="E99" s="1374"/>
      <c r="F99" s="1374"/>
      <c r="G99" s="1686"/>
    </row>
    <row r="100" spans="1:7">
      <c r="B100" s="1353"/>
      <c r="C100" s="222" t="s">
        <v>157</v>
      </c>
      <c r="D100" s="1353" t="s">
        <v>252</v>
      </c>
      <c r="E100" s="1355">
        <v>1</v>
      </c>
      <c r="F100" s="1562">
        <v>0</v>
      </c>
      <c r="G100" s="1685">
        <f>E100*F100</f>
        <v>0</v>
      </c>
    </row>
    <row r="101" spans="1:7">
      <c r="B101" s="1353"/>
      <c r="C101" s="576"/>
      <c r="D101" s="1353"/>
      <c r="E101" s="1355"/>
      <c r="F101" s="1562"/>
      <c r="G101" s="1685"/>
    </row>
    <row r="102" spans="1:7">
      <c r="B102" s="1353"/>
      <c r="C102" s="228" t="s">
        <v>1551</v>
      </c>
      <c r="D102" s="1353" t="s">
        <v>252</v>
      </c>
      <c r="E102" s="1355">
        <v>18</v>
      </c>
      <c r="F102" s="1562">
        <v>0</v>
      </c>
      <c r="G102" s="1685">
        <f t="shared" ref="G102:G103" si="6">E102*F102</f>
        <v>0</v>
      </c>
    </row>
    <row r="103" spans="1:7">
      <c r="A103" s="1375"/>
      <c r="B103" s="1353"/>
      <c r="C103" s="231" t="s">
        <v>143</v>
      </c>
      <c r="D103" s="1353" t="s">
        <v>252</v>
      </c>
      <c r="E103" s="1355">
        <v>1</v>
      </c>
      <c r="F103" s="1562">
        <v>0</v>
      </c>
      <c r="G103" s="1685">
        <f t="shared" si="6"/>
        <v>0</v>
      </c>
    </row>
    <row r="104" spans="1:7">
      <c r="B104" s="1376"/>
      <c r="C104" s="1377"/>
      <c r="D104" s="1376"/>
      <c r="E104" s="1378"/>
      <c r="F104" s="1565"/>
      <c r="G104" s="1687"/>
    </row>
    <row r="105" spans="1:7">
      <c r="A105" s="1375"/>
      <c r="B105" s="1353" t="s">
        <v>17</v>
      </c>
      <c r="C105" s="1708" t="s">
        <v>2090</v>
      </c>
      <c r="D105" s="1353"/>
      <c r="E105" s="1355"/>
      <c r="F105" s="1563"/>
      <c r="G105" s="1685"/>
    </row>
    <row r="106" spans="1:7">
      <c r="B106" s="1353"/>
      <c r="C106" s="576" t="s">
        <v>2096</v>
      </c>
      <c r="D106" s="1353" t="s">
        <v>252</v>
      </c>
      <c r="E106" s="1355">
        <v>2</v>
      </c>
      <c r="F106" s="1562">
        <v>0</v>
      </c>
      <c r="G106" s="1685">
        <f>E106*F106</f>
        <v>0</v>
      </c>
    </row>
    <row r="107" spans="1:7">
      <c r="B107" s="1353"/>
      <c r="C107" s="576" t="s">
        <v>2097</v>
      </c>
      <c r="D107" s="1353" t="s">
        <v>252</v>
      </c>
      <c r="E107" s="1355">
        <v>1</v>
      </c>
      <c r="F107" s="1562">
        <v>0</v>
      </c>
      <c r="G107" s="1685">
        <f>E107*F107</f>
        <v>0</v>
      </c>
    </row>
    <row r="108" spans="1:7">
      <c r="B108" s="1353"/>
      <c r="C108" s="576" t="s">
        <v>2098</v>
      </c>
      <c r="D108" s="1353" t="s">
        <v>252</v>
      </c>
      <c r="E108" s="1355">
        <v>1</v>
      </c>
      <c r="F108" s="1562">
        <v>0</v>
      </c>
      <c r="G108" s="1685">
        <f>E108*F108</f>
        <v>0</v>
      </c>
    </row>
    <row r="109" spans="1:7">
      <c r="B109" s="1353"/>
      <c r="C109" s="232" t="s">
        <v>150</v>
      </c>
      <c r="D109" s="1353" t="s">
        <v>252</v>
      </c>
      <c r="E109" s="1355">
        <v>4</v>
      </c>
      <c r="F109" s="1562">
        <v>0</v>
      </c>
      <c r="G109" s="1685">
        <f>E109*F109</f>
        <v>0</v>
      </c>
    </row>
    <row r="110" spans="1:7">
      <c r="B110" s="1376"/>
      <c r="C110" s="233" t="s">
        <v>135</v>
      </c>
      <c r="D110" s="1353" t="s">
        <v>252</v>
      </c>
      <c r="E110" s="1355">
        <v>4</v>
      </c>
      <c r="F110" s="1566"/>
      <c r="G110" s="1687"/>
    </row>
    <row r="111" spans="1:7">
      <c r="B111" s="1376"/>
      <c r="C111" s="1695"/>
      <c r="D111" s="1353"/>
      <c r="E111" s="1378"/>
      <c r="F111" s="1566"/>
      <c r="G111" s="1687"/>
    </row>
    <row r="112" spans="1:7">
      <c r="B112" s="1353" t="s">
        <v>19</v>
      </c>
      <c r="C112" s="1372" t="s">
        <v>2102</v>
      </c>
      <c r="D112" s="1353"/>
      <c r="E112" s="1355"/>
      <c r="F112" s="1563"/>
      <c r="G112" s="1685"/>
    </row>
    <row r="113" spans="1:7">
      <c r="B113" s="1353"/>
      <c r="C113" s="1372" t="s">
        <v>2099</v>
      </c>
      <c r="D113" s="1373" t="s">
        <v>252</v>
      </c>
      <c r="E113" s="1374">
        <v>2</v>
      </c>
      <c r="F113" s="1564">
        <v>0</v>
      </c>
      <c r="G113" s="1686">
        <f>E113*F113</f>
        <v>0</v>
      </c>
    </row>
    <row r="114" spans="1:7">
      <c r="B114" s="1353"/>
      <c r="C114" s="231" t="s">
        <v>140</v>
      </c>
      <c r="D114" s="1353" t="s">
        <v>252</v>
      </c>
      <c r="E114" s="1355">
        <v>1</v>
      </c>
      <c r="F114" s="1564">
        <v>0</v>
      </c>
      <c r="G114" s="1685">
        <f>E114*F114</f>
        <v>0</v>
      </c>
    </row>
    <row r="115" spans="1:7">
      <c r="B115" s="1353"/>
      <c r="C115" s="1700" t="s">
        <v>509</v>
      </c>
      <c r="D115" s="1353" t="s">
        <v>252</v>
      </c>
      <c r="E115" s="1355">
        <v>2</v>
      </c>
      <c r="F115" s="1564">
        <v>0</v>
      </c>
      <c r="G115" s="1685">
        <f>E115*F115</f>
        <v>0</v>
      </c>
    </row>
    <row r="116" spans="1:7">
      <c r="B116" s="1353"/>
      <c r="C116" s="232" t="s">
        <v>2100</v>
      </c>
      <c r="D116" s="1353" t="s">
        <v>252</v>
      </c>
      <c r="E116" s="1355">
        <v>1</v>
      </c>
      <c r="F116" s="1564">
        <v>0</v>
      </c>
      <c r="G116" s="1685">
        <f>E116*F116</f>
        <v>0</v>
      </c>
    </row>
    <row r="117" spans="1:7">
      <c r="B117" s="1353"/>
      <c r="C117" s="233" t="s">
        <v>135</v>
      </c>
      <c r="D117" s="1353" t="s">
        <v>252</v>
      </c>
      <c r="E117" s="1355">
        <v>2</v>
      </c>
      <c r="F117" s="1564">
        <v>0</v>
      </c>
      <c r="G117" s="1685">
        <f>E117*F117</f>
        <v>0</v>
      </c>
    </row>
    <row r="118" spans="1:7">
      <c r="B118" s="1376"/>
      <c r="C118" s="1379"/>
      <c r="D118" s="1376"/>
      <c r="E118" s="1378"/>
      <c r="F118" s="1566"/>
      <c r="G118" s="1687"/>
    </row>
    <row r="119" spans="1:7">
      <c r="B119" s="1353" t="s">
        <v>21</v>
      </c>
      <c r="C119" s="576" t="s">
        <v>2101</v>
      </c>
      <c r="D119" s="1353"/>
      <c r="E119" s="1355"/>
      <c r="F119" s="1562"/>
      <c r="G119" s="1685"/>
    </row>
    <row r="120" spans="1:7">
      <c r="B120" s="1353"/>
      <c r="C120" s="576" t="s">
        <v>1801</v>
      </c>
      <c r="D120" s="1353" t="s">
        <v>252</v>
      </c>
      <c r="E120" s="1355">
        <v>1</v>
      </c>
      <c r="F120" s="1562">
        <v>0</v>
      </c>
      <c r="G120" s="1685">
        <f>SUM(E120*F120)</f>
        <v>0</v>
      </c>
    </row>
    <row r="121" spans="1:7">
      <c r="B121" s="1353"/>
      <c r="C121" s="576"/>
      <c r="D121" s="1353"/>
      <c r="E121" s="1355"/>
      <c r="F121" s="1562"/>
      <c r="G121" s="1685"/>
    </row>
    <row r="122" spans="1:7" ht="39.75" customHeight="1">
      <c r="B122" s="1353" t="s">
        <v>23</v>
      </c>
      <c r="C122" s="177" t="s">
        <v>295</v>
      </c>
      <c r="D122" s="1353"/>
      <c r="E122" s="1355"/>
      <c r="F122" s="1562"/>
      <c r="G122" s="1685"/>
    </row>
    <row r="123" spans="1:7">
      <c r="B123" s="1353"/>
      <c r="C123" s="195" t="s">
        <v>1965</v>
      </c>
      <c r="D123" s="1353" t="s">
        <v>57</v>
      </c>
      <c r="E123" s="1355">
        <v>18</v>
      </c>
      <c r="F123" s="1562">
        <v>0</v>
      </c>
      <c r="G123" s="1685">
        <f>SUM(E123*F123)</f>
        <v>0</v>
      </c>
    </row>
    <row r="124" spans="1:7">
      <c r="A124" s="1380"/>
      <c r="B124" s="1353"/>
      <c r="C124" s="576"/>
      <c r="D124" s="1353"/>
      <c r="E124" s="1355"/>
      <c r="F124" s="1562"/>
      <c r="G124" s="1685"/>
    </row>
    <row r="125" spans="1:7">
      <c r="A125" s="1328"/>
      <c r="B125" s="1351" t="s">
        <v>47</v>
      </c>
      <c r="C125" s="1351" t="s">
        <v>175</v>
      </c>
      <c r="D125" s="1351"/>
      <c r="E125" s="1351"/>
      <c r="F125" s="1567"/>
      <c r="G125" s="1688">
        <f>SUM(G75:G124)</f>
        <v>0</v>
      </c>
    </row>
    <row r="126" spans="1:7" ht="15.75">
      <c r="A126" s="1381"/>
      <c r="B126" s="1382"/>
      <c r="C126" s="1382"/>
      <c r="D126" s="1382"/>
      <c r="E126" s="1382"/>
      <c r="F126" s="1568"/>
      <c r="G126" s="1689"/>
    </row>
    <row r="127" spans="1:7" ht="30">
      <c r="A127" s="1328"/>
      <c r="B127" s="1346" t="s">
        <v>50</v>
      </c>
      <c r="C127" s="1346" t="s">
        <v>1778</v>
      </c>
      <c r="D127" s="1346" t="s">
        <v>52</v>
      </c>
      <c r="E127" s="1346" t="s">
        <v>561</v>
      </c>
      <c r="F127" s="1569" t="s">
        <v>1779</v>
      </c>
      <c r="G127" s="1569" t="s">
        <v>1780</v>
      </c>
    </row>
    <row r="128" spans="1:7">
      <c r="A128" s="1328"/>
      <c r="B128" s="1353"/>
      <c r="C128" s="576"/>
      <c r="D128" s="1353"/>
      <c r="E128" s="1355"/>
      <c r="F128" s="1562"/>
      <c r="G128" s="1685"/>
    </row>
    <row r="129" spans="1:11">
      <c r="A129" s="1383"/>
      <c r="B129" s="1351" t="s">
        <v>914</v>
      </c>
      <c r="C129" s="1351" t="s">
        <v>1775</v>
      </c>
      <c r="D129" s="1351"/>
      <c r="E129" s="1351"/>
      <c r="F129" s="1567"/>
      <c r="G129" s="1688"/>
    </row>
    <row r="130" spans="1:11">
      <c r="A130" s="1328"/>
      <c r="B130" s="1353"/>
      <c r="C130" s="576"/>
      <c r="D130" s="1353"/>
      <c r="E130" s="1355"/>
      <c r="F130" s="1561"/>
      <c r="G130" s="1690"/>
    </row>
    <row r="131" spans="1:11" ht="101.25" customHeight="1">
      <c r="A131" s="1328"/>
      <c r="B131" s="1353" t="s">
        <v>11</v>
      </c>
      <c r="C131" s="402" t="s">
        <v>2103</v>
      </c>
      <c r="D131" s="1385" t="s">
        <v>60</v>
      </c>
      <c r="E131" s="1386">
        <v>2</v>
      </c>
      <c r="F131" s="1570">
        <v>0</v>
      </c>
      <c r="G131" s="1691">
        <f>E131*F131</f>
        <v>0</v>
      </c>
      <c r="K131" s="402"/>
    </row>
    <row r="132" spans="1:11">
      <c r="A132" s="1383"/>
      <c r="B132" s="1351" t="s">
        <v>914</v>
      </c>
      <c r="C132" s="1351" t="s">
        <v>1802</v>
      </c>
      <c r="D132" s="1351"/>
      <c r="E132" s="1351"/>
      <c r="F132" s="1567"/>
      <c r="G132" s="1688">
        <f>G131</f>
        <v>0</v>
      </c>
    </row>
    <row r="133" spans="1:11">
      <c r="A133" s="1328"/>
      <c r="B133" s="1353"/>
      <c r="C133" s="1384"/>
      <c r="D133" s="1385"/>
      <c r="E133" s="1386"/>
      <c r="F133" s="1570"/>
      <c r="G133" s="1691"/>
    </row>
    <row r="134" spans="1:11" ht="15.75">
      <c r="A134" s="1387"/>
      <c r="B134" s="1387"/>
      <c r="C134" s="1387"/>
      <c r="D134" s="1387"/>
      <c r="E134" s="1387"/>
      <c r="F134" s="1572"/>
      <c r="G134" s="1693"/>
    </row>
    <row r="135" spans="1:11">
      <c r="F135" s="1571"/>
      <c r="G135" s="1692"/>
    </row>
    <row r="136" spans="1:11">
      <c r="G136" s="1694"/>
    </row>
    <row r="137" spans="1:11">
      <c r="G137" s="1694"/>
    </row>
    <row r="138" spans="1:11">
      <c r="G138" s="1694"/>
    </row>
    <row r="139" spans="1:11">
      <c r="G139" s="1694"/>
    </row>
    <row r="140" spans="1:11">
      <c r="G140" s="1694"/>
    </row>
    <row r="141" spans="1:11">
      <c r="G141" s="1694"/>
    </row>
    <row r="142" spans="1:11">
      <c r="G142" s="1694"/>
    </row>
    <row r="143" spans="1:11">
      <c r="G143" s="1694"/>
    </row>
    <row r="144" spans="1:11">
      <c r="G144" s="1694"/>
    </row>
    <row r="145" spans="7:7">
      <c r="G145" s="1694"/>
    </row>
    <row r="146" spans="7:7">
      <c r="G146" s="1694"/>
    </row>
    <row r="147" spans="7:7">
      <c r="G147" s="1694"/>
    </row>
    <row r="148" spans="7:7">
      <c r="G148" s="1694"/>
    </row>
    <row r="149" spans="7:7">
      <c r="G149" s="1694"/>
    </row>
    <row r="150" spans="7:7">
      <c r="G150" s="1694"/>
    </row>
    <row r="151" spans="7:7">
      <c r="G151" s="1694"/>
    </row>
    <row r="152" spans="7:7">
      <c r="G152" s="1694"/>
    </row>
    <row r="153" spans="7:7">
      <c r="G153" s="1694"/>
    </row>
    <row r="154" spans="7:7">
      <c r="G154" s="1694"/>
    </row>
    <row r="155" spans="7:7">
      <c r="G155" s="1694"/>
    </row>
    <row r="156" spans="7:7">
      <c r="G156" s="1694"/>
    </row>
    <row r="157" spans="7:7">
      <c r="G157" s="1694"/>
    </row>
    <row r="158" spans="7:7">
      <c r="G158" s="1694"/>
    </row>
    <row r="159" spans="7:7">
      <c r="G159" s="1694"/>
    </row>
    <row r="160" spans="7:7">
      <c r="G160" s="1694"/>
    </row>
    <row r="161" spans="7:7">
      <c r="G161" s="1694"/>
    </row>
    <row r="162" spans="7:7">
      <c r="G162" s="1694"/>
    </row>
    <row r="163" spans="7:7">
      <c r="G163" s="1694"/>
    </row>
    <row r="164" spans="7:7">
      <c r="G164" s="1694"/>
    </row>
    <row r="165" spans="7:7">
      <c r="G165" s="1694"/>
    </row>
    <row r="166" spans="7:7">
      <c r="G166" s="1694"/>
    </row>
    <row r="167" spans="7:7">
      <c r="G167" s="1694"/>
    </row>
    <row r="168" spans="7:7">
      <c r="G168" s="1694"/>
    </row>
    <row r="169" spans="7:7">
      <c r="G169" s="1694"/>
    </row>
    <row r="170" spans="7:7">
      <c r="G170" s="1694"/>
    </row>
    <row r="171" spans="7:7">
      <c r="G171" s="1694"/>
    </row>
    <row r="172" spans="7:7">
      <c r="G172" s="1694"/>
    </row>
    <row r="173" spans="7:7">
      <c r="G173" s="1694"/>
    </row>
    <row r="174" spans="7:7">
      <c r="G174" s="1694"/>
    </row>
    <row r="175" spans="7:7">
      <c r="G175" s="1694"/>
    </row>
    <row r="176" spans="7:7">
      <c r="G176" s="1694"/>
    </row>
    <row r="177" spans="7:7">
      <c r="G177" s="1694"/>
    </row>
    <row r="178" spans="7:7">
      <c r="G178" s="1694"/>
    </row>
    <row r="179" spans="7:7">
      <c r="G179" s="1694"/>
    </row>
    <row r="180" spans="7:7">
      <c r="G180" s="1694"/>
    </row>
    <row r="181" spans="7:7">
      <c r="G181" s="1694"/>
    </row>
    <row r="182" spans="7:7">
      <c r="G182" s="1694"/>
    </row>
    <row r="183" spans="7:7">
      <c r="G183" s="1694"/>
    </row>
    <row r="184" spans="7:7">
      <c r="G184" s="1694"/>
    </row>
    <row r="185" spans="7:7">
      <c r="G185" s="1694"/>
    </row>
    <row r="186" spans="7:7">
      <c r="G186" s="1694"/>
    </row>
    <row r="187" spans="7:7">
      <c r="G187" s="1694"/>
    </row>
    <row r="188" spans="7:7">
      <c r="G188" s="1694"/>
    </row>
    <row r="189" spans="7:7">
      <c r="G189" s="1694"/>
    </row>
    <row r="190" spans="7:7">
      <c r="G190" s="1694"/>
    </row>
    <row r="191" spans="7:7">
      <c r="G191" s="1694"/>
    </row>
    <row r="192" spans="7:7">
      <c r="G192" s="1694"/>
    </row>
    <row r="193" spans="7:7">
      <c r="G193" s="1694"/>
    </row>
    <row r="194" spans="7:7">
      <c r="G194" s="1694"/>
    </row>
    <row r="195" spans="7:7">
      <c r="G195" s="1694"/>
    </row>
    <row r="196" spans="7:7">
      <c r="G196" s="1694"/>
    </row>
    <row r="197" spans="7:7">
      <c r="G197" s="1694"/>
    </row>
    <row r="198" spans="7:7">
      <c r="G198" s="1694"/>
    </row>
    <row r="199" spans="7:7">
      <c r="G199" s="1694"/>
    </row>
    <row r="200" spans="7:7">
      <c r="G200" s="1694"/>
    </row>
    <row r="201" spans="7:7">
      <c r="G201" s="1694"/>
    </row>
    <row r="202" spans="7:7">
      <c r="G202" s="1694"/>
    </row>
    <row r="203" spans="7:7">
      <c r="G203" s="1694"/>
    </row>
    <row r="204" spans="7:7">
      <c r="G204" s="1694"/>
    </row>
    <row r="205" spans="7:7">
      <c r="G205" s="1694"/>
    </row>
    <row r="206" spans="7:7">
      <c r="G206" s="1694"/>
    </row>
    <row r="207" spans="7:7">
      <c r="G207" s="1694"/>
    </row>
    <row r="208" spans="7:7">
      <c r="G208" s="1694"/>
    </row>
    <row r="209" spans="7:7">
      <c r="G209" s="1694"/>
    </row>
    <row r="210" spans="7:7">
      <c r="G210" s="1694"/>
    </row>
    <row r="211" spans="7:7">
      <c r="G211" s="1694"/>
    </row>
    <row r="212" spans="7:7">
      <c r="G212" s="1694"/>
    </row>
    <row r="213" spans="7:7">
      <c r="G213" s="1694"/>
    </row>
    <row r="214" spans="7:7">
      <c r="G214" s="1694"/>
    </row>
    <row r="215" spans="7:7">
      <c r="G215" s="1694"/>
    </row>
    <row r="216" spans="7:7">
      <c r="G216" s="1694"/>
    </row>
    <row r="217" spans="7:7">
      <c r="G217" s="1694"/>
    </row>
    <row r="218" spans="7:7">
      <c r="G218" s="1694"/>
    </row>
    <row r="219" spans="7:7">
      <c r="G219" s="1694"/>
    </row>
    <row r="220" spans="7:7">
      <c r="G220" s="1694"/>
    </row>
    <row r="221" spans="7:7">
      <c r="G221" s="1694"/>
    </row>
    <row r="222" spans="7:7">
      <c r="G222" s="1694"/>
    </row>
    <row r="223" spans="7:7">
      <c r="G223" s="1694"/>
    </row>
    <row r="224" spans="7:7">
      <c r="G224" s="1694"/>
    </row>
    <row r="225" spans="7:7">
      <c r="G225" s="1694"/>
    </row>
    <row r="226" spans="7:7">
      <c r="G226" s="1694"/>
    </row>
    <row r="227" spans="7:7">
      <c r="G227" s="1694"/>
    </row>
    <row r="228" spans="7:7">
      <c r="G228" s="1694"/>
    </row>
    <row r="229" spans="7:7">
      <c r="G229" s="1694"/>
    </row>
    <row r="230" spans="7:7">
      <c r="G230" s="1694"/>
    </row>
    <row r="231" spans="7:7">
      <c r="G231" s="1694"/>
    </row>
    <row r="232" spans="7:7">
      <c r="G232" s="1694"/>
    </row>
    <row r="233" spans="7:7">
      <c r="G233" s="1694"/>
    </row>
    <row r="234" spans="7:7">
      <c r="G234" s="1694"/>
    </row>
    <row r="235" spans="7:7">
      <c r="G235" s="1694"/>
    </row>
    <row r="236" spans="7:7">
      <c r="G236" s="1694"/>
    </row>
    <row r="237" spans="7:7">
      <c r="G237" s="1694"/>
    </row>
    <row r="238" spans="7:7">
      <c r="G238" s="1694"/>
    </row>
    <row r="239" spans="7:7">
      <c r="G239" s="1694"/>
    </row>
    <row r="240" spans="7:7">
      <c r="G240" s="1694"/>
    </row>
    <row r="241" spans="7:7">
      <c r="G241" s="1694"/>
    </row>
    <row r="242" spans="7:7">
      <c r="G242" s="1694"/>
    </row>
    <row r="243" spans="7:7">
      <c r="G243" s="1694"/>
    </row>
    <row r="244" spans="7:7">
      <c r="G244" s="1694"/>
    </row>
    <row r="245" spans="7:7">
      <c r="G245" s="1694"/>
    </row>
    <row r="246" spans="7:7">
      <c r="G246" s="1694"/>
    </row>
    <row r="247" spans="7:7">
      <c r="G247" s="1694"/>
    </row>
    <row r="248" spans="7:7">
      <c r="G248" s="1694"/>
    </row>
    <row r="249" spans="7:7">
      <c r="G249" s="1694"/>
    </row>
    <row r="250" spans="7:7">
      <c r="G250" s="1694"/>
    </row>
    <row r="251" spans="7:7">
      <c r="G251" s="1694"/>
    </row>
    <row r="252" spans="7:7">
      <c r="G252" s="1694"/>
    </row>
    <row r="253" spans="7:7">
      <c r="G253" s="1694"/>
    </row>
    <row r="254" spans="7:7">
      <c r="G254" s="1694"/>
    </row>
    <row r="255" spans="7:7">
      <c r="G255" s="1694"/>
    </row>
    <row r="256" spans="7:7">
      <c r="G256" s="1694"/>
    </row>
    <row r="257" spans="7:7">
      <c r="G257" s="1694"/>
    </row>
    <row r="258" spans="7:7">
      <c r="G258" s="1694"/>
    </row>
    <row r="259" spans="7:7">
      <c r="G259" s="1694"/>
    </row>
    <row r="260" spans="7:7">
      <c r="G260" s="1694"/>
    </row>
  </sheetData>
  <mergeCells count="11">
    <mergeCell ref="E39:F39"/>
    <mergeCell ref="C4:F4"/>
    <mergeCell ref="C5:F5"/>
    <mergeCell ref="C6:F6"/>
    <mergeCell ref="B15:G15"/>
    <mergeCell ref="E25:F25"/>
    <mergeCell ref="B75:B77"/>
    <mergeCell ref="B42:G42"/>
    <mergeCell ref="B71:G71"/>
    <mergeCell ref="B72:G72"/>
    <mergeCell ref="B73:G73"/>
  </mergeCells>
  <phoneticPr fontId="131"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E1EC-88EB-473F-A0CF-D8CDDB34551F}">
  <sheetPr>
    <tabColor theme="9" tint="-0.249977111117893"/>
  </sheetPr>
  <dimension ref="A1:AE154"/>
  <sheetViews>
    <sheetView showZeros="0" topLeftCell="A25" zoomScale="99" zoomScaleNormal="99" workbookViewId="0">
      <selection activeCell="B27" sqref="B27:B36"/>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9" width="12.140625" style="66" customWidth="1"/>
    <col min="10" max="10" width="13.7109375" style="8" customWidth="1"/>
    <col min="11" max="11" width="9.7109375" style="1" customWidth="1"/>
    <col min="12" max="12" width="10.42578125" style="1" customWidth="1"/>
    <col min="13" max="13" width="10.42578125" style="1"/>
    <col min="14" max="14" width="9.42578125" style="1" customWidth="1"/>
    <col min="15" max="259" width="10.42578125" style="1"/>
    <col min="260" max="260" width="7.42578125" style="1" customWidth="1"/>
    <col min="261" max="261" width="37.42578125" style="1" customWidth="1"/>
    <col min="262" max="262" width="10.42578125" style="1"/>
    <col min="263" max="263" width="9.28515625" style="1" customWidth="1"/>
    <col min="264" max="265" width="12.140625" style="1" customWidth="1"/>
    <col min="266" max="266" width="16" style="1" customWidth="1"/>
    <col min="267" max="267" width="26.28515625" style="1" customWidth="1"/>
    <col min="268" max="515" width="10.42578125" style="1"/>
    <col min="516" max="516" width="7.42578125" style="1" customWidth="1"/>
    <col min="517" max="517" width="37.42578125" style="1" customWidth="1"/>
    <col min="518" max="518" width="10.42578125" style="1"/>
    <col min="519" max="519" width="9.28515625" style="1" customWidth="1"/>
    <col min="520" max="521" width="12.140625" style="1" customWidth="1"/>
    <col min="522" max="522" width="16" style="1" customWidth="1"/>
    <col min="523" max="523" width="26.28515625" style="1" customWidth="1"/>
    <col min="524" max="771" width="10.42578125" style="1"/>
    <col min="772" max="772" width="7.42578125" style="1" customWidth="1"/>
    <col min="773" max="773" width="37.42578125" style="1" customWidth="1"/>
    <col min="774" max="774" width="10.42578125" style="1"/>
    <col min="775" max="775" width="9.28515625" style="1" customWidth="1"/>
    <col min="776" max="777" width="12.140625" style="1" customWidth="1"/>
    <col min="778" max="778" width="16" style="1" customWidth="1"/>
    <col min="779" max="779" width="26.28515625" style="1" customWidth="1"/>
    <col min="780" max="1027" width="10.42578125" style="1"/>
    <col min="1028" max="1028" width="7.42578125" style="1" customWidth="1"/>
    <col min="1029" max="1029" width="37.42578125" style="1" customWidth="1"/>
    <col min="1030" max="1030" width="10.42578125" style="1"/>
    <col min="1031" max="1031" width="9.28515625" style="1" customWidth="1"/>
    <col min="1032" max="1033" width="12.140625" style="1" customWidth="1"/>
    <col min="1034" max="1034" width="16" style="1" customWidth="1"/>
    <col min="1035" max="1035" width="26.28515625" style="1" customWidth="1"/>
    <col min="1036" max="1283" width="10.42578125" style="1"/>
    <col min="1284" max="1284" width="7.42578125" style="1" customWidth="1"/>
    <col min="1285" max="1285" width="37.42578125" style="1" customWidth="1"/>
    <col min="1286" max="1286" width="10.42578125" style="1"/>
    <col min="1287" max="1287" width="9.28515625" style="1" customWidth="1"/>
    <col min="1288" max="1289" width="12.140625" style="1" customWidth="1"/>
    <col min="1290" max="1290" width="16" style="1" customWidth="1"/>
    <col min="1291" max="1291" width="26.28515625" style="1" customWidth="1"/>
    <col min="1292" max="1539" width="10.42578125" style="1"/>
    <col min="1540" max="1540" width="7.42578125" style="1" customWidth="1"/>
    <col min="1541" max="1541" width="37.42578125" style="1" customWidth="1"/>
    <col min="1542" max="1542" width="10.42578125" style="1"/>
    <col min="1543" max="1543" width="9.28515625" style="1" customWidth="1"/>
    <col min="1544" max="1545" width="12.140625" style="1" customWidth="1"/>
    <col min="1546" max="1546" width="16" style="1" customWidth="1"/>
    <col min="1547" max="1547" width="26.28515625" style="1" customWidth="1"/>
    <col min="1548" max="1795" width="10.42578125" style="1"/>
    <col min="1796" max="1796" width="7.42578125" style="1" customWidth="1"/>
    <col min="1797" max="1797" width="37.42578125" style="1" customWidth="1"/>
    <col min="1798" max="1798" width="10.42578125" style="1"/>
    <col min="1799" max="1799" width="9.28515625" style="1" customWidth="1"/>
    <col min="1800" max="1801" width="12.140625" style="1" customWidth="1"/>
    <col min="1802" max="1802" width="16" style="1" customWidth="1"/>
    <col min="1803" max="1803" width="26.28515625" style="1" customWidth="1"/>
    <col min="1804" max="2051" width="10.42578125" style="1"/>
    <col min="2052" max="2052" width="7.42578125" style="1" customWidth="1"/>
    <col min="2053" max="2053" width="37.42578125" style="1" customWidth="1"/>
    <col min="2054" max="2054" width="10.42578125" style="1"/>
    <col min="2055" max="2055" width="9.28515625" style="1" customWidth="1"/>
    <col min="2056" max="2057" width="12.140625" style="1" customWidth="1"/>
    <col min="2058" max="2058" width="16" style="1" customWidth="1"/>
    <col min="2059" max="2059" width="26.28515625" style="1" customWidth="1"/>
    <col min="2060" max="2307" width="10.42578125" style="1"/>
    <col min="2308" max="2308" width="7.42578125" style="1" customWidth="1"/>
    <col min="2309" max="2309" width="37.42578125" style="1" customWidth="1"/>
    <col min="2310" max="2310" width="10.42578125" style="1"/>
    <col min="2311" max="2311" width="9.28515625" style="1" customWidth="1"/>
    <col min="2312" max="2313" width="12.140625" style="1" customWidth="1"/>
    <col min="2314" max="2314" width="16" style="1" customWidth="1"/>
    <col min="2315" max="2315" width="26.28515625" style="1" customWidth="1"/>
    <col min="2316" max="2563" width="10.42578125" style="1"/>
    <col min="2564" max="2564" width="7.42578125" style="1" customWidth="1"/>
    <col min="2565" max="2565" width="37.42578125" style="1" customWidth="1"/>
    <col min="2566" max="2566" width="10.42578125" style="1"/>
    <col min="2567" max="2567" width="9.28515625" style="1" customWidth="1"/>
    <col min="2568" max="2569" width="12.140625" style="1" customWidth="1"/>
    <col min="2570" max="2570" width="16" style="1" customWidth="1"/>
    <col min="2571" max="2571" width="26.28515625" style="1" customWidth="1"/>
    <col min="2572" max="2819" width="10.42578125" style="1"/>
    <col min="2820" max="2820" width="7.42578125" style="1" customWidth="1"/>
    <col min="2821" max="2821" width="37.42578125" style="1" customWidth="1"/>
    <col min="2822" max="2822" width="10.42578125" style="1"/>
    <col min="2823" max="2823" width="9.28515625" style="1" customWidth="1"/>
    <col min="2824" max="2825" width="12.140625" style="1" customWidth="1"/>
    <col min="2826" max="2826" width="16" style="1" customWidth="1"/>
    <col min="2827" max="2827" width="26.28515625" style="1" customWidth="1"/>
    <col min="2828" max="3075" width="10.42578125" style="1"/>
    <col min="3076" max="3076" width="7.42578125" style="1" customWidth="1"/>
    <col min="3077" max="3077" width="37.42578125" style="1" customWidth="1"/>
    <col min="3078" max="3078" width="10.42578125" style="1"/>
    <col min="3079" max="3079" width="9.28515625" style="1" customWidth="1"/>
    <col min="3080" max="3081" width="12.140625" style="1" customWidth="1"/>
    <col min="3082" max="3082" width="16" style="1" customWidth="1"/>
    <col min="3083" max="3083" width="26.28515625" style="1" customWidth="1"/>
    <col min="3084" max="3331" width="10.42578125" style="1"/>
    <col min="3332" max="3332" width="7.42578125" style="1" customWidth="1"/>
    <col min="3333" max="3333" width="37.42578125" style="1" customWidth="1"/>
    <col min="3334" max="3334" width="10.42578125" style="1"/>
    <col min="3335" max="3335" width="9.28515625" style="1" customWidth="1"/>
    <col min="3336" max="3337" width="12.140625" style="1" customWidth="1"/>
    <col min="3338" max="3338" width="16" style="1" customWidth="1"/>
    <col min="3339" max="3339" width="26.28515625" style="1" customWidth="1"/>
    <col min="3340" max="3587" width="10.42578125" style="1"/>
    <col min="3588" max="3588" width="7.42578125" style="1" customWidth="1"/>
    <col min="3589" max="3589" width="37.42578125" style="1" customWidth="1"/>
    <col min="3590" max="3590" width="10.42578125" style="1"/>
    <col min="3591" max="3591" width="9.28515625" style="1" customWidth="1"/>
    <col min="3592" max="3593" width="12.140625" style="1" customWidth="1"/>
    <col min="3594" max="3594" width="16" style="1" customWidth="1"/>
    <col min="3595" max="3595" width="26.28515625" style="1" customWidth="1"/>
    <col min="3596" max="3843" width="10.42578125" style="1"/>
    <col min="3844" max="3844" width="7.42578125" style="1" customWidth="1"/>
    <col min="3845" max="3845" width="37.42578125" style="1" customWidth="1"/>
    <col min="3846" max="3846" width="10.42578125" style="1"/>
    <col min="3847" max="3847" width="9.28515625" style="1" customWidth="1"/>
    <col min="3848" max="3849" width="12.140625" style="1" customWidth="1"/>
    <col min="3850" max="3850" width="16" style="1" customWidth="1"/>
    <col min="3851" max="3851" width="26.28515625" style="1" customWidth="1"/>
    <col min="3852" max="4099" width="10.42578125" style="1"/>
    <col min="4100" max="4100" width="7.42578125" style="1" customWidth="1"/>
    <col min="4101" max="4101" width="37.42578125" style="1" customWidth="1"/>
    <col min="4102" max="4102" width="10.42578125" style="1"/>
    <col min="4103" max="4103" width="9.28515625" style="1" customWidth="1"/>
    <col min="4104" max="4105" width="12.140625" style="1" customWidth="1"/>
    <col min="4106" max="4106" width="16" style="1" customWidth="1"/>
    <col min="4107" max="4107" width="26.28515625" style="1" customWidth="1"/>
    <col min="4108" max="4355" width="10.42578125" style="1"/>
    <col min="4356" max="4356" width="7.42578125" style="1" customWidth="1"/>
    <col min="4357" max="4357" width="37.42578125" style="1" customWidth="1"/>
    <col min="4358" max="4358" width="10.42578125" style="1"/>
    <col min="4359" max="4359" width="9.28515625" style="1" customWidth="1"/>
    <col min="4360" max="4361" width="12.140625" style="1" customWidth="1"/>
    <col min="4362" max="4362" width="16" style="1" customWidth="1"/>
    <col min="4363" max="4363" width="26.28515625" style="1" customWidth="1"/>
    <col min="4364" max="4611" width="10.42578125" style="1"/>
    <col min="4612" max="4612" width="7.42578125" style="1" customWidth="1"/>
    <col min="4613" max="4613" width="37.42578125" style="1" customWidth="1"/>
    <col min="4614" max="4614" width="10.42578125" style="1"/>
    <col min="4615" max="4615" width="9.28515625" style="1" customWidth="1"/>
    <col min="4616" max="4617" width="12.140625" style="1" customWidth="1"/>
    <col min="4618" max="4618" width="16" style="1" customWidth="1"/>
    <col min="4619" max="4619" width="26.28515625" style="1" customWidth="1"/>
    <col min="4620" max="4867" width="10.42578125" style="1"/>
    <col min="4868" max="4868" width="7.42578125" style="1" customWidth="1"/>
    <col min="4869" max="4869" width="37.42578125" style="1" customWidth="1"/>
    <col min="4870" max="4870" width="10.42578125" style="1"/>
    <col min="4871" max="4871" width="9.28515625" style="1" customWidth="1"/>
    <col min="4872" max="4873" width="12.140625" style="1" customWidth="1"/>
    <col min="4874" max="4874" width="16" style="1" customWidth="1"/>
    <col min="4875" max="4875" width="26.28515625" style="1" customWidth="1"/>
    <col min="4876" max="5123" width="10.42578125" style="1"/>
    <col min="5124" max="5124" width="7.42578125" style="1" customWidth="1"/>
    <col min="5125" max="5125" width="37.42578125" style="1" customWidth="1"/>
    <col min="5126" max="5126" width="10.42578125" style="1"/>
    <col min="5127" max="5127" width="9.28515625" style="1" customWidth="1"/>
    <col min="5128" max="5129" width="12.140625" style="1" customWidth="1"/>
    <col min="5130" max="5130" width="16" style="1" customWidth="1"/>
    <col min="5131" max="5131" width="26.28515625" style="1" customWidth="1"/>
    <col min="5132" max="5379" width="10.42578125" style="1"/>
    <col min="5380" max="5380" width="7.42578125" style="1" customWidth="1"/>
    <col min="5381" max="5381" width="37.42578125" style="1" customWidth="1"/>
    <col min="5382" max="5382" width="10.42578125" style="1"/>
    <col min="5383" max="5383" width="9.28515625" style="1" customWidth="1"/>
    <col min="5384" max="5385" width="12.140625" style="1" customWidth="1"/>
    <col min="5386" max="5386" width="16" style="1" customWidth="1"/>
    <col min="5387" max="5387" width="26.28515625" style="1" customWidth="1"/>
    <col min="5388" max="5635" width="10.42578125" style="1"/>
    <col min="5636" max="5636" width="7.42578125" style="1" customWidth="1"/>
    <col min="5637" max="5637" width="37.42578125" style="1" customWidth="1"/>
    <col min="5638" max="5638" width="10.42578125" style="1"/>
    <col min="5639" max="5639" width="9.28515625" style="1" customWidth="1"/>
    <col min="5640" max="5641" width="12.140625" style="1" customWidth="1"/>
    <col min="5642" max="5642" width="16" style="1" customWidth="1"/>
    <col min="5643" max="5643" width="26.28515625" style="1" customWidth="1"/>
    <col min="5644" max="5891" width="10.42578125" style="1"/>
    <col min="5892" max="5892" width="7.42578125" style="1" customWidth="1"/>
    <col min="5893" max="5893" width="37.42578125" style="1" customWidth="1"/>
    <col min="5894" max="5894" width="10.42578125" style="1"/>
    <col min="5895" max="5895" width="9.28515625" style="1" customWidth="1"/>
    <col min="5896" max="5897" width="12.140625" style="1" customWidth="1"/>
    <col min="5898" max="5898" width="16" style="1" customWidth="1"/>
    <col min="5899" max="5899" width="26.28515625" style="1" customWidth="1"/>
    <col min="5900" max="6147" width="10.42578125" style="1"/>
    <col min="6148" max="6148" width="7.42578125" style="1" customWidth="1"/>
    <col min="6149" max="6149" width="37.42578125" style="1" customWidth="1"/>
    <col min="6150" max="6150" width="10.42578125" style="1"/>
    <col min="6151" max="6151" width="9.28515625" style="1" customWidth="1"/>
    <col min="6152" max="6153" width="12.140625" style="1" customWidth="1"/>
    <col min="6154" max="6154" width="16" style="1" customWidth="1"/>
    <col min="6155" max="6155" width="26.28515625" style="1" customWidth="1"/>
    <col min="6156" max="6403" width="10.42578125" style="1"/>
    <col min="6404" max="6404" width="7.42578125" style="1" customWidth="1"/>
    <col min="6405" max="6405" width="37.42578125" style="1" customWidth="1"/>
    <col min="6406" max="6406" width="10.42578125" style="1"/>
    <col min="6407" max="6407" width="9.28515625" style="1" customWidth="1"/>
    <col min="6408" max="6409" width="12.140625" style="1" customWidth="1"/>
    <col min="6410" max="6410" width="16" style="1" customWidth="1"/>
    <col min="6411" max="6411" width="26.28515625" style="1" customWidth="1"/>
    <col min="6412" max="6659" width="10.42578125" style="1"/>
    <col min="6660" max="6660" width="7.42578125" style="1" customWidth="1"/>
    <col min="6661" max="6661" width="37.42578125" style="1" customWidth="1"/>
    <col min="6662" max="6662" width="10.42578125" style="1"/>
    <col min="6663" max="6663" width="9.28515625" style="1" customWidth="1"/>
    <col min="6664" max="6665" width="12.140625" style="1" customWidth="1"/>
    <col min="6666" max="6666" width="16" style="1" customWidth="1"/>
    <col min="6667" max="6667" width="26.28515625" style="1" customWidth="1"/>
    <col min="6668" max="6915" width="10.42578125" style="1"/>
    <col min="6916" max="6916" width="7.42578125" style="1" customWidth="1"/>
    <col min="6917" max="6917" width="37.42578125" style="1" customWidth="1"/>
    <col min="6918" max="6918" width="10.42578125" style="1"/>
    <col min="6919" max="6919" width="9.28515625" style="1" customWidth="1"/>
    <col min="6920" max="6921" width="12.140625" style="1" customWidth="1"/>
    <col min="6922" max="6922" width="16" style="1" customWidth="1"/>
    <col min="6923" max="6923" width="26.28515625" style="1" customWidth="1"/>
    <col min="6924" max="7171" width="10.42578125" style="1"/>
    <col min="7172" max="7172" width="7.42578125" style="1" customWidth="1"/>
    <col min="7173" max="7173" width="37.42578125" style="1" customWidth="1"/>
    <col min="7174" max="7174" width="10.42578125" style="1"/>
    <col min="7175" max="7175" width="9.28515625" style="1" customWidth="1"/>
    <col min="7176" max="7177" width="12.140625" style="1" customWidth="1"/>
    <col min="7178" max="7178" width="16" style="1" customWidth="1"/>
    <col min="7179" max="7179" width="26.28515625" style="1" customWidth="1"/>
    <col min="7180" max="7427" width="10.42578125" style="1"/>
    <col min="7428" max="7428" width="7.42578125" style="1" customWidth="1"/>
    <col min="7429" max="7429" width="37.42578125" style="1" customWidth="1"/>
    <col min="7430" max="7430" width="10.42578125" style="1"/>
    <col min="7431" max="7431" width="9.28515625" style="1" customWidth="1"/>
    <col min="7432" max="7433" width="12.140625" style="1" customWidth="1"/>
    <col min="7434" max="7434" width="16" style="1" customWidth="1"/>
    <col min="7435" max="7435" width="26.28515625" style="1" customWidth="1"/>
    <col min="7436" max="7683" width="10.42578125" style="1"/>
    <col min="7684" max="7684" width="7.42578125" style="1" customWidth="1"/>
    <col min="7685" max="7685" width="37.42578125" style="1" customWidth="1"/>
    <col min="7686" max="7686" width="10.42578125" style="1"/>
    <col min="7687" max="7687" width="9.28515625" style="1" customWidth="1"/>
    <col min="7688" max="7689" width="12.140625" style="1" customWidth="1"/>
    <col min="7690" max="7690" width="16" style="1" customWidth="1"/>
    <col min="7691" max="7691" width="26.28515625" style="1" customWidth="1"/>
    <col min="7692" max="7939" width="10.42578125" style="1"/>
    <col min="7940" max="7940" width="7.42578125" style="1" customWidth="1"/>
    <col min="7941" max="7941" width="37.42578125" style="1" customWidth="1"/>
    <col min="7942" max="7942" width="10.42578125" style="1"/>
    <col min="7943" max="7943" width="9.28515625" style="1" customWidth="1"/>
    <col min="7944" max="7945" width="12.140625" style="1" customWidth="1"/>
    <col min="7946" max="7946" width="16" style="1" customWidth="1"/>
    <col min="7947" max="7947" width="26.28515625" style="1" customWidth="1"/>
    <col min="7948" max="8195" width="10.42578125" style="1"/>
    <col min="8196" max="8196" width="7.42578125" style="1" customWidth="1"/>
    <col min="8197" max="8197" width="37.42578125" style="1" customWidth="1"/>
    <col min="8198" max="8198" width="10.42578125" style="1"/>
    <col min="8199" max="8199" width="9.28515625" style="1" customWidth="1"/>
    <col min="8200" max="8201" width="12.140625" style="1" customWidth="1"/>
    <col min="8202" max="8202" width="16" style="1" customWidth="1"/>
    <col min="8203" max="8203" width="26.28515625" style="1" customWidth="1"/>
    <col min="8204" max="8451" width="10.42578125" style="1"/>
    <col min="8452" max="8452" width="7.42578125" style="1" customWidth="1"/>
    <col min="8453" max="8453" width="37.42578125" style="1" customWidth="1"/>
    <col min="8454" max="8454" width="10.42578125" style="1"/>
    <col min="8455" max="8455" width="9.28515625" style="1" customWidth="1"/>
    <col min="8456" max="8457" width="12.140625" style="1" customWidth="1"/>
    <col min="8458" max="8458" width="16" style="1" customWidth="1"/>
    <col min="8459" max="8459" width="26.28515625" style="1" customWidth="1"/>
    <col min="8460" max="8707" width="10.42578125" style="1"/>
    <col min="8708" max="8708" width="7.42578125" style="1" customWidth="1"/>
    <col min="8709" max="8709" width="37.42578125" style="1" customWidth="1"/>
    <col min="8710" max="8710" width="10.42578125" style="1"/>
    <col min="8711" max="8711" width="9.28515625" style="1" customWidth="1"/>
    <col min="8712" max="8713" width="12.140625" style="1" customWidth="1"/>
    <col min="8714" max="8714" width="16" style="1" customWidth="1"/>
    <col min="8715" max="8715" width="26.28515625" style="1" customWidth="1"/>
    <col min="8716" max="8963" width="10.42578125" style="1"/>
    <col min="8964" max="8964" width="7.42578125" style="1" customWidth="1"/>
    <col min="8965" max="8965" width="37.42578125" style="1" customWidth="1"/>
    <col min="8966" max="8966" width="10.42578125" style="1"/>
    <col min="8967" max="8967" width="9.28515625" style="1" customWidth="1"/>
    <col min="8968" max="8969" width="12.140625" style="1" customWidth="1"/>
    <col min="8970" max="8970" width="16" style="1" customWidth="1"/>
    <col min="8971" max="8971" width="26.28515625" style="1" customWidth="1"/>
    <col min="8972" max="9219" width="10.42578125" style="1"/>
    <col min="9220" max="9220" width="7.42578125" style="1" customWidth="1"/>
    <col min="9221" max="9221" width="37.42578125" style="1" customWidth="1"/>
    <col min="9222" max="9222" width="10.42578125" style="1"/>
    <col min="9223" max="9223" width="9.28515625" style="1" customWidth="1"/>
    <col min="9224" max="9225" width="12.140625" style="1" customWidth="1"/>
    <col min="9226" max="9226" width="16" style="1" customWidth="1"/>
    <col min="9227" max="9227" width="26.28515625" style="1" customWidth="1"/>
    <col min="9228" max="9475" width="10.42578125" style="1"/>
    <col min="9476" max="9476" width="7.42578125" style="1" customWidth="1"/>
    <col min="9477" max="9477" width="37.42578125" style="1" customWidth="1"/>
    <col min="9478" max="9478" width="10.42578125" style="1"/>
    <col min="9479" max="9479" width="9.28515625" style="1" customWidth="1"/>
    <col min="9480" max="9481" width="12.140625" style="1" customWidth="1"/>
    <col min="9482" max="9482" width="16" style="1" customWidth="1"/>
    <col min="9483" max="9483" width="26.28515625" style="1" customWidth="1"/>
    <col min="9484" max="9731" width="10.42578125" style="1"/>
    <col min="9732" max="9732" width="7.42578125" style="1" customWidth="1"/>
    <col min="9733" max="9733" width="37.42578125" style="1" customWidth="1"/>
    <col min="9734" max="9734" width="10.42578125" style="1"/>
    <col min="9735" max="9735" width="9.28515625" style="1" customWidth="1"/>
    <col min="9736" max="9737" width="12.140625" style="1" customWidth="1"/>
    <col min="9738" max="9738" width="16" style="1" customWidth="1"/>
    <col min="9739" max="9739" width="26.28515625" style="1" customWidth="1"/>
    <col min="9740" max="9987" width="10.42578125" style="1"/>
    <col min="9988" max="9988" width="7.42578125" style="1" customWidth="1"/>
    <col min="9989" max="9989" width="37.42578125" style="1" customWidth="1"/>
    <col min="9990" max="9990" width="10.42578125" style="1"/>
    <col min="9991" max="9991" width="9.28515625" style="1" customWidth="1"/>
    <col min="9992" max="9993" width="12.140625" style="1" customWidth="1"/>
    <col min="9994" max="9994" width="16" style="1" customWidth="1"/>
    <col min="9995" max="9995" width="26.28515625" style="1" customWidth="1"/>
    <col min="9996" max="10243" width="10.42578125" style="1"/>
    <col min="10244" max="10244" width="7.42578125" style="1" customWidth="1"/>
    <col min="10245" max="10245" width="37.42578125" style="1" customWidth="1"/>
    <col min="10246" max="10246" width="10.42578125" style="1"/>
    <col min="10247" max="10247" width="9.28515625" style="1" customWidth="1"/>
    <col min="10248" max="10249" width="12.140625" style="1" customWidth="1"/>
    <col min="10250" max="10250" width="16" style="1" customWidth="1"/>
    <col min="10251" max="10251" width="26.28515625" style="1" customWidth="1"/>
    <col min="10252" max="10499" width="10.42578125" style="1"/>
    <col min="10500" max="10500" width="7.42578125" style="1" customWidth="1"/>
    <col min="10501" max="10501" width="37.42578125" style="1" customWidth="1"/>
    <col min="10502" max="10502" width="10.42578125" style="1"/>
    <col min="10503" max="10503" width="9.28515625" style="1" customWidth="1"/>
    <col min="10504" max="10505" width="12.140625" style="1" customWidth="1"/>
    <col min="10506" max="10506" width="16" style="1" customWidth="1"/>
    <col min="10507" max="10507" width="26.28515625" style="1" customWidth="1"/>
    <col min="10508" max="10755" width="10.42578125" style="1"/>
    <col min="10756" max="10756" width="7.42578125" style="1" customWidth="1"/>
    <col min="10757" max="10757" width="37.42578125" style="1" customWidth="1"/>
    <col min="10758" max="10758" width="10.42578125" style="1"/>
    <col min="10759" max="10759" width="9.28515625" style="1" customWidth="1"/>
    <col min="10760" max="10761" width="12.140625" style="1" customWidth="1"/>
    <col min="10762" max="10762" width="16" style="1" customWidth="1"/>
    <col min="10763" max="10763" width="26.28515625" style="1" customWidth="1"/>
    <col min="10764" max="11011" width="10.42578125" style="1"/>
    <col min="11012" max="11012" width="7.42578125" style="1" customWidth="1"/>
    <col min="11013" max="11013" width="37.42578125" style="1" customWidth="1"/>
    <col min="11014" max="11014" width="10.42578125" style="1"/>
    <col min="11015" max="11015" width="9.28515625" style="1" customWidth="1"/>
    <col min="11016" max="11017" width="12.140625" style="1" customWidth="1"/>
    <col min="11018" max="11018" width="16" style="1" customWidth="1"/>
    <col min="11019" max="11019" width="26.28515625" style="1" customWidth="1"/>
    <col min="11020" max="11267" width="10.42578125" style="1"/>
    <col min="11268" max="11268" width="7.42578125" style="1" customWidth="1"/>
    <col min="11269" max="11269" width="37.42578125" style="1" customWidth="1"/>
    <col min="11270" max="11270" width="10.42578125" style="1"/>
    <col min="11271" max="11271" width="9.28515625" style="1" customWidth="1"/>
    <col min="11272" max="11273" width="12.140625" style="1" customWidth="1"/>
    <col min="11274" max="11274" width="16" style="1" customWidth="1"/>
    <col min="11275" max="11275" width="26.28515625" style="1" customWidth="1"/>
    <col min="11276" max="11523" width="10.42578125" style="1"/>
    <col min="11524" max="11524" width="7.42578125" style="1" customWidth="1"/>
    <col min="11525" max="11525" width="37.42578125" style="1" customWidth="1"/>
    <col min="11526" max="11526" width="10.42578125" style="1"/>
    <col min="11527" max="11527" width="9.28515625" style="1" customWidth="1"/>
    <col min="11528" max="11529" width="12.140625" style="1" customWidth="1"/>
    <col min="11530" max="11530" width="16" style="1" customWidth="1"/>
    <col min="11531" max="11531" width="26.28515625" style="1" customWidth="1"/>
    <col min="11532" max="11779" width="10.42578125" style="1"/>
    <col min="11780" max="11780" width="7.42578125" style="1" customWidth="1"/>
    <col min="11781" max="11781" width="37.42578125" style="1" customWidth="1"/>
    <col min="11782" max="11782" width="10.42578125" style="1"/>
    <col min="11783" max="11783" width="9.28515625" style="1" customWidth="1"/>
    <col min="11784" max="11785" width="12.140625" style="1" customWidth="1"/>
    <col min="11786" max="11786" width="16" style="1" customWidth="1"/>
    <col min="11787" max="11787" width="26.28515625" style="1" customWidth="1"/>
    <col min="11788" max="12035" width="10.42578125" style="1"/>
    <col min="12036" max="12036" width="7.42578125" style="1" customWidth="1"/>
    <col min="12037" max="12037" width="37.42578125" style="1" customWidth="1"/>
    <col min="12038" max="12038" width="10.42578125" style="1"/>
    <col min="12039" max="12039" width="9.28515625" style="1" customWidth="1"/>
    <col min="12040" max="12041" width="12.140625" style="1" customWidth="1"/>
    <col min="12042" max="12042" width="16" style="1" customWidth="1"/>
    <col min="12043" max="12043" width="26.28515625" style="1" customWidth="1"/>
    <col min="12044" max="12291" width="10.42578125" style="1"/>
    <col min="12292" max="12292" width="7.42578125" style="1" customWidth="1"/>
    <col min="12293" max="12293" width="37.42578125" style="1" customWidth="1"/>
    <col min="12294" max="12294" width="10.42578125" style="1"/>
    <col min="12295" max="12295" width="9.28515625" style="1" customWidth="1"/>
    <col min="12296" max="12297" width="12.140625" style="1" customWidth="1"/>
    <col min="12298" max="12298" width="16" style="1" customWidth="1"/>
    <col min="12299" max="12299" width="26.28515625" style="1" customWidth="1"/>
    <col min="12300" max="12547" width="10.42578125" style="1"/>
    <col min="12548" max="12548" width="7.42578125" style="1" customWidth="1"/>
    <col min="12549" max="12549" width="37.42578125" style="1" customWidth="1"/>
    <col min="12550" max="12550" width="10.42578125" style="1"/>
    <col min="12551" max="12551" width="9.28515625" style="1" customWidth="1"/>
    <col min="12552" max="12553" width="12.140625" style="1" customWidth="1"/>
    <col min="12554" max="12554" width="16" style="1" customWidth="1"/>
    <col min="12555" max="12555" width="26.28515625" style="1" customWidth="1"/>
    <col min="12556" max="12803" width="10.42578125" style="1"/>
    <col min="12804" max="12804" width="7.42578125" style="1" customWidth="1"/>
    <col min="12805" max="12805" width="37.42578125" style="1" customWidth="1"/>
    <col min="12806" max="12806" width="10.42578125" style="1"/>
    <col min="12807" max="12807" width="9.28515625" style="1" customWidth="1"/>
    <col min="12808" max="12809" width="12.140625" style="1" customWidth="1"/>
    <col min="12810" max="12810" width="16" style="1" customWidth="1"/>
    <col min="12811" max="12811" width="26.28515625" style="1" customWidth="1"/>
    <col min="12812" max="13059" width="10.42578125" style="1"/>
    <col min="13060" max="13060" width="7.42578125" style="1" customWidth="1"/>
    <col min="13061" max="13061" width="37.42578125" style="1" customWidth="1"/>
    <col min="13062" max="13062" width="10.42578125" style="1"/>
    <col min="13063" max="13063" width="9.28515625" style="1" customWidth="1"/>
    <col min="13064" max="13065" width="12.140625" style="1" customWidth="1"/>
    <col min="13066" max="13066" width="16" style="1" customWidth="1"/>
    <col min="13067" max="13067" width="26.28515625" style="1" customWidth="1"/>
    <col min="13068" max="13315" width="10.42578125" style="1"/>
    <col min="13316" max="13316" width="7.42578125" style="1" customWidth="1"/>
    <col min="13317" max="13317" width="37.42578125" style="1" customWidth="1"/>
    <col min="13318" max="13318" width="10.42578125" style="1"/>
    <col min="13319" max="13319" width="9.28515625" style="1" customWidth="1"/>
    <col min="13320" max="13321" width="12.140625" style="1" customWidth="1"/>
    <col min="13322" max="13322" width="16" style="1" customWidth="1"/>
    <col min="13323" max="13323" width="26.28515625" style="1" customWidth="1"/>
    <col min="13324" max="13571" width="10.42578125" style="1"/>
    <col min="13572" max="13572" width="7.42578125" style="1" customWidth="1"/>
    <col min="13573" max="13573" width="37.42578125" style="1" customWidth="1"/>
    <col min="13574" max="13574" width="10.42578125" style="1"/>
    <col min="13575" max="13575" width="9.28515625" style="1" customWidth="1"/>
    <col min="13576" max="13577" width="12.140625" style="1" customWidth="1"/>
    <col min="13578" max="13578" width="16" style="1" customWidth="1"/>
    <col min="13579" max="13579" width="26.28515625" style="1" customWidth="1"/>
    <col min="13580" max="13827" width="10.42578125" style="1"/>
    <col min="13828" max="13828" width="7.42578125" style="1" customWidth="1"/>
    <col min="13829" max="13829" width="37.42578125" style="1" customWidth="1"/>
    <col min="13830" max="13830" width="10.42578125" style="1"/>
    <col min="13831" max="13831" width="9.28515625" style="1" customWidth="1"/>
    <col min="13832" max="13833" width="12.140625" style="1" customWidth="1"/>
    <col min="13834" max="13834" width="16" style="1" customWidth="1"/>
    <col min="13835" max="13835" width="26.28515625" style="1" customWidth="1"/>
    <col min="13836" max="14083" width="10.42578125" style="1"/>
    <col min="14084" max="14084" width="7.42578125" style="1" customWidth="1"/>
    <col min="14085" max="14085" width="37.42578125" style="1" customWidth="1"/>
    <col min="14086" max="14086" width="10.42578125" style="1"/>
    <col min="14087" max="14087" width="9.28515625" style="1" customWidth="1"/>
    <col min="14088" max="14089" width="12.140625" style="1" customWidth="1"/>
    <col min="14090" max="14090" width="16" style="1" customWidth="1"/>
    <col min="14091" max="14091" width="26.28515625" style="1" customWidth="1"/>
    <col min="14092" max="14339" width="10.42578125" style="1"/>
    <col min="14340" max="14340" width="7.42578125" style="1" customWidth="1"/>
    <col min="14341" max="14341" width="37.42578125" style="1" customWidth="1"/>
    <col min="14342" max="14342" width="10.42578125" style="1"/>
    <col min="14343" max="14343" width="9.28515625" style="1" customWidth="1"/>
    <col min="14344" max="14345" width="12.140625" style="1" customWidth="1"/>
    <col min="14346" max="14346" width="16" style="1" customWidth="1"/>
    <col min="14347" max="14347" width="26.28515625" style="1" customWidth="1"/>
    <col min="14348" max="14595" width="10.42578125" style="1"/>
    <col min="14596" max="14596" width="7.42578125" style="1" customWidth="1"/>
    <col min="14597" max="14597" width="37.42578125" style="1" customWidth="1"/>
    <col min="14598" max="14598" width="10.42578125" style="1"/>
    <col min="14599" max="14599" width="9.28515625" style="1" customWidth="1"/>
    <col min="14600" max="14601" width="12.140625" style="1" customWidth="1"/>
    <col min="14602" max="14602" width="16" style="1" customWidth="1"/>
    <col min="14603" max="14603" width="26.28515625" style="1" customWidth="1"/>
    <col min="14604" max="14851" width="10.42578125" style="1"/>
    <col min="14852" max="14852" width="7.42578125" style="1" customWidth="1"/>
    <col min="14853" max="14853" width="37.42578125" style="1" customWidth="1"/>
    <col min="14854" max="14854" width="10.42578125" style="1"/>
    <col min="14855" max="14855" width="9.28515625" style="1" customWidth="1"/>
    <col min="14856" max="14857" width="12.140625" style="1" customWidth="1"/>
    <col min="14858" max="14858" width="16" style="1" customWidth="1"/>
    <col min="14859" max="14859" width="26.28515625" style="1" customWidth="1"/>
    <col min="14860" max="15107" width="10.42578125" style="1"/>
    <col min="15108" max="15108" width="7.42578125" style="1" customWidth="1"/>
    <col min="15109" max="15109" width="37.42578125" style="1" customWidth="1"/>
    <col min="15110" max="15110" width="10.42578125" style="1"/>
    <col min="15111" max="15111" width="9.28515625" style="1" customWidth="1"/>
    <col min="15112" max="15113" width="12.140625" style="1" customWidth="1"/>
    <col min="15114" max="15114" width="16" style="1" customWidth="1"/>
    <col min="15115" max="15115" width="26.28515625" style="1" customWidth="1"/>
    <col min="15116" max="15363" width="10.42578125" style="1"/>
    <col min="15364" max="15364" width="7.42578125" style="1" customWidth="1"/>
    <col min="15365" max="15365" width="37.42578125" style="1" customWidth="1"/>
    <col min="15366" max="15366" width="10.42578125" style="1"/>
    <col min="15367" max="15367" width="9.28515625" style="1" customWidth="1"/>
    <col min="15368" max="15369" width="12.140625" style="1" customWidth="1"/>
    <col min="15370" max="15370" width="16" style="1" customWidth="1"/>
    <col min="15371" max="15371" width="26.28515625" style="1" customWidth="1"/>
    <col min="15372" max="15619" width="10.42578125" style="1"/>
    <col min="15620" max="15620" width="7.42578125" style="1" customWidth="1"/>
    <col min="15621" max="15621" width="37.42578125" style="1" customWidth="1"/>
    <col min="15622" max="15622" width="10.42578125" style="1"/>
    <col min="15623" max="15623" width="9.28515625" style="1" customWidth="1"/>
    <col min="15624" max="15625" width="12.140625" style="1" customWidth="1"/>
    <col min="15626" max="15626" width="16" style="1" customWidth="1"/>
    <col min="15627" max="15627" width="26.28515625" style="1" customWidth="1"/>
    <col min="15628" max="15875" width="10.42578125" style="1"/>
    <col min="15876" max="15876" width="7.42578125" style="1" customWidth="1"/>
    <col min="15877" max="15877" width="37.42578125" style="1" customWidth="1"/>
    <col min="15878" max="15878" width="10.42578125" style="1"/>
    <col min="15879" max="15879" width="9.28515625" style="1" customWidth="1"/>
    <col min="15880" max="15881" width="12.140625" style="1" customWidth="1"/>
    <col min="15882" max="15882" width="16" style="1" customWidth="1"/>
    <col min="15883" max="15883" width="26.28515625" style="1" customWidth="1"/>
    <col min="15884" max="16131" width="10.42578125" style="1"/>
    <col min="16132" max="16132" width="7.42578125" style="1" customWidth="1"/>
    <col min="16133" max="16133" width="37.42578125" style="1" customWidth="1"/>
    <col min="16134" max="16134" width="10.42578125" style="1"/>
    <col min="16135" max="16135" width="9.28515625" style="1" customWidth="1"/>
    <col min="16136" max="16137" width="12.140625" style="1" customWidth="1"/>
    <col min="16138" max="16138" width="16" style="1" customWidth="1"/>
    <col min="16139" max="16139" width="26.28515625" style="1" customWidth="1"/>
    <col min="16140" max="16384" width="10.42578125" style="1"/>
  </cols>
  <sheetData>
    <row r="1" spans="1:31" ht="16.5" customHeight="1">
      <c r="B1" s="2"/>
      <c r="C1" s="3" t="s">
        <v>0</v>
      </c>
      <c r="D1" s="4"/>
      <c r="E1" s="5"/>
      <c r="F1" s="6"/>
      <c r="G1" s="672" t="s">
        <v>1</v>
      </c>
      <c r="H1" s="938"/>
      <c r="I1" s="1"/>
      <c r="J1" s="1"/>
    </row>
    <row r="3" spans="1:31" s="73" customFormat="1" ht="15">
      <c r="B3" s="74" t="s">
        <v>35</v>
      </c>
      <c r="C3" s="75" t="s">
        <v>9</v>
      </c>
      <c r="D3" s="1175"/>
      <c r="E3" s="77"/>
      <c r="F3" s="78"/>
      <c r="G3" s="79"/>
      <c r="H3" s="85"/>
      <c r="I3" s="85"/>
      <c r="J3" s="37"/>
    </row>
    <row r="4" spans="1:31" s="73" customFormat="1" ht="12" customHeight="1">
      <c r="B4" s="80"/>
      <c r="C4" s="81"/>
      <c r="D4" s="1176"/>
      <c r="E4" s="83"/>
      <c r="F4" s="84"/>
      <c r="G4" s="85"/>
      <c r="H4" s="85"/>
      <c r="I4" s="85"/>
      <c r="J4" s="37"/>
    </row>
    <row r="5" spans="1:31" s="86" customFormat="1" ht="14.25">
      <c r="B5" s="74" t="s">
        <v>37</v>
      </c>
      <c r="C5" s="75" t="s">
        <v>1579</v>
      </c>
      <c r="D5" s="1175"/>
      <c r="E5" s="77"/>
      <c r="F5" s="78"/>
      <c r="G5" s="79"/>
      <c r="H5" s="85"/>
      <c r="I5" s="85"/>
      <c r="J5" s="27"/>
      <c r="K5" s="87"/>
      <c r="L5" s="87"/>
      <c r="M5" s="87"/>
      <c r="N5" s="87"/>
    </row>
    <row r="6" spans="1:31" s="86" customFormat="1" ht="14.25">
      <c r="B6" s="80"/>
      <c r="C6" s="81"/>
      <c r="D6" s="1176"/>
      <c r="E6" s="83"/>
      <c r="F6" s="84"/>
      <c r="G6" s="88"/>
      <c r="H6" s="85"/>
      <c r="I6" s="85"/>
      <c r="J6" s="27"/>
      <c r="K6" s="87"/>
      <c r="L6" s="87"/>
      <c r="M6" s="87"/>
      <c r="N6" s="87"/>
    </row>
    <row r="7" spans="1:31" s="14" customFormat="1" ht="18" customHeight="1">
      <c r="A7" s="9"/>
      <c r="B7" s="10" t="s">
        <v>38</v>
      </c>
      <c r="C7" s="11"/>
      <c r="D7" s="1177"/>
      <c r="E7" s="12"/>
      <c r="F7" s="12"/>
      <c r="G7" s="13"/>
      <c r="H7" s="1178"/>
      <c r="I7" s="1178"/>
    </row>
    <row r="8" spans="1:31" s="14" customFormat="1" ht="18" customHeight="1">
      <c r="A8" s="15"/>
      <c r="B8" s="16" t="s">
        <v>39</v>
      </c>
      <c r="C8" s="17"/>
      <c r="D8" s="1179"/>
      <c r="E8" s="19"/>
      <c r="F8" s="19"/>
      <c r="G8" s="18"/>
      <c r="H8" s="1178"/>
      <c r="I8" s="1178"/>
    </row>
    <row r="9" spans="1:31" s="14" customFormat="1" ht="18" customHeight="1">
      <c r="A9" s="9"/>
      <c r="B9" s="10" t="s">
        <v>4</v>
      </c>
      <c r="C9" s="11"/>
      <c r="D9" s="1180"/>
      <c r="E9" s="12"/>
      <c r="F9" s="12"/>
      <c r="G9" s="13"/>
      <c r="H9" s="1178"/>
      <c r="I9" s="1178"/>
    </row>
    <row r="10" spans="1:31" s="14" customFormat="1" ht="18" customHeight="1">
      <c r="A10" s="15"/>
      <c r="B10" s="16" t="s">
        <v>5</v>
      </c>
      <c r="C10" s="17"/>
      <c r="D10" s="1181"/>
      <c r="E10" s="19"/>
      <c r="F10" s="19"/>
      <c r="G10" s="18"/>
      <c r="H10" s="1178"/>
      <c r="I10" s="1178"/>
    </row>
    <row r="11" spans="1:31" s="86" customFormat="1" ht="14.25">
      <c r="B11" s="89"/>
      <c r="C11" s="90"/>
      <c r="D11" s="1182"/>
      <c r="E11" s="92"/>
      <c r="F11" s="93"/>
      <c r="G11" s="94"/>
      <c r="H11" s="85"/>
      <c r="I11" s="85"/>
      <c r="J11" s="27"/>
      <c r="K11" s="87"/>
      <c r="L11" s="87"/>
      <c r="M11" s="87"/>
      <c r="N11" s="87"/>
    </row>
    <row r="12" spans="1:31" s="86" customFormat="1" ht="14.25">
      <c r="B12" s="95"/>
      <c r="C12" s="96" t="s">
        <v>40</v>
      </c>
      <c r="D12" s="1183"/>
      <c r="E12" s="98"/>
      <c r="F12" s="99"/>
      <c r="G12" s="100"/>
      <c r="H12" s="85"/>
      <c r="I12" s="85"/>
      <c r="J12" s="27"/>
      <c r="K12" s="87"/>
      <c r="L12" s="87"/>
      <c r="M12" s="87"/>
      <c r="N12" s="87"/>
    </row>
    <row r="13" spans="1:31" s="101" customFormat="1" ht="15">
      <c r="B13" s="95" t="s">
        <v>41</v>
      </c>
      <c r="C13" s="102" t="s">
        <v>42</v>
      </c>
      <c r="D13" s="1183"/>
      <c r="E13" s="104"/>
      <c r="F13" s="105"/>
      <c r="G13" s="106" t="s">
        <v>10</v>
      </c>
      <c r="H13" s="1184"/>
      <c r="I13" s="1184"/>
      <c r="J13" s="37"/>
      <c r="K13" s="73"/>
      <c r="L13" s="73"/>
      <c r="M13" s="73"/>
      <c r="N13" s="73"/>
      <c r="O13" s="73"/>
      <c r="P13" s="73"/>
      <c r="Q13" s="73"/>
      <c r="R13" s="73"/>
      <c r="S13" s="73"/>
      <c r="T13" s="73"/>
      <c r="U13" s="73"/>
      <c r="V13" s="73"/>
      <c r="W13" s="73"/>
      <c r="X13" s="73"/>
      <c r="Y13" s="73"/>
      <c r="Z13" s="73"/>
      <c r="AA13" s="73"/>
      <c r="AB13" s="73"/>
      <c r="AC13" s="73"/>
      <c r="AD13" s="73"/>
      <c r="AE13" s="73"/>
    </row>
    <row r="14" spans="1:31" s="101" customFormat="1" ht="15">
      <c r="B14" s="107" t="s">
        <v>43</v>
      </c>
      <c r="C14" s="108" t="s">
        <v>44</v>
      </c>
      <c r="D14" s="1185"/>
      <c r="E14" s="110"/>
      <c r="F14" s="111"/>
      <c r="G14" s="112">
        <f>G37</f>
        <v>0</v>
      </c>
      <c r="H14" s="1186"/>
      <c r="I14" s="1186"/>
      <c r="J14" s="37"/>
      <c r="K14" s="73"/>
      <c r="L14" s="73"/>
      <c r="M14" s="73"/>
      <c r="N14" s="73"/>
      <c r="O14" s="73"/>
      <c r="P14" s="73"/>
      <c r="Q14" s="73"/>
      <c r="R14" s="73"/>
      <c r="S14" s="73"/>
      <c r="T14" s="73"/>
      <c r="U14" s="73"/>
      <c r="V14" s="73"/>
      <c r="W14" s="73"/>
      <c r="X14" s="73"/>
      <c r="Y14" s="73"/>
      <c r="Z14" s="73"/>
      <c r="AA14" s="73"/>
      <c r="AB14" s="73"/>
      <c r="AC14" s="73"/>
      <c r="AD14" s="73"/>
      <c r="AE14" s="73"/>
    </row>
    <row r="15" spans="1:31" s="101" customFormat="1" ht="15">
      <c r="B15" s="107" t="s">
        <v>45</v>
      </c>
      <c r="C15" s="108" t="s">
        <v>46</v>
      </c>
      <c r="D15" s="1185"/>
      <c r="E15" s="110"/>
      <c r="F15" s="111"/>
      <c r="G15" s="112">
        <f>G71</f>
        <v>0</v>
      </c>
      <c r="H15" s="1186"/>
      <c r="I15" s="1186"/>
      <c r="J15" s="37"/>
      <c r="K15" s="73"/>
      <c r="L15" s="73"/>
      <c r="M15" s="73"/>
      <c r="N15" s="73"/>
      <c r="O15" s="73"/>
      <c r="P15" s="73"/>
      <c r="Q15" s="73"/>
      <c r="R15" s="73"/>
      <c r="S15" s="73"/>
      <c r="T15" s="73"/>
      <c r="U15" s="73"/>
      <c r="V15" s="73"/>
      <c r="W15" s="73"/>
      <c r="X15" s="73"/>
      <c r="Y15" s="73"/>
      <c r="Z15" s="73"/>
      <c r="AA15" s="73"/>
      <c r="AB15" s="73"/>
      <c r="AC15" s="73"/>
      <c r="AD15" s="73"/>
      <c r="AE15" s="73"/>
    </row>
    <row r="16" spans="1:31" s="101" customFormat="1" ht="15">
      <c r="B16" s="107" t="s">
        <v>47</v>
      </c>
      <c r="C16" s="108" t="s">
        <v>48</v>
      </c>
      <c r="D16" s="1185"/>
      <c r="E16" s="110"/>
      <c r="F16" s="111"/>
      <c r="G16" s="112">
        <f>G149</f>
        <v>0</v>
      </c>
      <c r="H16" s="1186"/>
      <c r="I16" s="1186"/>
      <c r="J16" s="37"/>
      <c r="K16" s="73"/>
      <c r="L16" s="73"/>
      <c r="M16" s="73"/>
      <c r="N16" s="73"/>
      <c r="O16" s="73"/>
      <c r="P16" s="73"/>
      <c r="Q16" s="73"/>
      <c r="R16" s="73"/>
      <c r="S16" s="73"/>
      <c r="T16" s="73"/>
      <c r="U16" s="73"/>
      <c r="V16" s="73"/>
      <c r="W16" s="73"/>
      <c r="X16" s="73"/>
      <c r="Y16" s="73"/>
      <c r="Z16" s="73"/>
      <c r="AA16" s="73"/>
      <c r="AB16" s="73"/>
      <c r="AC16" s="73"/>
      <c r="AD16" s="73"/>
      <c r="AE16" s="73"/>
    </row>
    <row r="17" spans="2:31" s="101" customFormat="1" ht="15">
      <c r="B17" s="113"/>
      <c r="C17" s="114" t="s">
        <v>49</v>
      </c>
      <c r="D17" s="1187"/>
      <c r="E17" s="116"/>
      <c r="F17" s="117"/>
      <c r="G17" s="50">
        <f>SUM(G14:G16)</f>
        <v>0</v>
      </c>
      <c r="H17" s="1186"/>
      <c r="I17" s="1186"/>
      <c r="J17" s="37"/>
      <c r="K17" s="73"/>
      <c r="L17" s="73"/>
      <c r="M17" s="73"/>
      <c r="N17" s="73"/>
      <c r="O17" s="73"/>
      <c r="P17" s="73"/>
      <c r="Q17" s="73"/>
      <c r="R17" s="73"/>
      <c r="S17" s="73"/>
      <c r="T17" s="73"/>
      <c r="U17" s="73"/>
      <c r="V17" s="73"/>
      <c r="W17" s="73"/>
      <c r="X17" s="73"/>
      <c r="Y17" s="73"/>
      <c r="Z17" s="73"/>
      <c r="AA17" s="73"/>
      <c r="AB17" s="73"/>
      <c r="AC17" s="73"/>
      <c r="AD17" s="73"/>
      <c r="AE17" s="73"/>
    </row>
    <row r="18" spans="2:31">
      <c r="B18" s="61"/>
      <c r="C18" s="62"/>
      <c r="D18" s="63"/>
      <c r="E18" s="64"/>
      <c r="F18" s="65"/>
    </row>
    <row r="19" spans="2:31">
      <c r="G19" s="118"/>
      <c r="H19" s="118"/>
      <c r="I19" s="118"/>
    </row>
    <row r="20" spans="2:31">
      <c r="B20" s="119" t="s">
        <v>50</v>
      </c>
      <c r="C20" s="120" t="s">
        <v>51</v>
      </c>
      <c r="D20" s="120" t="s">
        <v>52</v>
      </c>
      <c r="E20" s="122" t="s">
        <v>53</v>
      </c>
      <c r="F20" s="123" t="s">
        <v>54</v>
      </c>
      <c r="G20" s="124" t="s">
        <v>55</v>
      </c>
      <c r="H20" s="1189"/>
      <c r="I20" s="1189"/>
    </row>
    <row r="21" spans="2:31">
      <c r="B21" s="125"/>
      <c r="C21" s="126"/>
      <c r="D21" s="140"/>
      <c r="E21" s="128"/>
      <c r="F21" s="129"/>
      <c r="G21" s="130"/>
      <c r="H21" s="118"/>
      <c r="I21" s="118"/>
    </row>
    <row r="22" spans="2:31" s="138" customFormat="1" ht="20.25">
      <c r="B22" s="131" t="s">
        <v>43</v>
      </c>
      <c r="C22" s="132" t="s">
        <v>44</v>
      </c>
      <c r="D22" s="165"/>
      <c r="E22" s="134"/>
      <c r="F22" s="135"/>
      <c r="G22" s="136"/>
      <c r="H22" s="1190"/>
      <c r="I22" s="1190"/>
      <c r="J22" s="137"/>
    </row>
    <row r="23" spans="2:31" ht="24">
      <c r="B23" s="125">
        <v>1</v>
      </c>
      <c r="C23" s="139" t="s">
        <v>56</v>
      </c>
      <c r="D23" s="140" t="s">
        <v>57</v>
      </c>
      <c r="E23" s="198">
        <v>292</v>
      </c>
      <c r="F23" s="1573">
        <v>0</v>
      </c>
      <c r="G23" s="1083">
        <f t="shared" ref="G23" si="0">E23*F23</f>
        <v>0</v>
      </c>
      <c r="H23" s="1192"/>
      <c r="I23" s="1192"/>
    </row>
    <row r="24" spans="2:31">
      <c r="B24" s="125">
        <v>2</v>
      </c>
      <c r="C24" s="139" t="s">
        <v>58</v>
      </c>
      <c r="D24" s="140" t="s">
        <v>57</v>
      </c>
      <c r="E24" s="198">
        <f>E23</f>
        <v>292</v>
      </c>
      <c r="F24" s="1573">
        <v>0</v>
      </c>
      <c r="G24" s="1083">
        <f>E24*F24</f>
        <v>0</v>
      </c>
      <c r="H24" s="1192"/>
      <c r="I24" s="1192"/>
    </row>
    <row r="25" spans="2:31" ht="48">
      <c r="B25" s="125">
        <v>3</v>
      </c>
      <c r="C25" s="139" t="s">
        <v>59</v>
      </c>
      <c r="D25" s="140" t="s">
        <v>60</v>
      </c>
      <c r="E25" s="198">
        <v>1</v>
      </c>
      <c r="F25" s="1573">
        <v>0</v>
      </c>
      <c r="G25" s="1083">
        <f t="shared" ref="G25:G36" si="1">E25*F25</f>
        <v>0</v>
      </c>
      <c r="H25" s="1192"/>
      <c r="I25" s="1192"/>
      <c r="J25" s="143"/>
    </row>
    <row r="26" spans="2:31" ht="125.25" customHeight="1">
      <c r="B26" s="125">
        <v>4</v>
      </c>
      <c r="C26" s="144" t="s">
        <v>61</v>
      </c>
      <c r="D26" s="145" t="s">
        <v>60</v>
      </c>
      <c r="E26" s="198">
        <v>1</v>
      </c>
      <c r="F26" s="1573">
        <v>0</v>
      </c>
      <c r="G26" s="1083">
        <f t="shared" si="1"/>
        <v>0</v>
      </c>
      <c r="H26" s="1192"/>
      <c r="I26" s="1192"/>
    </row>
    <row r="27" spans="2:31" ht="24">
      <c r="B27" s="125">
        <v>5</v>
      </c>
      <c r="C27" s="144" t="s">
        <v>62</v>
      </c>
      <c r="D27" s="146" t="s">
        <v>60</v>
      </c>
      <c r="E27" s="198">
        <v>1</v>
      </c>
      <c r="F27" s="1573">
        <v>0</v>
      </c>
      <c r="G27" s="1083">
        <f>E27*F27</f>
        <v>0</v>
      </c>
      <c r="H27" s="1192"/>
      <c r="I27" s="1192"/>
    </row>
    <row r="28" spans="2:31" ht="24">
      <c r="B28" s="125">
        <v>6</v>
      </c>
      <c r="C28" s="1239" t="s">
        <v>63</v>
      </c>
      <c r="D28" s="277" t="s">
        <v>57</v>
      </c>
      <c r="E28" s="198">
        <v>80</v>
      </c>
      <c r="F28" s="1573">
        <v>0</v>
      </c>
      <c r="G28" s="1194">
        <f t="shared" si="1"/>
        <v>0</v>
      </c>
      <c r="H28" s="1192"/>
      <c r="I28" s="1192"/>
    </row>
    <row r="29" spans="2:31" ht="48">
      <c r="B29" s="125">
        <v>7</v>
      </c>
      <c r="C29" s="1080" t="s">
        <v>64</v>
      </c>
      <c r="D29" s="146" t="s">
        <v>60</v>
      </c>
      <c r="E29" s="198">
        <v>1</v>
      </c>
      <c r="F29" s="1573">
        <v>0</v>
      </c>
      <c r="G29" s="1083">
        <f t="shared" si="1"/>
        <v>0</v>
      </c>
      <c r="H29" s="1192"/>
      <c r="I29" s="1192"/>
    </row>
    <row r="30" spans="2:31" s="1241" customFormat="1" ht="54" customHeight="1">
      <c r="B30" s="125">
        <v>8</v>
      </c>
      <c r="C30" s="1080" t="s">
        <v>2292</v>
      </c>
      <c r="D30" s="146" t="s">
        <v>66</v>
      </c>
      <c r="E30" s="128">
        <v>7</v>
      </c>
      <c r="F30" s="1573">
        <v>0</v>
      </c>
      <c r="G30" s="142">
        <f t="shared" si="1"/>
        <v>0</v>
      </c>
      <c r="H30" s="44"/>
      <c r="I30" s="1192"/>
      <c r="J30" s="1192"/>
      <c r="K30" s="44"/>
    </row>
    <row r="31" spans="2:31" ht="36">
      <c r="B31" s="125">
        <v>9</v>
      </c>
      <c r="C31" s="1239" t="s">
        <v>1580</v>
      </c>
      <c r="D31" s="275" t="s">
        <v>78</v>
      </c>
      <c r="E31" s="198">
        <v>4</v>
      </c>
      <c r="F31" s="1573">
        <v>0</v>
      </c>
      <c r="G31" s="1194">
        <f t="shared" si="1"/>
        <v>0</v>
      </c>
      <c r="H31" s="1195"/>
      <c r="I31" s="1195"/>
      <c r="J31" s="143"/>
    </row>
    <row r="32" spans="2:31" ht="36">
      <c r="B32" s="125">
        <v>10</v>
      </c>
      <c r="C32" s="1080" t="s">
        <v>2294</v>
      </c>
      <c r="D32" s="146" t="s">
        <v>57</v>
      </c>
      <c r="E32" s="198">
        <v>358</v>
      </c>
      <c r="F32" s="1573">
        <v>0</v>
      </c>
      <c r="G32" s="1083">
        <f t="shared" si="1"/>
        <v>0</v>
      </c>
      <c r="H32" s="1192"/>
      <c r="I32" s="1192"/>
    </row>
    <row r="33" spans="2:14" ht="24">
      <c r="B33" s="125">
        <v>11</v>
      </c>
      <c r="C33" s="1080" t="s">
        <v>2293</v>
      </c>
      <c r="D33" s="146" t="s">
        <v>57</v>
      </c>
      <c r="E33" s="198">
        <f>E32</f>
        <v>358</v>
      </c>
      <c r="F33" s="1573">
        <v>0</v>
      </c>
      <c r="G33" s="1083">
        <f t="shared" si="1"/>
        <v>0</v>
      </c>
      <c r="H33" s="1192"/>
      <c r="I33" s="1192"/>
    </row>
    <row r="34" spans="2:14">
      <c r="B34" s="125">
        <v>12</v>
      </c>
      <c r="C34" s="1080" t="s">
        <v>67</v>
      </c>
      <c r="D34" s="146" t="s">
        <v>60</v>
      </c>
      <c r="E34" s="198">
        <v>1</v>
      </c>
      <c r="F34" s="1573">
        <v>0</v>
      </c>
      <c r="G34" s="1083">
        <f t="shared" si="1"/>
        <v>0</v>
      </c>
      <c r="H34" s="1192"/>
      <c r="I34" s="1192"/>
    </row>
    <row r="35" spans="2:14" ht="36">
      <c r="B35" s="125">
        <v>13</v>
      </c>
      <c r="C35" s="148" t="s">
        <v>68</v>
      </c>
      <c r="D35" s="146" t="s">
        <v>60</v>
      </c>
      <c r="E35" s="198">
        <v>1</v>
      </c>
      <c r="F35" s="1573">
        <v>0</v>
      </c>
      <c r="G35" s="1083">
        <f t="shared" si="1"/>
        <v>0</v>
      </c>
      <c r="H35" s="1192"/>
      <c r="I35" s="1192"/>
    </row>
    <row r="36" spans="2:14" ht="36">
      <c r="B36" s="125">
        <v>14</v>
      </c>
      <c r="C36" s="150" t="s">
        <v>69</v>
      </c>
      <c r="D36" s="146" t="s">
        <v>60</v>
      </c>
      <c r="E36" s="198">
        <v>3</v>
      </c>
      <c r="F36" s="1573">
        <v>0</v>
      </c>
      <c r="G36" s="1083">
        <f t="shared" si="1"/>
        <v>0</v>
      </c>
      <c r="H36" s="1192"/>
      <c r="I36" s="1192"/>
    </row>
    <row r="37" spans="2:14">
      <c r="B37" s="151" t="s">
        <v>43</v>
      </c>
      <c r="C37" s="152" t="s">
        <v>70</v>
      </c>
      <c r="D37" s="185"/>
      <c r="E37" s="741"/>
      <c r="F37" s="1122"/>
      <c r="G37" s="263">
        <f>SUM(G23:G36)</f>
        <v>0</v>
      </c>
      <c r="H37" s="1201"/>
      <c r="I37" s="1201"/>
    </row>
    <row r="38" spans="2:14">
      <c r="B38" s="125"/>
      <c r="C38" s="126"/>
      <c r="D38" s="140"/>
      <c r="E38" s="128"/>
      <c r="F38" s="129"/>
      <c r="G38" s="130"/>
      <c r="H38" s="118"/>
      <c r="I38" s="118"/>
    </row>
    <row r="39" spans="2:14">
      <c r="B39" s="1202" t="s">
        <v>50</v>
      </c>
      <c r="C39" s="1203" t="s">
        <v>51</v>
      </c>
      <c r="D39" s="1203" t="s">
        <v>52</v>
      </c>
      <c r="E39" s="1204" t="s">
        <v>53</v>
      </c>
      <c r="F39" s="1205" t="s">
        <v>54</v>
      </c>
      <c r="G39" s="1206" t="s">
        <v>55</v>
      </c>
      <c r="H39" s="1189"/>
      <c r="I39" s="1189"/>
    </row>
    <row r="40" spans="2:14">
      <c r="B40" s="125"/>
      <c r="C40" s="163"/>
      <c r="D40" s="140"/>
      <c r="E40" s="128"/>
      <c r="F40" s="129"/>
      <c r="G40" s="130"/>
      <c r="H40" s="118"/>
      <c r="I40" s="118"/>
    </row>
    <row r="41" spans="2:14" s="138" customFormat="1" ht="20.25">
      <c r="B41" s="131" t="s">
        <v>45</v>
      </c>
      <c r="C41" s="164" t="s">
        <v>71</v>
      </c>
      <c r="D41" s="165"/>
      <c r="E41" s="134"/>
      <c r="F41" s="135"/>
      <c r="G41" s="136"/>
      <c r="H41" s="1190"/>
      <c r="I41" s="1190"/>
      <c r="J41" s="137"/>
    </row>
    <row r="42" spans="2:14" s="166" customFormat="1" ht="71.25" customHeight="1">
      <c r="B42" s="2399" t="s">
        <v>72</v>
      </c>
      <c r="C42" s="2400"/>
      <c r="D42" s="2400"/>
      <c r="E42" s="2400"/>
      <c r="F42" s="2400"/>
      <c r="G42" s="2401"/>
      <c r="H42" s="1207"/>
      <c r="I42" s="1207"/>
      <c r="J42" s="8"/>
    </row>
    <row r="43" spans="2:14" ht="24">
      <c r="B43" s="167">
        <v>1</v>
      </c>
      <c r="C43" s="139" t="s">
        <v>73</v>
      </c>
      <c r="D43" s="140" t="s">
        <v>74</v>
      </c>
      <c r="E43" s="128">
        <v>25</v>
      </c>
      <c r="F43" s="141">
        <v>0</v>
      </c>
      <c r="G43" s="142">
        <f t="shared" ref="G43:G70" si="2">E43*F43</f>
        <v>0</v>
      </c>
      <c r="H43" s="1192"/>
      <c r="I43" s="1192"/>
      <c r="K43" s="266"/>
    </row>
    <row r="44" spans="2:14" ht="36">
      <c r="B44" s="167">
        <v>2</v>
      </c>
      <c r="C44" s="139" t="s">
        <v>1499</v>
      </c>
      <c r="D44" s="145" t="s">
        <v>74</v>
      </c>
      <c r="E44" s="128">
        <v>10</v>
      </c>
      <c r="F44" s="141">
        <v>0</v>
      </c>
      <c r="G44" s="142">
        <f t="shared" si="2"/>
        <v>0</v>
      </c>
      <c r="H44" s="1192"/>
      <c r="I44" s="1192"/>
      <c r="K44" s="266"/>
    </row>
    <row r="45" spans="2:14" ht="36">
      <c r="B45" s="167">
        <v>3</v>
      </c>
      <c r="C45" s="139" t="s">
        <v>1500</v>
      </c>
      <c r="D45" s="145" t="s">
        <v>74</v>
      </c>
      <c r="E45" s="128">
        <v>420</v>
      </c>
      <c r="F45" s="141">
        <v>0</v>
      </c>
      <c r="G45" s="142">
        <f t="shared" si="2"/>
        <v>0</v>
      </c>
      <c r="H45" s="1192"/>
      <c r="I45" s="1192"/>
      <c r="K45" s="1209"/>
      <c r="M45" s="270"/>
      <c r="N45" s="270"/>
    </row>
    <row r="46" spans="2:14" ht="24">
      <c r="B46" s="167">
        <v>4</v>
      </c>
      <c r="C46" s="716" t="s">
        <v>77</v>
      </c>
      <c r="D46" s="169" t="s">
        <v>78</v>
      </c>
      <c r="E46" s="170">
        <v>980</v>
      </c>
      <c r="F46" s="141">
        <v>0</v>
      </c>
      <c r="G46" s="142">
        <f t="shared" si="2"/>
        <v>0</v>
      </c>
      <c r="H46" s="1192"/>
      <c r="I46" s="1192"/>
      <c r="K46" s="1209"/>
    </row>
    <row r="47" spans="2:14" ht="36">
      <c r="B47" s="167">
        <v>5</v>
      </c>
      <c r="C47" s="139" t="s">
        <v>79</v>
      </c>
      <c r="D47" s="145" t="s">
        <v>78</v>
      </c>
      <c r="E47" s="128">
        <v>240</v>
      </c>
      <c r="F47" s="141">
        <v>0</v>
      </c>
      <c r="G47" s="142">
        <f t="shared" si="2"/>
        <v>0</v>
      </c>
      <c r="H47" s="1192"/>
      <c r="I47" s="1192"/>
      <c r="K47" s="266"/>
    </row>
    <row r="48" spans="2:14" ht="24">
      <c r="B48" s="167">
        <v>6</v>
      </c>
      <c r="C48" s="139" t="s">
        <v>80</v>
      </c>
      <c r="D48" s="145" t="s">
        <v>74</v>
      </c>
      <c r="E48" s="128">
        <v>92</v>
      </c>
      <c r="F48" s="141">
        <v>0</v>
      </c>
      <c r="G48" s="142">
        <f t="shared" si="2"/>
        <v>0</v>
      </c>
      <c r="H48" s="1192"/>
      <c r="I48" s="1192"/>
      <c r="K48" s="266"/>
    </row>
    <row r="49" spans="2:11" ht="24">
      <c r="B49" s="167">
        <v>7</v>
      </c>
      <c r="C49" s="139" t="s">
        <v>247</v>
      </c>
      <c r="D49" s="172" t="s">
        <v>74</v>
      </c>
      <c r="E49" s="173">
        <v>150</v>
      </c>
      <c r="F49" s="141">
        <v>0</v>
      </c>
      <c r="G49" s="142">
        <f t="shared" si="2"/>
        <v>0</v>
      </c>
      <c r="H49" s="1192"/>
      <c r="I49" s="1192"/>
      <c r="K49" s="1209"/>
    </row>
    <row r="50" spans="2:11" ht="36">
      <c r="B50" s="167">
        <v>8</v>
      </c>
      <c r="C50" s="144" t="s">
        <v>248</v>
      </c>
      <c r="D50" s="145" t="s">
        <v>74</v>
      </c>
      <c r="E50" s="128">
        <v>183</v>
      </c>
      <c r="F50" s="141">
        <v>0</v>
      </c>
      <c r="G50" s="142">
        <f t="shared" si="2"/>
        <v>0</v>
      </c>
      <c r="H50" s="1192"/>
      <c r="I50" s="1192"/>
      <c r="K50" s="270"/>
    </row>
    <row r="51" spans="2:11" ht="36">
      <c r="B51" s="167">
        <v>9</v>
      </c>
      <c r="C51" s="397" t="s">
        <v>249</v>
      </c>
      <c r="D51" s="146" t="s">
        <v>74</v>
      </c>
      <c r="E51" s="128">
        <v>6</v>
      </c>
      <c r="F51" s="141">
        <v>0</v>
      </c>
      <c r="G51" s="142">
        <f t="shared" si="2"/>
        <v>0</v>
      </c>
      <c r="H51" s="1192"/>
      <c r="I51" s="1192"/>
    </row>
    <row r="52" spans="2:11" s="166" customFormat="1" ht="36">
      <c r="B52" s="715" t="s">
        <v>865</v>
      </c>
      <c r="C52" s="397" t="s">
        <v>251</v>
      </c>
      <c r="D52" s="146" t="s">
        <v>74</v>
      </c>
      <c r="E52" s="128">
        <v>39</v>
      </c>
      <c r="F52" s="141">
        <v>0</v>
      </c>
      <c r="G52" s="142">
        <f t="shared" si="2"/>
        <v>0</v>
      </c>
      <c r="H52" s="1192"/>
      <c r="I52" s="1192"/>
      <c r="J52" s="8"/>
    </row>
    <row r="53" spans="2:11" s="166" customFormat="1" ht="24">
      <c r="B53" s="167">
        <v>11</v>
      </c>
      <c r="C53" s="139" t="s">
        <v>85</v>
      </c>
      <c r="D53" s="145" t="s">
        <v>57</v>
      </c>
      <c r="E53" s="128">
        <v>270</v>
      </c>
      <c r="F53" s="141">
        <v>0</v>
      </c>
      <c r="G53" s="142">
        <f t="shared" si="2"/>
        <v>0</v>
      </c>
      <c r="H53" s="1192"/>
      <c r="I53" s="1192"/>
      <c r="J53" s="8"/>
    </row>
    <row r="54" spans="2:11" s="179" customFormat="1" ht="24">
      <c r="B54" s="167">
        <v>12</v>
      </c>
      <c r="C54" s="139" t="s">
        <v>86</v>
      </c>
      <c r="D54" s="140" t="s">
        <v>78</v>
      </c>
      <c r="E54" s="128">
        <v>298</v>
      </c>
      <c r="F54" s="141">
        <v>0</v>
      </c>
      <c r="G54" s="142">
        <f t="shared" si="2"/>
        <v>0</v>
      </c>
      <c r="H54" s="1192"/>
      <c r="I54" s="1192"/>
      <c r="J54" s="269"/>
    </row>
    <row r="55" spans="2:11" s="179" customFormat="1" ht="48">
      <c r="B55" s="167">
        <v>13</v>
      </c>
      <c r="C55" s="139" t="s">
        <v>87</v>
      </c>
      <c r="D55" s="140" t="s">
        <v>78</v>
      </c>
      <c r="E55" s="128">
        <f>E54</f>
        <v>298</v>
      </c>
      <c r="F55" s="141">
        <v>0</v>
      </c>
      <c r="G55" s="142">
        <f t="shared" si="2"/>
        <v>0</v>
      </c>
      <c r="H55" s="1192"/>
      <c r="I55" s="1192"/>
      <c r="J55" s="269"/>
    </row>
    <row r="56" spans="2:11" s="179" customFormat="1" ht="48">
      <c r="B56" s="728" t="s">
        <v>1236</v>
      </c>
      <c r="C56" s="144" t="s">
        <v>256</v>
      </c>
      <c r="D56" s="145" t="s">
        <v>78</v>
      </c>
      <c r="E56" s="128">
        <v>26</v>
      </c>
      <c r="F56" s="141">
        <v>0</v>
      </c>
      <c r="G56" s="142">
        <f t="shared" si="2"/>
        <v>0</v>
      </c>
      <c r="H56" s="1192"/>
      <c r="I56" s="1192"/>
      <c r="J56" s="269"/>
    </row>
    <row r="57" spans="2:11" ht="60">
      <c r="B57" s="728" t="s">
        <v>1581</v>
      </c>
      <c r="C57" s="144" t="s">
        <v>258</v>
      </c>
      <c r="D57" s="145" t="s">
        <v>78</v>
      </c>
      <c r="E57" s="128">
        <v>26</v>
      </c>
      <c r="F57" s="141">
        <v>0</v>
      </c>
      <c r="G57" s="142">
        <f t="shared" si="2"/>
        <v>0</v>
      </c>
      <c r="H57" s="1192"/>
      <c r="I57" s="1192"/>
      <c r="J57" s="143"/>
    </row>
    <row r="58" spans="2:11" ht="48">
      <c r="B58" s="728" t="s">
        <v>1582</v>
      </c>
      <c r="C58" s="139" t="s">
        <v>1583</v>
      </c>
      <c r="D58" s="145" t="s">
        <v>78</v>
      </c>
      <c r="E58" s="128">
        <v>298</v>
      </c>
      <c r="F58" s="141">
        <v>0</v>
      </c>
      <c r="G58" s="142">
        <f>E58*F58</f>
        <v>0</v>
      </c>
      <c r="H58" s="1192"/>
      <c r="I58" s="1192"/>
      <c r="J58" s="143"/>
    </row>
    <row r="59" spans="2:11" ht="72">
      <c r="B59" s="728" t="s">
        <v>1238</v>
      </c>
      <c r="C59" s="144" t="s">
        <v>1584</v>
      </c>
      <c r="D59" s="145" t="s">
        <v>78</v>
      </c>
      <c r="E59" s="128">
        <v>24</v>
      </c>
      <c r="F59" s="141">
        <v>0</v>
      </c>
      <c r="G59" s="142">
        <f>E59*F59</f>
        <v>0</v>
      </c>
      <c r="H59" s="1192"/>
      <c r="I59" s="1192"/>
      <c r="J59" s="143"/>
    </row>
    <row r="60" spans="2:11" s="1246" customFormat="1" ht="36">
      <c r="B60" s="2434" t="s">
        <v>1240</v>
      </c>
      <c r="C60" s="1217" t="s">
        <v>295</v>
      </c>
      <c r="D60" s="1218"/>
      <c r="E60" s="1214"/>
      <c r="F60" s="1242"/>
      <c r="G60" s="1243"/>
      <c r="H60" s="1244"/>
      <c r="I60" s="1244"/>
      <c r="J60" s="1245"/>
    </row>
    <row r="61" spans="2:11" s="1246" customFormat="1">
      <c r="B61" s="2435"/>
      <c r="C61" s="1247" t="s">
        <v>1585</v>
      </c>
      <c r="D61" s="1248" t="s">
        <v>57</v>
      </c>
      <c r="E61" s="1214">
        <v>8</v>
      </c>
      <c r="F61" s="1242">
        <v>0</v>
      </c>
      <c r="G61" s="1243">
        <f t="shared" ref="G61" si="3">E61*F61</f>
        <v>0</v>
      </c>
      <c r="H61" s="1244"/>
      <c r="I61" s="1244"/>
      <c r="J61" s="1245"/>
    </row>
    <row r="62" spans="2:11" s="1246" customFormat="1" ht="24">
      <c r="B62" s="1249">
        <v>17</v>
      </c>
      <c r="C62" s="1212" t="s">
        <v>92</v>
      </c>
      <c r="D62" s="1213" t="s">
        <v>74</v>
      </c>
      <c r="E62" s="1214">
        <v>310</v>
      </c>
      <c r="F62" s="1242">
        <v>0</v>
      </c>
      <c r="G62" s="1243">
        <f t="shared" si="2"/>
        <v>0</v>
      </c>
      <c r="H62" s="1244"/>
      <c r="I62" s="1244"/>
      <c r="J62" s="1245"/>
    </row>
    <row r="63" spans="2:11">
      <c r="B63" s="167">
        <v>18</v>
      </c>
      <c r="C63" s="139" t="s">
        <v>93</v>
      </c>
      <c r="D63" s="145" t="s">
        <v>74</v>
      </c>
      <c r="E63" s="128">
        <v>310</v>
      </c>
      <c r="F63" s="1242">
        <v>0</v>
      </c>
      <c r="G63" s="142">
        <f t="shared" si="2"/>
        <v>0</v>
      </c>
      <c r="H63" s="1192"/>
      <c r="I63" s="1192"/>
      <c r="J63" s="143"/>
    </row>
    <row r="64" spans="2:11" ht="24">
      <c r="B64" s="167">
        <v>19</v>
      </c>
      <c r="C64" s="139" t="s">
        <v>94</v>
      </c>
      <c r="D64" s="145" t="s">
        <v>78</v>
      </c>
      <c r="E64" s="128">
        <v>298</v>
      </c>
      <c r="F64" s="1242">
        <v>0</v>
      </c>
      <c r="G64" s="142">
        <f t="shared" si="2"/>
        <v>0</v>
      </c>
      <c r="H64" s="1192"/>
      <c r="I64" s="1192"/>
      <c r="J64" s="143"/>
    </row>
    <row r="65" spans="1:10" ht="24">
      <c r="B65" s="167">
        <v>20</v>
      </c>
      <c r="C65" s="177" t="s">
        <v>96</v>
      </c>
      <c r="D65" s="140" t="s">
        <v>57</v>
      </c>
      <c r="E65" s="128">
        <v>4</v>
      </c>
      <c r="F65" s="1242">
        <v>0</v>
      </c>
      <c r="G65" s="142">
        <f t="shared" si="2"/>
        <v>0</v>
      </c>
      <c r="H65" s="1192"/>
      <c r="I65" s="1192"/>
      <c r="J65" s="143"/>
    </row>
    <row r="66" spans="1:10" s="1246" customFormat="1" ht="24">
      <c r="B66" s="728" t="s">
        <v>1250</v>
      </c>
      <c r="C66" s="177" t="s">
        <v>268</v>
      </c>
      <c r="D66" s="140" t="s">
        <v>57</v>
      </c>
      <c r="E66" s="128">
        <v>12</v>
      </c>
      <c r="F66" s="1242">
        <v>0</v>
      </c>
      <c r="G66" s="142">
        <f t="shared" si="2"/>
        <v>0</v>
      </c>
      <c r="H66" s="1250"/>
      <c r="I66" s="1250"/>
      <c r="J66" s="1245"/>
    </row>
    <row r="67" spans="1:10" ht="36">
      <c r="B67" s="729">
        <v>22</v>
      </c>
      <c r="C67" s="402" t="s">
        <v>269</v>
      </c>
      <c r="D67" s="182" t="s">
        <v>74</v>
      </c>
      <c r="E67" s="183">
        <v>1</v>
      </c>
      <c r="F67" s="1242">
        <v>0</v>
      </c>
      <c r="G67" s="142">
        <f t="shared" si="2"/>
        <v>0</v>
      </c>
      <c r="H67" s="1192"/>
      <c r="I67" s="1192"/>
      <c r="J67" s="143"/>
    </row>
    <row r="68" spans="1:10" s="1251" customFormat="1" ht="36">
      <c r="B68" s="1252">
        <v>23</v>
      </c>
      <c r="C68" s="1253" t="s">
        <v>270</v>
      </c>
      <c r="D68" s="1254" t="s">
        <v>66</v>
      </c>
      <c r="E68" s="1214">
        <v>12</v>
      </c>
      <c r="F68" s="1242">
        <v>0</v>
      </c>
      <c r="G68" s="1243">
        <f t="shared" si="2"/>
        <v>0</v>
      </c>
      <c r="H68" s="1244"/>
      <c r="I68" s="1244"/>
      <c r="J68" s="1255"/>
    </row>
    <row r="69" spans="1:10" ht="24">
      <c r="B69" s="729">
        <v>24</v>
      </c>
      <c r="C69" s="1219" t="s">
        <v>99</v>
      </c>
      <c r="D69" s="190" t="s">
        <v>74</v>
      </c>
      <c r="E69" s="128">
        <v>1</v>
      </c>
      <c r="F69" s="1242">
        <v>0</v>
      </c>
      <c r="G69" s="142">
        <f t="shared" si="2"/>
        <v>0</v>
      </c>
      <c r="H69" s="1192"/>
      <c r="I69" s="1192"/>
      <c r="J69" s="143"/>
    </row>
    <row r="70" spans="1:10" ht="24">
      <c r="B70" s="167">
        <v>25</v>
      </c>
      <c r="C70" s="184" t="s">
        <v>100</v>
      </c>
      <c r="D70" s="182" t="s">
        <v>65</v>
      </c>
      <c r="E70" s="183">
        <v>50</v>
      </c>
      <c r="F70" s="1242">
        <v>0</v>
      </c>
      <c r="G70" s="142">
        <f t="shared" si="2"/>
        <v>0</v>
      </c>
      <c r="H70" s="1192"/>
      <c r="I70" s="1192"/>
      <c r="J70" s="143"/>
    </row>
    <row r="71" spans="1:10">
      <c r="B71" s="151" t="s">
        <v>45</v>
      </c>
      <c r="C71" s="152" t="s">
        <v>101</v>
      </c>
      <c r="D71" s="185"/>
      <c r="E71" s="154"/>
      <c r="F71" s="155"/>
      <c r="G71" s="263">
        <f>SUM(G43:G70)</f>
        <v>0</v>
      </c>
      <c r="H71" s="1201"/>
      <c r="I71" s="1201"/>
    </row>
    <row r="72" spans="1:10">
      <c r="B72" s="125"/>
      <c r="C72" s="126"/>
      <c r="D72" s="140"/>
      <c r="E72" s="128"/>
      <c r="F72" s="129"/>
      <c r="G72" s="130"/>
      <c r="H72" s="118"/>
      <c r="I72" s="118"/>
    </row>
    <row r="73" spans="1:10">
      <c r="B73" s="1202" t="s">
        <v>50</v>
      </c>
      <c r="C73" s="1203" t="s">
        <v>51</v>
      </c>
      <c r="D73" s="1203" t="s">
        <v>52</v>
      </c>
      <c r="E73" s="1204" t="s">
        <v>53</v>
      </c>
      <c r="F73" s="1205" t="s">
        <v>54</v>
      </c>
      <c r="G73" s="1206" t="s">
        <v>55</v>
      </c>
      <c r="H73" s="1189"/>
      <c r="I73" s="1189"/>
    </row>
    <row r="74" spans="1:10">
      <c r="B74" s="125"/>
      <c r="C74" s="126"/>
      <c r="D74" s="140"/>
      <c r="E74" s="128"/>
      <c r="F74" s="129"/>
      <c r="G74" s="130"/>
      <c r="H74" s="118"/>
      <c r="I74" s="118"/>
    </row>
    <row r="75" spans="1:10" s="138" customFormat="1" ht="20.25">
      <c r="B75" s="186" t="s">
        <v>47</v>
      </c>
      <c r="C75" s="187" t="s">
        <v>102</v>
      </c>
      <c r="D75" s="165"/>
      <c r="E75" s="134"/>
      <c r="F75" s="135"/>
      <c r="G75" s="136"/>
      <c r="H75" s="1190"/>
      <c r="I75" s="1190"/>
      <c r="J75" s="137"/>
    </row>
    <row r="76" spans="1:10" s="14" customFormat="1" ht="18" customHeight="1">
      <c r="A76" s="9"/>
      <c r="B76" s="10" t="s">
        <v>38</v>
      </c>
      <c r="C76" s="11"/>
      <c r="D76" s="1177"/>
      <c r="E76" s="12"/>
      <c r="F76" s="12"/>
      <c r="G76" s="13"/>
      <c r="H76" s="1178"/>
      <c r="I76" s="1178"/>
    </row>
    <row r="77" spans="1:10" s="14" customFormat="1" ht="18" customHeight="1">
      <c r="A77" s="15"/>
      <c r="B77" s="16" t="s">
        <v>39</v>
      </c>
      <c r="C77" s="17"/>
      <c r="D77" s="1179"/>
      <c r="E77" s="19"/>
      <c r="F77" s="19"/>
      <c r="G77" s="18"/>
      <c r="H77" s="1178"/>
      <c r="I77" s="1178"/>
    </row>
    <row r="78" spans="1:10" s="14" customFormat="1" ht="18" customHeight="1">
      <c r="A78" s="9"/>
      <c r="B78" s="10" t="s">
        <v>4</v>
      </c>
      <c r="C78" s="11"/>
      <c r="D78" s="1180"/>
      <c r="E78" s="12"/>
      <c r="F78" s="12"/>
      <c r="G78" s="13"/>
      <c r="H78" s="1178"/>
      <c r="I78" s="1178"/>
    </row>
    <row r="79" spans="1:10" s="14" customFormat="1" ht="18" customHeight="1">
      <c r="A79" s="15"/>
      <c r="B79" s="16" t="s">
        <v>5</v>
      </c>
      <c r="C79" s="17"/>
      <c r="D79" s="1181"/>
      <c r="E79" s="19"/>
      <c r="F79" s="19"/>
      <c r="G79" s="18"/>
      <c r="H79" s="1178"/>
      <c r="I79" s="1178"/>
    </row>
    <row r="80" spans="1:10" s="166" customFormat="1" ht="30.75" customHeight="1">
      <c r="B80" s="2399" t="s">
        <v>103</v>
      </c>
      <c r="C80" s="2400"/>
      <c r="D80" s="2400"/>
      <c r="E80" s="2400"/>
      <c r="F80" s="2400"/>
      <c r="G80" s="2401"/>
      <c r="H80" s="1207"/>
      <c r="I80" s="1207"/>
      <c r="J80" s="8"/>
    </row>
    <row r="81" spans="2:10" s="166" customFormat="1" ht="18.75" customHeight="1">
      <c r="B81" s="2399" t="s">
        <v>104</v>
      </c>
      <c r="C81" s="2400"/>
      <c r="D81" s="2400"/>
      <c r="E81" s="2400"/>
      <c r="F81" s="2400"/>
      <c r="G81" s="2401"/>
      <c r="H81" s="1207"/>
      <c r="I81" s="1207"/>
      <c r="J81" s="8"/>
    </row>
    <row r="82" spans="2:10" s="166" customFormat="1" ht="18.75" customHeight="1">
      <c r="B82" s="2399" t="s">
        <v>105</v>
      </c>
      <c r="C82" s="2400"/>
      <c r="D82" s="2400"/>
      <c r="E82" s="2400"/>
      <c r="F82" s="2400"/>
      <c r="G82" s="2401"/>
      <c r="H82" s="1207"/>
      <c r="I82" s="1207"/>
      <c r="J82" s="8"/>
    </row>
    <row r="83" spans="2:10" ht="30" customHeight="1">
      <c r="B83" s="188">
        <v>1</v>
      </c>
      <c r="C83" s="189" t="s">
        <v>106</v>
      </c>
      <c r="D83" s="190"/>
      <c r="E83" s="128"/>
      <c r="F83" s="129"/>
      <c r="G83" s="130"/>
      <c r="H83" s="118"/>
      <c r="I83" s="118"/>
    </row>
    <row r="84" spans="2:10" s="179" customFormat="1" ht="18.75" customHeight="1">
      <c r="B84" s="191"/>
      <c r="C84" s="192" t="s">
        <v>107</v>
      </c>
      <c r="D84" s="190" t="s">
        <v>57</v>
      </c>
      <c r="E84" s="128">
        <v>243</v>
      </c>
      <c r="F84" s="141">
        <v>0</v>
      </c>
      <c r="G84" s="142">
        <f t="shared" ref="G84:G94" si="4">E84*F84</f>
        <v>0</v>
      </c>
      <c r="H84" s="1192"/>
      <c r="I84" s="1192"/>
      <c r="J84" s="802"/>
    </row>
    <row r="85" spans="2:10" s="179" customFormat="1" ht="24.75" customHeight="1">
      <c r="B85" s="191"/>
      <c r="C85" s="192" t="s">
        <v>108</v>
      </c>
      <c r="D85" s="190" t="s">
        <v>57</v>
      </c>
      <c r="E85" s="128">
        <v>27</v>
      </c>
      <c r="F85" s="141">
        <v>0</v>
      </c>
      <c r="G85" s="142">
        <f t="shared" si="4"/>
        <v>0</v>
      </c>
      <c r="H85" s="1192"/>
      <c r="I85" s="1192"/>
      <c r="J85" s="802"/>
    </row>
    <row r="86" spans="2:10" s="179" customFormat="1" ht="18.75" customHeight="1">
      <c r="B86" s="191"/>
      <c r="C86" s="192" t="s">
        <v>226</v>
      </c>
      <c r="D86" s="190" t="s">
        <v>57</v>
      </c>
      <c r="E86" s="128">
        <v>20</v>
      </c>
      <c r="F86" s="141">
        <v>0</v>
      </c>
      <c r="G86" s="142">
        <f t="shared" si="4"/>
        <v>0</v>
      </c>
      <c r="H86" s="1192"/>
      <c r="I86" s="1192"/>
      <c r="J86" s="802"/>
    </row>
    <row r="87" spans="2:10" s="179" customFormat="1" ht="27.75" customHeight="1">
      <c r="B87" s="191"/>
      <c r="C87" s="192" t="s">
        <v>227</v>
      </c>
      <c r="D87" s="190" t="s">
        <v>57</v>
      </c>
      <c r="E87" s="128">
        <v>2</v>
      </c>
      <c r="F87" s="141">
        <v>0</v>
      </c>
      <c r="G87" s="142">
        <f t="shared" si="4"/>
        <v>0</v>
      </c>
      <c r="H87" s="1192"/>
      <c r="I87" s="1192"/>
      <c r="J87" s="802"/>
    </row>
    <row r="88" spans="2:10" s="179" customFormat="1" ht="19.5" customHeight="1">
      <c r="B88" s="191"/>
      <c r="C88" s="192" t="s">
        <v>109</v>
      </c>
      <c r="D88" s="190" t="s">
        <v>57</v>
      </c>
      <c r="E88" s="128">
        <v>59</v>
      </c>
      <c r="F88" s="141">
        <v>0</v>
      </c>
      <c r="G88" s="142">
        <f t="shared" si="4"/>
        <v>0</v>
      </c>
      <c r="H88" s="1192"/>
      <c r="I88" s="1192"/>
      <c r="J88" s="802"/>
    </row>
    <row r="89" spans="2:10" s="179" customFormat="1" ht="27.75" customHeight="1">
      <c r="B89" s="191"/>
      <c r="C89" s="192" t="s">
        <v>110</v>
      </c>
      <c r="D89" s="190" t="s">
        <v>57</v>
      </c>
      <c r="E89" s="128">
        <v>7</v>
      </c>
      <c r="F89" s="141">
        <v>0</v>
      </c>
      <c r="G89" s="142">
        <f t="shared" si="4"/>
        <v>0</v>
      </c>
      <c r="H89" s="1192"/>
      <c r="I89" s="1192"/>
      <c r="J89" s="802"/>
    </row>
    <row r="90" spans="2:10" s="166" customFormat="1" ht="40.5" customHeight="1">
      <c r="B90" s="2404" t="s">
        <v>111</v>
      </c>
      <c r="C90" s="193" t="s">
        <v>112</v>
      </c>
      <c r="D90" s="194"/>
      <c r="E90" s="128"/>
      <c r="F90" s="141"/>
      <c r="G90" s="142"/>
      <c r="H90" s="1192"/>
      <c r="I90" s="1192"/>
      <c r="J90" s="8"/>
    </row>
    <row r="91" spans="2:10" s="166" customFormat="1">
      <c r="B91" s="2405"/>
      <c r="C91" s="195" t="s">
        <v>113</v>
      </c>
      <c r="D91" s="194" t="s">
        <v>57</v>
      </c>
      <c r="E91" s="128">
        <v>44</v>
      </c>
      <c r="F91" s="141">
        <v>0</v>
      </c>
      <c r="G91" s="142">
        <f t="shared" ref="G91:G93" si="5">E91*F91</f>
        <v>0</v>
      </c>
      <c r="H91" s="1192"/>
      <c r="I91" s="1192"/>
      <c r="J91" s="8"/>
    </row>
    <row r="92" spans="2:10" s="166" customFormat="1">
      <c r="B92" s="2405"/>
      <c r="C92" s="195" t="s">
        <v>274</v>
      </c>
      <c r="D92" s="194" t="s">
        <v>57</v>
      </c>
      <c r="E92" s="128">
        <v>17</v>
      </c>
      <c r="F92" s="141">
        <v>0</v>
      </c>
      <c r="G92" s="142">
        <f t="shared" si="5"/>
        <v>0</v>
      </c>
      <c r="H92" s="1192"/>
      <c r="I92" s="1192"/>
      <c r="J92" s="8"/>
    </row>
    <row r="93" spans="2:10" s="166" customFormat="1">
      <c r="B93" s="2413"/>
      <c r="C93" s="195" t="s">
        <v>275</v>
      </c>
      <c r="D93" s="194" t="s">
        <v>57</v>
      </c>
      <c r="E93" s="128">
        <v>10</v>
      </c>
      <c r="F93" s="141">
        <v>0</v>
      </c>
      <c r="G93" s="142">
        <f t="shared" si="5"/>
        <v>0</v>
      </c>
      <c r="H93" s="1192"/>
      <c r="I93" s="1192"/>
      <c r="J93" s="8"/>
    </row>
    <row r="94" spans="2:10" ht="40.5" customHeight="1">
      <c r="B94" s="196">
        <v>2</v>
      </c>
      <c r="C94" s="197" t="s">
        <v>114</v>
      </c>
      <c r="D94" s="145" t="s">
        <v>57</v>
      </c>
      <c r="E94" s="128">
        <v>358</v>
      </c>
      <c r="F94" s="141">
        <v>0</v>
      </c>
      <c r="G94" s="142">
        <f t="shared" si="4"/>
        <v>0</v>
      </c>
      <c r="H94" s="1192"/>
      <c r="I94" s="1192"/>
    </row>
    <row r="95" spans="2:10" ht="41.25" customHeight="1">
      <c r="B95" s="199" t="s">
        <v>115</v>
      </c>
      <c r="C95" s="197" t="s">
        <v>116</v>
      </c>
      <c r="D95" s="145" t="s">
        <v>57</v>
      </c>
      <c r="E95" s="128">
        <v>358</v>
      </c>
      <c r="F95" s="141">
        <v>0</v>
      </c>
      <c r="G95" s="142">
        <f>E95*F95</f>
        <v>0</v>
      </c>
      <c r="H95" s="1192"/>
      <c r="I95" s="1192"/>
    </row>
    <row r="96" spans="2:10" ht="27" customHeight="1">
      <c r="B96" s="199" t="s">
        <v>117</v>
      </c>
      <c r="C96" s="197" t="s">
        <v>118</v>
      </c>
      <c r="D96" s="145" t="s">
        <v>57</v>
      </c>
      <c r="E96" s="128">
        <v>358</v>
      </c>
      <c r="F96" s="141">
        <v>0</v>
      </c>
      <c r="G96" s="142">
        <f>E96*F96</f>
        <v>0</v>
      </c>
      <c r="H96" s="1192"/>
      <c r="I96" s="1192"/>
    </row>
    <row r="97" spans="2:12" ht="39" customHeight="1">
      <c r="B97" s="199" t="s">
        <v>119</v>
      </c>
      <c r="C97" s="197" t="s">
        <v>120</v>
      </c>
      <c r="D97" s="145" t="s">
        <v>57</v>
      </c>
      <c r="E97" s="128">
        <v>358</v>
      </c>
      <c r="F97" s="141">
        <v>0</v>
      </c>
      <c r="G97" s="142">
        <f>E97*F97</f>
        <v>0</v>
      </c>
      <c r="H97" s="1192"/>
      <c r="I97" s="1192"/>
    </row>
    <row r="98" spans="2:12" ht="27.75" customHeight="1">
      <c r="B98" s="188">
        <v>3</v>
      </c>
      <c r="C98" s="200" t="s">
        <v>121</v>
      </c>
      <c r="D98" s="140"/>
      <c r="E98" s="128"/>
      <c r="F98" s="128"/>
      <c r="G98" s="130"/>
      <c r="H98" s="118"/>
      <c r="I98" s="118"/>
    </row>
    <row r="99" spans="2:12">
      <c r="B99" s="201" t="s">
        <v>122</v>
      </c>
      <c r="C99" s="1256" t="s">
        <v>123</v>
      </c>
      <c r="D99" s="209"/>
      <c r="E99" s="204"/>
      <c r="F99" s="205"/>
      <c r="G99" s="206"/>
      <c r="H99" s="118"/>
      <c r="I99" s="118"/>
    </row>
    <row r="100" spans="2:12" ht="15" customHeight="1">
      <c r="B100" s="125"/>
      <c r="C100" s="1256" t="s">
        <v>124</v>
      </c>
      <c r="D100" s="209"/>
      <c r="E100" s="204"/>
      <c r="F100" s="205"/>
      <c r="G100" s="206"/>
      <c r="H100" s="118"/>
      <c r="I100" s="118"/>
      <c r="J100" s="1224"/>
      <c r="L100" s="217"/>
    </row>
    <row r="101" spans="2:12" s="179" customFormat="1" ht="17.25" customHeight="1">
      <c r="B101" s="207"/>
      <c r="C101" s="1227" t="s">
        <v>199</v>
      </c>
      <c r="D101" s="209" t="s">
        <v>66</v>
      </c>
      <c r="E101" s="204">
        <v>8</v>
      </c>
      <c r="F101" s="210">
        <v>0</v>
      </c>
      <c r="G101" s="211">
        <f t="shared" ref="G101:G102" si="6">E101*F101</f>
        <v>0</v>
      </c>
      <c r="H101" s="1192"/>
      <c r="I101" s="1192"/>
      <c r="J101" s="1225"/>
    </row>
    <row r="102" spans="2:12" s="179" customFormat="1" ht="17.25" customHeight="1">
      <c r="B102" s="207"/>
      <c r="C102" s="1227" t="s">
        <v>217</v>
      </c>
      <c r="D102" s="209" t="s">
        <v>66</v>
      </c>
      <c r="E102" s="204">
        <v>2</v>
      </c>
      <c r="F102" s="210">
        <v>0</v>
      </c>
      <c r="G102" s="211">
        <f t="shared" si="6"/>
        <v>0</v>
      </c>
      <c r="H102" s="1192"/>
      <c r="I102" s="1192"/>
      <c r="J102" s="1225"/>
    </row>
    <row r="103" spans="2:12" s="217" customFormat="1">
      <c r="B103" s="201" t="s">
        <v>126</v>
      </c>
      <c r="C103" s="212" t="s">
        <v>127</v>
      </c>
      <c r="D103" s="1228"/>
      <c r="E103" s="214"/>
      <c r="F103" s="215">
        <v>0</v>
      </c>
      <c r="G103" s="216"/>
      <c r="H103" s="1192"/>
      <c r="I103" s="1192"/>
      <c r="J103" s="8"/>
    </row>
    <row r="104" spans="2:12" s="217" customFormat="1">
      <c r="B104" s="218"/>
      <c r="C104" s="212" t="s">
        <v>128</v>
      </c>
      <c r="D104" s="1228"/>
      <c r="E104" s="214"/>
      <c r="F104" s="215">
        <v>0</v>
      </c>
      <c r="G104" s="216"/>
      <c r="H104" s="1192"/>
      <c r="I104" s="1257"/>
      <c r="J104" s="8"/>
    </row>
    <row r="105" spans="2:12" s="1229" customFormat="1">
      <c r="B105" s="218"/>
      <c r="C105" s="219" t="s">
        <v>129</v>
      </c>
      <c r="D105" s="1228" t="s">
        <v>66</v>
      </c>
      <c r="E105" s="214">
        <v>2</v>
      </c>
      <c r="F105" s="220">
        <v>0</v>
      </c>
      <c r="G105" s="221">
        <f t="shared" ref="G105:G112" si="7">E105*F105</f>
        <v>0</v>
      </c>
      <c r="H105" s="1258"/>
      <c r="I105" s="1258"/>
      <c r="J105" s="267"/>
    </row>
    <row r="106" spans="2:12" s="217" customFormat="1" ht="38.25" customHeight="1">
      <c r="B106" s="218"/>
      <c r="C106" s="222" t="s">
        <v>130</v>
      </c>
      <c r="D106" s="1228" t="s">
        <v>66</v>
      </c>
      <c r="E106" s="214">
        <v>2</v>
      </c>
      <c r="F106" s="220">
        <v>0</v>
      </c>
      <c r="G106" s="221">
        <f t="shared" si="7"/>
        <v>0</v>
      </c>
      <c r="H106" s="1192"/>
      <c r="I106" s="1259"/>
      <c r="J106" s="8"/>
    </row>
    <row r="107" spans="2:12" s="217" customFormat="1">
      <c r="B107" s="218"/>
      <c r="C107" s="222" t="s">
        <v>145</v>
      </c>
      <c r="D107" s="1228" t="s">
        <v>66</v>
      </c>
      <c r="E107" s="214">
        <v>2</v>
      </c>
      <c r="F107" s="220">
        <v>0</v>
      </c>
      <c r="G107" s="221">
        <f t="shared" si="7"/>
        <v>0</v>
      </c>
      <c r="H107" s="1192"/>
      <c r="I107" s="1259"/>
      <c r="J107" s="8"/>
    </row>
    <row r="108" spans="2:12" s="217" customFormat="1">
      <c r="B108" s="218"/>
      <c r="C108" s="222" t="s">
        <v>1569</v>
      </c>
      <c r="D108" s="1228" t="s">
        <v>66</v>
      </c>
      <c r="E108" s="214">
        <v>2</v>
      </c>
      <c r="F108" s="220">
        <v>0</v>
      </c>
      <c r="G108" s="221">
        <f t="shared" si="7"/>
        <v>0</v>
      </c>
      <c r="H108" s="1192"/>
      <c r="I108" s="1259"/>
      <c r="J108" s="8"/>
    </row>
    <row r="109" spans="2:12" s="217" customFormat="1">
      <c r="B109" s="218"/>
      <c r="C109" s="1230" t="s">
        <v>132</v>
      </c>
      <c r="D109" s="1228" t="s">
        <v>66</v>
      </c>
      <c r="E109" s="214">
        <v>4</v>
      </c>
      <c r="F109" s="220">
        <v>0</v>
      </c>
      <c r="G109" s="221">
        <f t="shared" si="7"/>
        <v>0</v>
      </c>
      <c r="H109" s="1192"/>
      <c r="I109" s="1259"/>
      <c r="J109" s="8"/>
    </row>
    <row r="110" spans="2:12" s="217" customFormat="1">
      <c r="B110" s="218"/>
      <c r="C110" s="1230" t="s">
        <v>202</v>
      </c>
      <c r="D110" s="1228" t="s">
        <v>66</v>
      </c>
      <c r="E110" s="214">
        <v>4</v>
      </c>
      <c r="F110" s="220">
        <v>0</v>
      </c>
      <c r="G110" s="221">
        <f t="shared" si="7"/>
        <v>0</v>
      </c>
      <c r="H110" s="1192"/>
      <c r="I110" s="1259"/>
      <c r="J110" s="8"/>
    </row>
    <row r="111" spans="2:12" s="217" customFormat="1">
      <c r="B111" s="218"/>
      <c r="C111" s="1230" t="s">
        <v>134</v>
      </c>
      <c r="D111" s="1228" t="s">
        <v>66</v>
      </c>
      <c r="E111" s="214">
        <v>2</v>
      </c>
      <c r="F111" s="220">
        <v>0</v>
      </c>
      <c r="G111" s="221">
        <f t="shared" si="7"/>
        <v>0</v>
      </c>
      <c r="H111" s="1192"/>
      <c r="I111" s="1259"/>
      <c r="J111" s="8"/>
    </row>
    <row r="112" spans="2:12" s="217" customFormat="1">
      <c r="B112" s="218"/>
      <c r="C112" s="1231" t="s">
        <v>1537</v>
      </c>
      <c r="D112" s="1228" t="s">
        <v>66</v>
      </c>
      <c r="E112" s="214">
        <v>2</v>
      </c>
      <c r="F112" s="220">
        <v>0</v>
      </c>
      <c r="G112" s="221">
        <f t="shared" si="7"/>
        <v>0</v>
      </c>
      <c r="H112" s="1192"/>
      <c r="I112" s="1259"/>
      <c r="J112" s="8"/>
    </row>
    <row r="113" spans="2:13" s="217" customFormat="1">
      <c r="B113" s="201" t="s">
        <v>136</v>
      </c>
      <c r="C113" s="212" t="s">
        <v>1543</v>
      </c>
      <c r="D113" s="1228"/>
      <c r="E113" s="214"/>
      <c r="F113" s="215"/>
      <c r="G113" s="216"/>
      <c r="H113" s="1192"/>
      <c r="I113" s="1192"/>
      <c r="J113" s="8"/>
    </row>
    <row r="114" spans="2:13" s="217" customFormat="1">
      <c r="B114" s="218"/>
      <c r="C114" s="212" t="s">
        <v>1586</v>
      </c>
      <c r="D114" s="1228"/>
      <c r="E114" s="214"/>
      <c r="F114" s="215">
        <v>0</v>
      </c>
      <c r="G114" s="216"/>
      <c r="H114" s="1192"/>
      <c r="I114" s="1192"/>
      <c r="J114" s="8"/>
    </row>
    <row r="115" spans="2:13" s="1229" customFormat="1">
      <c r="B115" s="218"/>
      <c r="C115" s="219" t="s">
        <v>129</v>
      </c>
      <c r="D115" s="1228" t="s">
        <v>66</v>
      </c>
      <c r="E115" s="214">
        <v>2</v>
      </c>
      <c r="F115" s="220">
        <v>0</v>
      </c>
      <c r="G115" s="221">
        <f t="shared" ref="G115:G125" si="8">E115*F115</f>
        <v>0</v>
      </c>
      <c r="H115" s="1258"/>
      <c r="I115" s="1258"/>
      <c r="J115" s="267"/>
    </row>
    <row r="116" spans="2:13" s="217" customFormat="1" ht="14.25" customHeight="1">
      <c r="B116" s="218"/>
      <c r="C116" s="222" t="s">
        <v>328</v>
      </c>
      <c r="D116" s="1228" t="s">
        <v>66</v>
      </c>
      <c r="E116" s="214">
        <v>2</v>
      </c>
      <c r="F116" s="220">
        <v>0</v>
      </c>
      <c r="G116" s="221">
        <f t="shared" si="8"/>
        <v>0</v>
      </c>
      <c r="H116" s="1192"/>
      <c r="I116" s="1192"/>
      <c r="J116" s="8"/>
    </row>
    <row r="117" spans="2:13" s="217" customFormat="1">
      <c r="B117" s="218"/>
      <c r="C117" s="222" t="s">
        <v>155</v>
      </c>
      <c r="D117" s="1228" t="s">
        <v>66</v>
      </c>
      <c r="E117" s="214">
        <v>2</v>
      </c>
      <c r="F117" s="220">
        <v>0</v>
      </c>
      <c r="G117" s="221">
        <f t="shared" si="8"/>
        <v>0</v>
      </c>
      <c r="H117" s="1192"/>
      <c r="I117" s="1192"/>
      <c r="J117" s="8"/>
    </row>
    <row r="118" spans="2:13" s="217" customFormat="1">
      <c r="B118" s="218"/>
      <c r="C118" s="222" t="s">
        <v>1545</v>
      </c>
      <c r="D118" s="1228" t="s">
        <v>66</v>
      </c>
      <c r="E118" s="214">
        <v>2</v>
      </c>
      <c r="F118" s="220">
        <v>0</v>
      </c>
      <c r="G118" s="221">
        <f t="shared" si="8"/>
        <v>0</v>
      </c>
      <c r="H118" s="1192"/>
      <c r="I118" s="1192"/>
      <c r="J118" s="8"/>
    </row>
    <row r="119" spans="2:13" s="217" customFormat="1">
      <c r="B119" s="218"/>
      <c r="C119" s="222" t="s">
        <v>157</v>
      </c>
      <c r="D119" s="1228" t="s">
        <v>66</v>
      </c>
      <c r="E119" s="214">
        <v>2</v>
      </c>
      <c r="F119" s="220">
        <v>0</v>
      </c>
      <c r="G119" s="221">
        <f t="shared" si="8"/>
        <v>0</v>
      </c>
      <c r="H119" s="1192"/>
      <c r="I119" s="1192"/>
      <c r="J119" s="8"/>
    </row>
    <row r="120" spans="2:13" s="217" customFormat="1">
      <c r="B120" s="218"/>
      <c r="C120" s="1230" t="s">
        <v>158</v>
      </c>
      <c r="D120" s="1228" t="s">
        <v>66</v>
      </c>
      <c r="E120" s="214">
        <v>2</v>
      </c>
      <c r="F120" s="220">
        <v>0</v>
      </c>
      <c r="G120" s="221">
        <f t="shared" si="8"/>
        <v>0</v>
      </c>
      <c r="H120" s="1192"/>
      <c r="I120" s="1192"/>
      <c r="J120" s="8"/>
    </row>
    <row r="121" spans="2:13" s="217" customFormat="1">
      <c r="B121" s="218"/>
      <c r="C121" s="1230" t="s">
        <v>132</v>
      </c>
      <c r="D121" s="1228" t="s">
        <v>66</v>
      </c>
      <c r="E121" s="214">
        <v>4</v>
      </c>
      <c r="F121" s="220">
        <v>0</v>
      </c>
      <c r="G121" s="221">
        <f t="shared" si="8"/>
        <v>0</v>
      </c>
      <c r="H121" s="1192"/>
      <c r="I121" s="1192"/>
      <c r="J121" s="8"/>
    </row>
    <row r="122" spans="2:13" s="217" customFormat="1">
      <c r="B122" s="218"/>
      <c r="C122" s="1230" t="s">
        <v>202</v>
      </c>
      <c r="D122" s="1228" t="s">
        <v>66</v>
      </c>
      <c r="E122" s="214">
        <v>4</v>
      </c>
      <c r="F122" s="220">
        <v>0</v>
      </c>
      <c r="G122" s="221">
        <f t="shared" si="8"/>
        <v>0</v>
      </c>
      <c r="H122" s="1192"/>
      <c r="I122" s="1192"/>
      <c r="J122" s="8"/>
    </row>
    <row r="123" spans="2:13" s="217" customFormat="1">
      <c r="B123" s="218"/>
      <c r="C123" s="1230" t="s">
        <v>150</v>
      </c>
      <c r="D123" s="1228" t="s">
        <v>66</v>
      </c>
      <c r="E123" s="214">
        <v>2</v>
      </c>
      <c r="F123" s="220">
        <v>0</v>
      </c>
      <c r="G123" s="221">
        <f t="shared" si="8"/>
        <v>0</v>
      </c>
      <c r="H123" s="1192"/>
      <c r="I123" s="1192"/>
      <c r="J123" s="8"/>
    </row>
    <row r="124" spans="2:13" s="217" customFormat="1">
      <c r="B124" s="218"/>
      <c r="C124" s="1231" t="s">
        <v>1537</v>
      </c>
      <c r="D124" s="1228" t="s">
        <v>66</v>
      </c>
      <c r="E124" s="214">
        <v>2</v>
      </c>
      <c r="F124" s="220">
        <v>0</v>
      </c>
      <c r="G124" s="221">
        <f t="shared" si="8"/>
        <v>0</v>
      </c>
      <c r="H124" s="1192"/>
      <c r="I124" s="1192"/>
      <c r="J124" s="8"/>
    </row>
    <row r="125" spans="2:13" ht="30" customHeight="1">
      <c r="B125" s="199" t="s">
        <v>1587</v>
      </c>
      <c r="C125" s="212" t="s">
        <v>332</v>
      </c>
      <c r="D125" s="1228" t="s">
        <v>66</v>
      </c>
      <c r="E125" s="214">
        <v>2</v>
      </c>
      <c r="F125" s="220">
        <v>0</v>
      </c>
      <c r="G125" s="221">
        <f t="shared" si="8"/>
        <v>0</v>
      </c>
      <c r="H125" s="1192"/>
      <c r="I125" s="1192"/>
    </row>
    <row r="126" spans="2:13" s="217" customFormat="1">
      <c r="B126" s="201" t="s">
        <v>151</v>
      </c>
      <c r="C126" s="223" t="s">
        <v>160</v>
      </c>
      <c r="D126" s="1232"/>
      <c r="E126" s="225"/>
      <c r="F126" s="226"/>
      <c r="G126" s="227"/>
      <c r="H126" s="1192"/>
      <c r="I126" s="1192"/>
      <c r="J126" s="8"/>
      <c r="M126" s="1229"/>
    </row>
    <row r="127" spans="2:13" s="217" customFormat="1">
      <c r="B127" s="218"/>
      <c r="C127" s="223" t="s">
        <v>196</v>
      </c>
      <c r="D127" s="1232"/>
      <c r="E127" s="225"/>
      <c r="F127" s="226">
        <v>0</v>
      </c>
      <c r="G127" s="227"/>
      <c r="H127" s="1192"/>
      <c r="I127" s="1192"/>
      <c r="J127" s="8"/>
      <c r="M127" s="1"/>
    </row>
    <row r="128" spans="2:13" s="217" customFormat="1">
      <c r="B128" s="218"/>
      <c r="C128" s="279" t="s">
        <v>132</v>
      </c>
      <c r="D128" s="1232" t="s">
        <v>66</v>
      </c>
      <c r="E128" s="225">
        <v>2</v>
      </c>
      <c r="F128" s="229">
        <v>0</v>
      </c>
      <c r="G128" s="230">
        <f t="shared" ref="G128:G129" si="9">E128*F128</f>
        <v>0</v>
      </c>
      <c r="H128" s="1192"/>
      <c r="I128" s="1192"/>
      <c r="J128" s="8"/>
    </row>
    <row r="129" spans="2:10" s="217" customFormat="1">
      <c r="B129" s="218"/>
      <c r="C129" s="279" t="s">
        <v>202</v>
      </c>
      <c r="D129" s="1232" t="s">
        <v>66</v>
      </c>
      <c r="E129" s="225">
        <v>2</v>
      </c>
      <c r="F129" s="229">
        <v>0</v>
      </c>
      <c r="G129" s="230">
        <f t="shared" si="9"/>
        <v>0</v>
      </c>
      <c r="H129" s="1192"/>
      <c r="I129" s="1192"/>
      <c r="J129" s="8"/>
    </row>
    <row r="130" spans="2:10" s="217" customFormat="1">
      <c r="B130" s="218"/>
      <c r="C130" s="223" t="s">
        <v>228</v>
      </c>
      <c r="D130" s="1232"/>
      <c r="E130" s="225"/>
      <c r="F130" s="225"/>
      <c r="G130" s="227"/>
      <c r="H130" s="1192"/>
      <c r="I130" s="1192"/>
      <c r="J130" s="1224"/>
    </row>
    <row r="131" spans="2:10" s="1229" customFormat="1" ht="25.5" customHeight="1">
      <c r="B131" s="218"/>
      <c r="C131" s="228" t="s">
        <v>2066</v>
      </c>
      <c r="D131" s="1232" t="s">
        <v>66</v>
      </c>
      <c r="E131" s="225">
        <v>2</v>
      </c>
      <c r="F131" s="229">
        <v>0</v>
      </c>
      <c r="G131" s="230">
        <f t="shared" ref="G131:G140" si="10">E131*F131</f>
        <v>0</v>
      </c>
      <c r="H131" s="1258"/>
      <c r="I131" s="1258"/>
      <c r="J131" s="1260"/>
    </row>
    <row r="132" spans="2:10" s="217" customFormat="1">
      <c r="B132" s="218"/>
      <c r="C132" s="279" t="s">
        <v>132</v>
      </c>
      <c r="D132" s="1232" t="s">
        <v>66</v>
      </c>
      <c r="E132" s="225">
        <v>5</v>
      </c>
      <c r="F132" s="229">
        <v>0</v>
      </c>
      <c r="G132" s="230">
        <f t="shared" si="10"/>
        <v>0</v>
      </c>
      <c r="H132" s="1192"/>
      <c r="I132" s="1192"/>
      <c r="J132" s="1224"/>
    </row>
    <row r="133" spans="2:10" s="217" customFormat="1">
      <c r="B133" s="218"/>
      <c r="C133" s="279" t="s">
        <v>166</v>
      </c>
      <c r="D133" s="1232" t="s">
        <v>66</v>
      </c>
      <c r="E133" s="225">
        <v>2</v>
      </c>
      <c r="F133" s="229">
        <v>0</v>
      </c>
      <c r="G133" s="230">
        <f t="shared" si="10"/>
        <v>0</v>
      </c>
      <c r="H133" s="1192"/>
      <c r="I133" s="1192"/>
      <c r="J133" s="1224"/>
    </row>
    <row r="134" spans="2:10" s="217" customFormat="1">
      <c r="B134" s="218"/>
      <c r="C134" s="279" t="s">
        <v>202</v>
      </c>
      <c r="D134" s="1232" t="s">
        <v>66</v>
      </c>
      <c r="E134" s="225">
        <v>6</v>
      </c>
      <c r="F134" s="229">
        <v>0</v>
      </c>
      <c r="G134" s="230">
        <f t="shared" si="10"/>
        <v>0</v>
      </c>
      <c r="H134" s="1192"/>
      <c r="I134" s="1192"/>
      <c r="J134" s="1224"/>
    </row>
    <row r="135" spans="2:10" s="217" customFormat="1">
      <c r="B135" s="218"/>
      <c r="C135" s="279" t="s">
        <v>203</v>
      </c>
      <c r="D135" s="1232" t="s">
        <v>66</v>
      </c>
      <c r="E135" s="225">
        <v>2</v>
      </c>
      <c r="F135" s="229">
        <v>0</v>
      </c>
      <c r="G135" s="230">
        <f t="shared" si="10"/>
        <v>0</v>
      </c>
      <c r="H135" s="1192"/>
      <c r="I135" s="1192"/>
      <c r="J135" s="1224"/>
    </row>
    <row r="136" spans="2:10" s="217" customFormat="1">
      <c r="B136" s="218"/>
      <c r="C136" s="279" t="s">
        <v>1541</v>
      </c>
      <c r="D136" s="1232" t="s">
        <v>66</v>
      </c>
      <c r="E136" s="225">
        <v>2</v>
      </c>
      <c r="F136" s="229">
        <v>0</v>
      </c>
      <c r="G136" s="230">
        <f t="shared" si="10"/>
        <v>0</v>
      </c>
      <c r="H136" s="1192"/>
      <c r="I136" s="1192"/>
      <c r="J136" s="1224"/>
    </row>
    <row r="137" spans="2:10" s="217" customFormat="1">
      <c r="B137" s="218"/>
      <c r="C137" s="279" t="s">
        <v>1542</v>
      </c>
      <c r="D137" s="1232" t="s">
        <v>66</v>
      </c>
      <c r="E137" s="225">
        <v>2</v>
      </c>
      <c r="F137" s="229">
        <v>0</v>
      </c>
      <c r="G137" s="230">
        <f t="shared" si="10"/>
        <v>0</v>
      </c>
      <c r="H137" s="1192"/>
      <c r="I137" s="1192"/>
      <c r="J137" s="1224"/>
    </row>
    <row r="138" spans="2:10" s="217" customFormat="1">
      <c r="B138" s="218"/>
      <c r="C138" s="279" t="s">
        <v>1574</v>
      </c>
      <c r="D138" s="1232" t="s">
        <v>66</v>
      </c>
      <c r="E138" s="225">
        <v>1</v>
      </c>
      <c r="F138" s="229">
        <v>0</v>
      </c>
      <c r="G138" s="230">
        <f t="shared" si="10"/>
        <v>0</v>
      </c>
      <c r="H138" s="1192"/>
      <c r="I138" s="1192"/>
      <c r="J138" s="1224"/>
    </row>
    <row r="139" spans="2:10" s="217" customFormat="1">
      <c r="B139" s="218"/>
      <c r="C139" s="279" t="s">
        <v>150</v>
      </c>
      <c r="D139" s="1232" t="s">
        <v>66</v>
      </c>
      <c r="E139" s="225">
        <v>2</v>
      </c>
      <c r="F139" s="229">
        <v>0</v>
      </c>
      <c r="G139" s="230">
        <f t="shared" si="10"/>
        <v>0</v>
      </c>
      <c r="H139" s="1192"/>
      <c r="I139" s="1192"/>
      <c r="J139" s="1224"/>
    </row>
    <row r="140" spans="2:10" s="217" customFormat="1">
      <c r="B140" s="218"/>
      <c r="C140" s="1233" t="s">
        <v>1537</v>
      </c>
      <c r="D140" s="1232" t="s">
        <v>66</v>
      </c>
      <c r="E140" s="225">
        <v>2</v>
      </c>
      <c r="F140" s="229">
        <v>0</v>
      </c>
      <c r="G140" s="230">
        <f t="shared" si="10"/>
        <v>0</v>
      </c>
      <c r="H140" s="1192"/>
      <c r="I140" s="1192"/>
      <c r="J140" s="1224"/>
    </row>
    <row r="141" spans="2:10" s="217" customFormat="1">
      <c r="B141" s="201" t="s">
        <v>159</v>
      </c>
      <c r="C141" s="238" t="s">
        <v>169</v>
      </c>
      <c r="D141" s="260"/>
      <c r="E141" s="240"/>
      <c r="F141" s="241"/>
      <c r="G141" s="242"/>
      <c r="H141" s="8"/>
      <c r="I141" s="8"/>
    </row>
    <row r="142" spans="2:10" s="217" customFormat="1">
      <c r="B142" s="218"/>
      <c r="C142" s="238" t="s">
        <v>234</v>
      </c>
      <c r="D142" s="260"/>
      <c r="E142" s="240"/>
      <c r="F142" s="241">
        <v>0</v>
      </c>
      <c r="G142" s="242"/>
      <c r="H142" s="8"/>
      <c r="I142" s="8"/>
    </row>
    <row r="143" spans="2:10" s="217" customFormat="1" ht="36">
      <c r="B143" s="218"/>
      <c r="C143" s="243" t="s">
        <v>2074</v>
      </c>
      <c r="D143" s="260" t="s">
        <v>66</v>
      </c>
      <c r="E143" s="240">
        <v>6</v>
      </c>
      <c r="F143" s="244">
        <v>0</v>
      </c>
      <c r="G143" s="245">
        <f t="shared" ref="G143:G148" si="11">E143*F143</f>
        <v>0</v>
      </c>
      <c r="H143" s="8"/>
      <c r="I143" s="8"/>
    </row>
    <row r="144" spans="2:10" s="217" customFormat="1">
      <c r="B144" s="218"/>
      <c r="C144" s="109" t="s">
        <v>171</v>
      </c>
      <c r="D144" s="260" t="s">
        <v>66</v>
      </c>
      <c r="E144" s="240">
        <v>6</v>
      </c>
      <c r="F144" s="244">
        <v>0</v>
      </c>
      <c r="G144" s="245">
        <f t="shared" si="11"/>
        <v>0</v>
      </c>
      <c r="H144" s="8"/>
      <c r="I144" s="8"/>
    </row>
    <row r="145" spans="2:11" s="217" customFormat="1">
      <c r="B145" s="218"/>
      <c r="C145" s="1237" t="s">
        <v>1537</v>
      </c>
      <c r="D145" s="260" t="s">
        <v>66</v>
      </c>
      <c r="E145" s="240">
        <v>6</v>
      </c>
      <c r="F145" s="244">
        <v>0</v>
      </c>
      <c r="G145" s="245">
        <f t="shared" si="11"/>
        <v>0</v>
      </c>
      <c r="H145" s="8"/>
      <c r="I145" s="8"/>
    </row>
    <row r="146" spans="2:11">
      <c r="B146" s="201" t="s">
        <v>168</v>
      </c>
      <c r="C146" s="248" t="s">
        <v>173</v>
      </c>
      <c r="D146" s="249"/>
      <c r="E146" s="250"/>
      <c r="F146" s="251"/>
      <c r="G146" s="251"/>
      <c r="H146" s="1192"/>
      <c r="I146" s="1192"/>
    </row>
    <row r="147" spans="2:11" ht="62.25" customHeight="1">
      <c r="B147" s="201"/>
      <c r="C147" s="253" t="s">
        <v>1578</v>
      </c>
      <c r="D147" s="1238" t="s">
        <v>66</v>
      </c>
      <c r="E147" s="255">
        <v>1</v>
      </c>
      <c r="F147" s="256">
        <v>0</v>
      </c>
      <c r="G147" s="1261">
        <f t="shared" si="11"/>
        <v>0</v>
      </c>
      <c r="H147" s="1192"/>
      <c r="I147" s="1192"/>
    </row>
    <row r="148" spans="2:11" s="217" customFormat="1" ht="63" customHeight="1">
      <c r="B148" s="218"/>
      <c r="C148" s="253" t="s">
        <v>174</v>
      </c>
      <c r="D148" s="1238" t="s">
        <v>66</v>
      </c>
      <c r="E148" s="255">
        <v>6</v>
      </c>
      <c r="F148" s="256">
        <v>0</v>
      </c>
      <c r="G148" s="257">
        <f t="shared" si="11"/>
        <v>0</v>
      </c>
      <c r="H148" s="1192"/>
      <c r="I148" s="1192"/>
      <c r="J148" s="8"/>
    </row>
    <row r="149" spans="2:11" s="179" customFormat="1" ht="16.5" customHeight="1">
      <c r="B149" s="258" t="s">
        <v>47</v>
      </c>
      <c r="C149" s="259" t="s">
        <v>175</v>
      </c>
      <c r="D149" s="260"/>
      <c r="E149" s="261"/>
      <c r="F149" s="262"/>
      <c r="G149" s="263">
        <f>SUM(G83:G148)</f>
        <v>0</v>
      </c>
      <c r="H149" s="1192"/>
      <c r="I149" s="1192"/>
      <c r="J149" s="802"/>
    </row>
    <row r="154" spans="2:11">
      <c r="K154" s="1119"/>
    </row>
  </sheetData>
  <mergeCells count="6">
    <mergeCell ref="B90:B93"/>
    <mergeCell ref="B42:G42"/>
    <mergeCell ref="B60:B61"/>
    <mergeCell ref="B80:G80"/>
    <mergeCell ref="B81:G81"/>
    <mergeCell ref="B82:G82"/>
  </mergeCells>
  <pageMargins left="0.7" right="0.7" top="0.75" bottom="0.75" header="0.3" footer="0.3"/>
  <pageSetup paperSize="9" scale="85" orientation="portrait" r:id="rId1"/>
  <headerFooter alignWithMargins="0">
    <oddFooter>&amp;C&amp;8&amp;P/&amp;N</oddFooter>
  </headerFooter>
  <rowBreaks count="3" manualBreakCount="3">
    <brk id="18" max="16383" man="1"/>
    <brk id="38" max="16383" man="1"/>
    <brk id="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A8B7-7B51-4F30-8879-ABAD0F18D15A}">
  <sheetPr>
    <tabColor rgb="FFFFC000"/>
  </sheetPr>
  <dimension ref="A2:K25"/>
  <sheetViews>
    <sheetView showZeros="0" zoomScaleNormal="100" workbookViewId="0">
      <selection activeCell="J19" sqref="J19"/>
    </sheetView>
  </sheetViews>
  <sheetFormatPr defaultColWidth="10.42578125" defaultRowHeight="12.75"/>
  <cols>
    <col min="1" max="1" width="4.42578125" style="1" customWidth="1"/>
    <col min="2" max="2" width="9.140625" style="67" customWidth="1"/>
    <col min="3" max="3" width="42.85546875" style="68" customWidth="1"/>
    <col min="4" max="4" width="10.42578125" style="69" customWidth="1"/>
    <col min="5" max="5" width="9.28515625" style="70" customWidth="1"/>
    <col min="6" max="6" width="12.140625" style="71" customWidth="1"/>
    <col min="7" max="7" width="17.7109375" style="66" customWidth="1"/>
    <col min="8" max="8" width="26.28515625" style="1" customWidth="1"/>
    <col min="9" max="9" width="10.42578125" style="1" customWidth="1"/>
    <col min="10" max="256" width="10.42578125" style="1"/>
    <col min="257" max="257" width="7.42578125" style="1" customWidth="1"/>
    <col min="258" max="258" width="37.42578125" style="1" customWidth="1"/>
    <col min="259" max="259" width="10.42578125" style="1"/>
    <col min="260" max="260" width="9.28515625" style="1" customWidth="1"/>
    <col min="261" max="262" width="12.140625" style="1" customWidth="1"/>
    <col min="263" max="263" width="16" style="1" customWidth="1"/>
    <col min="264" max="264" width="26.28515625" style="1" customWidth="1"/>
    <col min="265" max="512" width="10.42578125" style="1"/>
    <col min="513" max="513" width="7.42578125" style="1" customWidth="1"/>
    <col min="514" max="514" width="37.42578125" style="1" customWidth="1"/>
    <col min="515" max="515" width="10.42578125" style="1"/>
    <col min="516" max="516" width="9.28515625" style="1" customWidth="1"/>
    <col min="517" max="518" width="12.140625" style="1" customWidth="1"/>
    <col min="519" max="519" width="16" style="1" customWidth="1"/>
    <col min="520" max="520" width="26.28515625" style="1" customWidth="1"/>
    <col min="521" max="768" width="10.42578125" style="1"/>
    <col min="769" max="769" width="7.42578125" style="1" customWidth="1"/>
    <col min="770" max="770" width="37.42578125" style="1" customWidth="1"/>
    <col min="771" max="771" width="10.42578125" style="1"/>
    <col min="772" max="772" width="9.28515625" style="1" customWidth="1"/>
    <col min="773" max="774" width="12.140625" style="1" customWidth="1"/>
    <col min="775" max="775" width="16" style="1" customWidth="1"/>
    <col min="776" max="776" width="26.28515625" style="1" customWidth="1"/>
    <col min="777" max="1024" width="10.42578125" style="1"/>
    <col min="1025" max="1025" width="7.42578125" style="1" customWidth="1"/>
    <col min="1026" max="1026" width="37.42578125" style="1" customWidth="1"/>
    <col min="1027" max="1027" width="10.42578125" style="1"/>
    <col min="1028" max="1028" width="9.28515625" style="1" customWidth="1"/>
    <col min="1029" max="1030" width="12.140625" style="1" customWidth="1"/>
    <col min="1031" max="1031" width="16" style="1" customWidth="1"/>
    <col min="1032" max="1032" width="26.28515625" style="1" customWidth="1"/>
    <col min="1033" max="1280" width="10.42578125" style="1"/>
    <col min="1281" max="1281" width="7.42578125" style="1" customWidth="1"/>
    <col min="1282" max="1282" width="37.42578125" style="1" customWidth="1"/>
    <col min="1283" max="1283" width="10.42578125" style="1"/>
    <col min="1284" max="1284" width="9.28515625" style="1" customWidth="1"/>
    <col min="1285" max="1286" width="12.140625" style="1" customWidth="1"/>
    <col min="1287" max="1287" width="16" style="1" customWidth="1"/>
    <col min="1288" max="1288" width="26.28515625" style="1" customWidth="1"/>
    <col min="1289" max="1536" width="10.42578125" style="1"/>
    <col min="1537" max="1537" width="7.42578125" style="1" customWidth="1"/>
    <col min="1538" max="1538" width="37.42578125" style="1" customWidth="1"/>
    <col min="1539" max="1539" width="10.42578125" style="1"/>
    <col min="1540" max="1540" width="9.28515625" style="1" customWidth="1"/>
    <col min="1541" max="1542" width="12.140625" style="1" customWidth="1"/>
    <col min="1543" max="1543" width="16" style="1" customWidth="1"/>
    <col min="1544" max="1544" width="26.28515625" style="1" customWidth="1"/>
    <col min="1545" max="1792" width="10.42578125" style="1"/>
    <col min="1793" max="1793" width="7.42578125" style="1" customWidth="1"/>
    <col min="1794" max="1794" width="37.42578125" style="1" customWidth="1"/>
    <col min="1795" max="1795" width="10.42578125" style="1"/>
    <col min="1796" max="1796" width="9.28515625" style="1" customWidth="1"/>
    <col min="1797" max="1798" width="12.140625" style="1" customWidth="1"/>
    <col min="1799" max="1799" width="16" style="1" customWidth="1"/>
    <col min="1800" max="1800" width="26.28515625" style="1" customWidth="1"/>
    <col min="1801" max="2048" width="10.42578125" style="1"/>
    <col min="2049" max="2049" width="7.42578125" style="1" customWidth="1"/>
    <col min="2050" max="2050" width="37.42578125" style="1" customWidth="1"/>
    <col min="2051" max="2051" width="10.42578125" style="1"/>
    <col min="2052" max="2052" width="9.28515625" style="1" customWidth="1"/>
    <col min="2053" max="2054" width="12.140625" style="1" customWidth="1"/>
    <col min="2055" max="2055" width="16" style="1" customWidth="1"/>
    <col min="2056" max="2056" width="26.28515625" style="1" customWidth="1"/>
    <col min="2057" max="2304" width="10.42578125" style="1"/>
    <col min="2305" max="2305" width="7.42578125" style="1" customWidth="1"/>
    <col min="2306" max="2306" width="37.42578125" style="1" customWidth="1"/>
    <col min="2307" max="2307" width="10.42578125" style="1"/>
    <col min="2308" max="2308" width="9.28515625" style="1" customWidth="1"/>
    <col min="2309" max="2310" width="12.140625" style="1" customWidth="1"/>
    <col min="2311" max="2311" width="16" style="1" customWidth="1"/>
    <col min="2312" max="2312" width="26.28515625" style="1" customWidth="1"/>
    <col min="2313" max="2560" width="10.42578125" style="1"/>
    <col min="2561" max="2561" width="7.42578125" style="1" customWidth="1"/>
    <col min="2562" max="2562" width="37.42578125" style="1" customWidth="1"/>
    <col min="2563" max="2563" width="10.42578125" style="1"/>
    <col min="2564" max="2564" width="9.28515625" style="1" customWidth="1"/>
    <col min="2565" max="2566" width="12.140625" style="1" customWidth="1"/>
    <col min="2567" max="2567" width="16" style="1" customWidth="1"/>
    <col min="2568" max="2568" width="26.28515625" style="1" customWidth="1"/>
    <col min="2569" max="2816" width="10.42578125" style="1"/>
    <col min="2817" max="2817" width="7.42578125" style="1" customWidth="1"/>
    <col min="2818" max="2818" width="37.42578125" style="1" customWidth="1"/>
    <col min="2819" max="2819" width="10.42578125" style="1"/>
    <col min="2820" max="2820" width="9.28515625" style="1" customWidth="1"/>
    <col min="2821" max="2822" width="12.140625" style="1" customWidth="1"/>
    <col min="2823" max="2823" width="16" style="1" customWidth="1"/>
    <col min="2824" max="2824" width="26.28515625" style="1" customWidth="1"/>
    <col min="2825" max="3072" width="10.42578125" style="1"/>
    <col min="3073" max="3073" width="7.42578125" style="1" customWidth="1"/>
    <col min="3074" max="3074" width="37.42578125" style="1" customWidth="1"/>
    <col min="3075" max="3075" width="10.42578125" style="1"/>
    <col min="3076" max="3076" width="9.28515625" style="1" customWidth="1"/>
    <col min="3077" max="3078" width="12.140625" style="1" customWidth="1"/>
    <col min="3079" max="3079" width="16" style="1" customWidth="1"/>
    <col min="3080" max="3080" width="26.28515625" style="1" customWidth="1"/>
    <col min="3081" max="3328" width="10.42578125" style="1"/>
    <col min="3329" max="3329" width="7.42578125" style="1" customWidth="1"/>
    <col min="3330" max="3330" width="37.42578125" style="1" customWidth="1"/>
    <col min="3331" max="3331" width="10.42578125" style="1"/>
    <col min="3332" max="3332" width="9.28515625" style="1" customWidth="1"/>
    <col min="3333" max="3334" width="12.140625" style="1" customWidth="1"/>
    <col min="3335" max="3335" width="16" style="1" customWidth="1"/>
    <col min="3336" max="3336" width="26.28515625" style="1" customWidth="1"/>
    <col min="3337" max="3584" width="10.42578125" style="1"/>
    <col min="3585" max="3585" width="7.42578125" style="1" customWidth="1"/>
    <col min="3586" max="3586" width="37.42578125" style="1" customWidth="1"/>
    <col min="3587" max="3587" width="10.42578125" style="1"/>
    <col min="3588" max="3588" width="9.28515625" style="1" customWidth="1"/>
    <col min="3589" max="3590" width="12.140625" style="1" customWidth="1"/>
    <col min="3591" max="3591" width="16" style="1" customWidth="1"/>
    <col min="3592" max="3592" width="26.28515625" style="1" customWidth="1"/>
    <col min="3593" max="3840" width="10.42578125" style="1"/>
    <col min="3841" max="3841" width="7.42578125" style="1" customWidth="1"/>
    <col min="3842" max="3842" width="37.42578125" style="1" customWidth="1"/>
    <col min="3843" max="3843" width="10.42578125" style="1"/>
    <col min="3844" max="3844" width="9.28515625" style="1" customWidth="1"/>
    <col min="3845" max="3846" width="12.140625" style="1" customWidth="1"/>
    <col min="3847" max="3847" width="16" style="1" customWidth="1"/>
    <col min="3848" max="3848" width="26.28515625" style="1" customWidth="1"/>
    <col min="3849" max="4096" width="10.42578125" style="1"/>
    <col min="4097" max="4097" width="7.42578125" style="1" customWidth="1"/>
    <col min="4098" max="4098" width="37.42578125" style="1" customWidth="1"/>
    <col min="4099" max="4099" width="10.42578125" style="1"/>
    <col min="4100" max="4100" width="9.28515625" style="1" customWidth="1"/>
    <col min="4101" max="4102" width="12.140625" style="1" customWidth="1"/>
    <col min="4103" max="4103" width="16" style="1" customWidth="1"/>
    <col min="4104" max="4104" width="26.28515625" style="1" customWidth="1"/>
    <col min="4105" max="4352" width="10.42578125" style="1"/>
    <col min="4353" max="4353" width="7.42578125" style="1" customWidth="1"/>
    <col min="4354" max="4354" width="37.42578125" style="1" customWidth="1"/>
    <col min="4355" max="4355" width="10.42578125" style="1"/>
    <col min="4356" max="4356" width="9.28515625" style="1" customWidth="1"/>
    <col min="4357" max="4358" width="12.140625" style="1" customWidth="1"/>
    <col min="4359" max="4359" width="16" style="1" customWidth="1"/>
    <col min="4360" max="4360" width="26.28515625" style="1" customWidth="1"/>
    <col min="4361" max="4608" width="10.42578125" style="1"/>
    <col min="4609" max="4609" width="7.42578125" style="1" customWidth="1"/>
    <col min="4610" max="4610" width="37.42578125" style="1" customWidth="1"/>
    <col min="4611" max="4611" width="10.42578125" style="1"/>
    <col min="4612" max="4612" width="9.28515625" style="1" customWidth="1"/>
    <col min="4613" max="4614" width="12.140625" style="1" customWidth="1"/>
    <col min="4615" max="4615" width="16" style="1" customWidth="1"/>
    <col min="4616" max="4616" width="26.28515625" style="1" customWidth="1"/>
    <col min="4617" max="4864" width="10.42578125" style="1"/>
    <col min="4865" max="4865" width="7.42578125" style="1" customWidth="1"/>
    <col min="4866" max="4866" width="37.42578125" style="1" customWidth="1"/>
    <col min="4867" max="4867" width="10.42578125" style="1"/>
    <col min="4868" max="4868" width="9.28515625" style="1" customWidth="1"/>
    <col min="4869" max="4870" width="12.140625" style="1" customWidth="1"/>
    <col min="4871" max="4871" width="16" style="1" customWidth="1"/>
    <col min="4872" max="4872" width="26.28515625" style="1" customWidth="1"/>
    <col min="4873" max="5120" width="10.42578125" style="1"/>
    <col min="5121" max="5121" width="7.42578125" style="1" customWidth="1"/>
    <col min="5122" max="5122" width="37.42578125" style="1" customWidth="1"/>
    <col min="5123" max="5123" width="10.42578125" style="1"/>
    <col min="5124" max="5124" width="9.28515625" style="1" customWidth="1"/>
    <col min="5125" max="5126" width="12.140625" style="1" customWidth="1"/>
    <col min="5127" max="5127" width="16" style="1" customWidth="1"/>
    <col min="5128" max="5128" width="26.28515625" style="1" customWidth="1"/>
    <col min="5129" max="5376" width="10.42578125" style="1"/>
    <col min="5377" max="5377" width="7.42578125" style="1" customWidth="1"/>
    <col min="5378" max="5378" width="37.42578125" style="1" customWidth="1"/>
    <col min="5379" max="5379" width="10.42578125" style="1"/>
    <col min="5380" max="5380" width="9.28515625" style="1" customWidth="1"/>
    <col min="5381" max="5382" width="12.140625" style="1" customWidth="1"/>
    <col min="5383" max="5383" width="16" style="1" customWidth="1"/>
    <col min="5384" max="5384" width="26.28515625" style="1" customWidth="1"/>
    <col min="5385" max="5632" width="10.42578125" style="1"/>
    <col min="5633" max="5633" width="7.42578125" style="1" customWidth="1"/>
    <col min="5634" max="5634" width="37.42578125" style="1" customWidth="1"/>
    <col min="5635" max="5635" width="10.42578125" style="1"/>
    <col min="5636" max="5636" width="9.28515625" style="1" customWidth="1"/>
    <col min="5637" max="5638" width="12.140625" style="1" customWidth="1"/>
    <col min="5639" max="5639" width="16" style="1" customWidth="1"/>
    <col min="5640" max="5640" width="26.28515625" style="1" customWidth="1"/>
    <col min="5641" max="5888" width="10.42578125" style="1"/>
    <col min="5889" max="5889" width="7.42578125" style="1" customWidth="1"/>
    <col min="5890" max="5890" width="37.42578125" style="1" customWidth="1"/>
    <col min="5891" max="5891" width="10.42578125" style="1"/>
    <col min="5892" max="5892" width="9.28515625" style="1" customWidth="1"/>
    <col min="5893" max="5894" width="12.140625" style="1" customWidth="1"/>
    <col min="5895" max="5895" width="16" style="1" customWidth="1"/>
    <col min="5896" max="5896" width="26.28515625" style="1" customWidth="1"/>
    <col min="5897" max="6144" width="10.42578125" style="1"/>
    <col min="6145" max="6145" width="7.42578125" style="1" customWidth="1"/>
    <col min="6146" max="6146" width="37.42578125" style="1" customWidth="1"/>
    <col min="6147" max="6147" width="10.42578125" style="1"/>
    <col min="6148" max="6148" width="9.28515625" style="1" customWidth="1"/>
    <col min="6149" max="6150" width="12.140625" style="1" customWidth="1"/>
    <col min="6151" max="6151" width="16" style="1" customWidth="1"/>
    <col min="6152" max="6152" width="26.28515625" style="1" customWidth="1"/>
    <col min="6153" max="6400" width="10.42578125" style="1"/>
    <col min="6401" max="6401" width="7.42578125" style="1" customWidth="1"/>
    <col min="6402" max="6402" width="37.42578125" style="1" customWidth="1"/>
    <col min="6403" max="6403" width="10.42578125" style="1"/>
    <col min="6404" max="6404" width="9.28515625" style="1" customWidth="1"/>
    <col min="6405" max="6406" width="12.140625" style="1" customWidth="1"/>
    <col min="6407" max="6407" width="16" style="1" customWidth="1"/>
    <col min="6408" max="6408" width="26.28515625" style="1" customWidth="1"/>
    <col min="6409" max="6656" width="10.42578125" style="1"/>
    <col min="6657" max="6657" width="7.42578125" style="1" customWidth="1"/>
    <col min="6658" max="6658" width="37.42578125" style="1" customWidth="1"/>
    <col min="6659" max="6659" width="10.42578125" style="1"/>
    <col min="6660" max="6660" width="9.28515625" style="1" customWidth="1"/>
    <col min="6661" max="6662" width="12.140625" style="1" customWidth="1"/>
    <col min="6663" max="6663" width="16" style="1" customWidth="1"/>
    <col min="6664" max="6664" width="26.28515625" style="1" customWidth="1"/>
    <col min="6665" max="6912" width="10.42578125" style="1"/>
    <col min="6913" max="6913" width="7.42578125" style="1" customWidth="1"/>
    <col min="6914" max="6914" width="37.42578125" style="1" customWidth="1"/>
    <col min="6915" max="6915" width="10.42578125" style="1"/>
    <col min="6916" max="6916" width="9.28515625" style="1" customWidth="1"/>
    <col min="6917" max="6918" width="12.140625" style="1" customWidth="1"/>
    <col min="6919" max="6919" width="16" style="1" customWidth="1"/>
    <col min="6920" max="6920" width="26.28515625" style="1" customWidth="1"/>
    <col min="6921" max="7168" width="10.42578125" style="1"/>
    <col min="7169" max="7169" width="7.42578125" style="1" customWidth="1"/>
    <col min="7170" max="7170" width="37.42578125" style="1" customWidth="1"/>
    <col min="7171" max="7171" width="10.42578125" style="1"/>
    <col min="7172" max="7172" width="9.28515625" style="1" customWidth="1"/>
    <col min="7173" max="7174" width="12.140625" style="1" customWidth="1"/>
    <col min="7175" max="7175" width="16" style="1" customWidth="1"/>
    <col min="7176" max="7176" width="26.28515625" style="1" customWidth="1"/>
    <col min="7177" max="7424" width="10.42578125" style="1"/>
    <col min="7425" max="7425" width="7.42578125" style="1" customWidth="1"/>
    <col min="7426" max="7426" width="37.42578125" style="1" customWidth="1"/>
    <col min="7427" max="7427" width="10.42578125" style="1"/>
    <col min="7428" max="7428" width="9.28515625" style="1" customWidth="1"/>
    <col min="7429" max="7430" width="12.140625" style="1" customWidth="1"/>
    <col min="7431" max="7431" width="16" style="1" customWidth="1"/>
    <col min="7432" max="7432" width="26.28515625" style="1" customWidth="1"/>
    <col min="7433" max="7680" width="10.42578125" style="1"/>
    <col min="7681" max="7681" width="7.42578125" style="1" customWidth="1"/>
    <col min="7682" max="7682" width="37.42578125" style="1" customWidth="1"/>
    <col min="7683" max="7683" width="10.42578125" style="1"/>
    <col min="7684" max="7684" width="9.28515625" style="1" customWidth="1"/>
    <col min="7685" max="7686" width="12.140625" style="1" customWidth="1"/>
    <col min="7687" max="7687" width="16" style="1" customWidth="1"/>
    <col min="7688" max="7688" width="26.28515625" style="1" customWidth="1"/>
    <col min="7689" max="7936" width="10.42578125" style="1"/>
    <col min="7937" max="7937" width="7.42578125" style="1" customWidth="1"/>
    <col min="7938" max="7938" width="37.42578125" style="1" customWidth="1"/>
    <col min="7939" max="7939" width="10.42578125" style="1"/>
    <col min="7940" max="7940" width="9.28515625" style="1" customWidth="1"/>
    <col min="7941" max="7942" width="12.140625" style="1" customWidth="1"/>
    <col min="7943" max="7943" width="16" style="1" customWidth="1"/>
    <col min="7944" max="7944" width="26.28515625" style="1" customWidth="1"/>
    <col min="7945" max="8192" width="10.42578125" style="1"/>
    <col min="8193" max="8193" width="7.42578125" style="1" customWidth="1"/>
    <col min="8194" max="8194" width="37.42578125" style="1" customWidth="1"/>
    <col min="8195" max="8195" width="10.42578125" style="1"/>
    <col min="8196" max="8196" width="9.28515625" style="1" customWidth="1"/>
    <col min="8197" max="8198" width="12.140625" style="1" customWidth="1"/>
    <col min="8199" max="8199" width="16" style="1" customWidth="1"/>
    <col min="8200" max="8200" width="26.28515625" style="1" customWidth="1"/>
    <col min="8201" max="8448" width="10.42578125" style="1"/>
    <col min="8449" max="8449" width="7.42578125" style="1" customWidth="1"/>
    <col min="8450" max="8450" width="37.42578125" style="1" customWidth="1"/>
    <col min="8451" max="8451" width="10.42578125" style="1"/>
    <col min="8452" max="8452" width="9.28515625" style="1" customWidth="1"/>
    <col min="8453" max="8454" width="12.140625" style="1" customWidth="1"/>
    <col min="8455" max="8455" width="16" style="1" customWidth="1"/>
    <col min="8456" max="8456" width="26.28515625" style="1" customWidth="1"/>
    <col min="8457" max="8704" width="10.42578125" style="1"/>
    <col min="8705" max="8705" width="7.42578125" style="1" customWidth="1"/>
    <col min="8706" max="8706" width="37.42578125" style="1" customWidth="1"/>
    <col min="8707" max="8707" width="10.42578125" style="1"/>
    <col min="8708" max="8708" width="9.28515625" style="1" customWidth="1"/>
    <col min="8709" max="8710" width="12.140625" style="1" customWidth="1"/>
    <col min="8711" max="8711" width="16" style="1" customWidth="1"/>
    <col min="8712" max="8712" width="26.28515625" style="1" customWidth="1"/>
    <col min="8713" max="8960" width="10.42578125" style="1"/>
    <col min="8961" max="8961" width="7.42578125" style="1" customWidth="1"/>
    <col min="8962" max="8962" width="37.42578125" style="1" customWidth="1"/>
    <col min="8963" max="8963" width="10.42578125" style="1"/>
    <col min="8964" max="8964" width="9.28515625" style="1" customWidth="1"/>
    <col min="8965" max="8966" width="12.140625" style="1" customWidth="1"/>
    <col min="8967" max="8967" width="16" style="1" customWidth="1"/>
    <col min="8968" max="8968" width="26.28515625" style="1" customWidth="1"/>
    <col min="8969" max="9216" width="10.42578125" style="1"/>
    <col min="9217" max="9217" width="7.42578125" style="1" customWidth="1"/>
    <col min="9218" max="9218" width="37.42578125" style="1" customWidth="1"/>
    <col min="9219" max="9219" width="10.42578125" style="1"/>
    <col min="9220" max="9220" width="9.28515625" style="1" customWidth="1"/>
    <col min="9221" max="9222" width="12.140625" style="1" customWidth="1"/>
    <col min="9223" max="9223" width="16" style="1" customWidth="1"/>
    <col min="9224" max="9224" width="26.28515625" style="1" customWidth="1"/>
    <col min="9225" max="9472" width="10.42578125" style="1"/>
    <col min="9473" max="9473" width="7.42578125" style="1" customWidth="1"/>
    <col min="9474" max="9474" width="37.42578125" style="1" customWidth="1"/>
    <col min="9475" max="9475" width="10.42578125" style="1"/>
    <col min="9476" max="9476" width="9.28515625" style="1" customWidth="1"/>
    <col min="9477" max="9478" width="12.140625" style="1" customWidth="1"/>
    <col min="9479" max="9479" width="16" style="1" customWidth="1"/>
    <col min="9480" max="9480" width="26.28515625" style="1" customWidth="1"/>
    <col min="9481" max="9728" width="10.42578125" style="1"/>
    <col min="9729" max="9729" width="7.42578125" style="1" customWidth="1"/>
    <col min="9730" max="9730" width="37.42578125" style="1" customWidth="1"/>
    <col min="9731" max="9731" width="10.42578125" style="1"/>
    <col min="9732" max="9732" width="9.28515625" style="1" customWidth="1"/>
    <col min="9733" max="9734" width="12.140625" style="1" customWidth="1"/>
    <col min="9735" max="9735" width="16" style="1" customWidth="1"/>
    <col min="9736" max="9736" width="26.28515625" style="1" customWidth="1"/>
    <col min="9737" max="9984" width="10.42578125" style="1"/>
    <col min="9985" max="9985" width="7.42578125" style="1" customWidth="1"/>
    <col min="9986" max="9986" width="37.42578125" style="1" customWidth="1"/>
    <col min="9987" max="9987" width="10.42578125" style="1"/>
    <col min="9988" max="9988" width="9.28515625" style="1" customWidth="1"/>
    <col min="9989" max="9990" width="12.140625" style="1" customWidth="1"/>
    <col min="9991" max="9991" width="16" style="1" customWidth="1"/>
    <col min="9992" max="9992" width="26.28515625" style="1" customWidth="1"/>
    <col min="9993" max="10240" width="10.42578125" style="1"/>
    <col min="10241" max="10241" width="7.42578125" style="1" customWidth="1"/>
    <col min="10242" max="10242" width="37.42578125" style="1" customWidth="1"/>
    <col min="10243" max="10243" width="10.42578125" style="1"/>
    <col min="10244" max="10244" width="9.28515625" style="1" customWidth="1"/>
    <col min="10245" max="10246" width="12.140625" style="1" customWidth="1"/>
    <col min="10247" max="10247" width="16" style="1" customWidth="1"/>
    <col min="10248" max="10248" width="26.28515625" style="1" customWidth="1"/>
    <col min="10249" max="10496" width="10.42578125" style="1"/>
    <col min="10497" max="10497" width="7.42578125" style="1" customWidth="1"/>
    <col min="10498" max="10498" width="37.42578125" style="1" customWidth="1"/>
    <col min="10499" max="10499" width="10.42578125" style="1"/>
    <col min="10500" max="10500" width="9.28515625" style="1" customWidth="1"/>
    <col min="10501" max="10502" width="12.140625" style="1" customWidth="1"/>
    <col min="10503" max="10503" width="16" style="1" customWidth="1"/>
    <col min="10504" max="10504" width="26.28515625" style="1" customWidth="1"/>
    <col min="10505" max="10752" width="10.42578125" style="1"/>
    <col min="10753" max="10753" width="7.42578125" style="1" customWidth="1"/>
    <col min="10754" max="10754" width="37.42578125" style="1" customWidth="1"/>
    <col min="10755" max="10755" width="10.42578125" style="1"/>
    <col min="10756" max="10756" width="9.28515625" style="1" customWidth="1"/>
    <col min="10757" max="10758" width="12.140625" style="1" customWidth="1"/>
    <col min="10759" max="10759" width="16" style="1" customWidth="1"/>
    <col min="10760" max="10760" width="26.28515625" style="1" customWidth="1"/>
    <col min="10761" max="11008" width="10.42578125" style="1"/>
    <col min="11009" max="11009" width="7.42578125" style="1" customWidth="1"/>
    <col min="11010" max="11010" width="37.42578125" style="1" customWidth="1"/>
    <col min="11011" max="11011" width="10.42578125" style="1"/>
    <col min="11012" max="11012" width="9.28515625" style="1" customWidth="1"/>
    <col min="11013" max="11014" width="12.140625" style="1" customWidth="1"/>
    <col min="11015" max="11015" width="16" style="1" customWidth="1"/>
    <col min="11016" max="11016" width="26.28515625" style="1" customWidth="1"/>
    <col min="11017" max="11264" width="10.42578125" style="1"/>
    <col min="11265" max="11265" width="7.42578125" style="1" customWidth="1"/>
    <col min="11266" max="11266" width="37.42578125" style="1" customWidth="1"/>
    <col min="11267" max="11267" width="10.42578125" style="1"/>
    <col min="11268" max="11268" width="9.28515625" style="1" customWidth="1"/>
    <col min="11269" max="11270" width="12.140625" style="1" customWidth="1"/>
    <col min="11271" max="11271" width="16" style="1" customWidth="1"/>
    <col min="11272" max="11272" width="26.28515625" style="1" customWidth="1"/>
    <col min="11273" max="11520" width="10.42578125" style="1"/>
    <col min="11521" max="11521" width="7.42578125" style="1" customWidth="1"/>
    <col min="11522" max="11522" width="37.42578125" style="1" customWidth="1"/>
    <col min="11523" max="11523" width="10.42578125" style="1"/>
    <col min="11524" max="11524" width="9.28515625" style="1" customWidth="1"/>
    <col min="11525" max="11526" width="12.140625" style="1" customWidth="1"/>
    <col min="11527" max="11527" width="16" style="1" customWidth="1"/>
    <col min="11528" max="11528" width="26.28515625" style="1" customWidth="1"/>
    <col min="11529" max="11776" width="10.42578125" style="1"/>
    <col min="11777" max="11777" width="7.42578125" style="1" customWidth="1"/>
    <col min="11778" max="11778" width="37.42578125" style="1" customWidth="1"/>
    <col min="11779" max="11779" width="10.42578125" style="1"/>
    <col min="11780" max="11780" width="9.28515625" style="1" customWidth="1"/>
    <col min="11781" max="11782" width="12.140625" style="1" customWidth="1"/>
    <col min="11783" max="11783" width="16" style="1" customWidth="1"/>
    <col min="11784" max="11784" width="26.28515625" style="1" customWidth="1"/>
    <col min="11785" max="12032" width="10.42578125" style="1"/>
    <col min="12033" max="12033" width="7.42578125" style="1" customWidth="1"/>
    <col min="12034" max="12034" width="37.42578125" style="1" customWidth="1"/>
    <col min="12035" max="12035" width="10.42578125" style="1"/>
    <col min="12036" max="12036" width="9.28515625" style="1" customWidth="1"/>
    <col min="12037" max="12038" width="12.140625" style="1" customWidth="1"/>
    <col min="12039" max="12039" width="16" style="1" customWidth="1"/>
    <col min="12040" max="12040" width="26.28515625" style="1" customWidth="1"/>
    <col min="12041" max="12288" width="10.42578125" style="1"/>
    <col min="12289" max="12289" width="7.42578125" style="1" customWidth="1"/>
    <col min="12290" max="12290" width="37.42578125" style="1" customWidth="1"/>
    <col min="12291" max="12291" width="10.42578125" style="1"/>
    <col min="12292" max="12292" width="9.28515625" style="1" customWidth="1"/>
    <col min="12293" max="12294" width="12.140625" style="1" customWidth="1"/>
    <col min="12295" max="12295" width="16" style="1" customWidth="1"/>
    <col min="12296" max="12296" width="26.28515625" style="1" customWidth="1"/>
    <col min="12297" max="12544" width="10.42578125" style="1"/>
    <col min="12545" max="12545" width="7.42578125" style="1" customWidth="1"/>
    <col min="12546" max="12546" width="37.42578125" style="1" customWidth="1"/>
    <col min="12547" max="12547" width="10.42578125" style="1"/>
    <col min="12548" max="12548" width="9.28515625" style="1" customWidth="1"/>
    <col min="12549" max="12550" width="12.140625" style="1" customWidth="1"/>
    <col min="12551" max="12551" width="16" style="1" customWidth="1"/>
    <col min="12552" max="12552" width="26.28515625" style="1" customWidth="1"/>
    <col min="12553" max="12800" width="10.42578125" style="1"/>
    <col min="12801" max="12801" width="7.42578125" style="1" customWidth="1"/>
    <col min="12802" max="12802" width="37.42578125" style="1" customWidth="1"/>
    <col min="12803" max="12803" width="10.42578125" style="1"/>
    <col min="12804" max="12804" width="9.28515625" style="1" customWidth="1"/>
    <col min="12805" max="12806" width="12.140625" style="1" customWidth="1"/>
    <col min="12807" max="12807" width="16" style="1" customWidth="1"/>
    <col min="12808" max="12808" width="26.28515625" style="1" customWidth="1"/>
    <col min="12809" max="13056" width="10.42578125" style="1"/>
    <col min="13057" max="13057" width="7.42578125" style="1" customWidth="1"/>
    <col min="13058" max="13058" width="37.42578125" style="1" customWidth="1"/>
    <col min="13059" max="13059" width="10.42578125" style="1"/>
    <col min="13060" max="13060" width="9.28515625" style="1" customWidth="1"/>
    <col min="13061" max="13062" width="12.140625" style="1" customWidth="1"/>
    <col min="13063" max="13063" width="16" style="1" customWidth="1"/>
    <col min="13064" max="13064" width="26.28515625" style="1" customWidth="1"/>
    <col min="13065" max="13312" width="10.42578125" style="1"/>
    <col min="13313" max="13313" width="7.42578125" style="1" customWidth="1"/>
    <col min="13314" max="13314" width="37.42578125" style="1" customWidth="1"/>
    <col min="13315" max="13315" width="10.42578125" style="1"/>
    <col min="13316" max="13316" width="9.28515625" style="1" customWidth="1"/>
    <col min="13317" max="13318" width="12.140625" style="1" customWidth="1"/>
    <col min="13319" max="13319" width="16" style="1" customWidth="1"/>
    <col min="13320" max="13320" width="26.28515625" style="1" customWidth="1"/>
    <col min="13321" max="13568" width="10.42578125" style="1"/>
    <col min="13569" max="13569" width="7.42578125" style="1" customWidth="1"/>
    <col min="13570" max="13570" width="37.42578125" style="1" customWidth="1"/>
    <col min="13571" max="13571" width="10.42578125" style="1"/>
    <col min="13572" max="13572" width="9.28515625" style="1" customWidth="1"/>
    <col min="13573" max="13574" width="12.140625" style="1" customWidth="1"/>
    <col min="13575" max="13575" width="16" style="1" customWidth="1"/>
    <col min="13576" max="13576" width="26.28515625" style="1" customWidth="1"/>
    <col min="13577" max="13824" width="10.42578125" style="1"/>
    <col min="13825" max="13825" width="7.42578125" style="1" customWidth="1"/>
    <col min="13826" max="13826" width="37.42578125" style="1" customWidth="1"/>
    <col min="13827" max="13827" width="10.42578125" style="1"/>
    <col min="13828" max="13828" width="9.28515625" style="1" customWidth="1"/>
    <col min="13829" max="13830" width="12.140625" style="1" customWidth="1"/>
    <col min="13831" max="13831" width="16" style="1" customWidth="1"/>
    <col min="13832" max="13832" width="26.28515625" style="1" customWidth="1"/>
    <col min="13833" max="14080" width="10.42578125" style="1"/>
    <col min="14081" max="14081" width="7.42578125" style="1" customWidth="1"/>
    <col min="14082" max="14082" width="37.42578125" style="1" customWidth="1"/>
    <col min="14083" max="14083" width="10.42578125" style="1"/>
    <col min="14084" max="14084" width="9.28515625" style="1" customWidth="1"/>
    <col min="14085" max="14086" width="12.140625" style="1" customWidth="1"/>
    <col min="14087" max="14087" width="16" style="1" customWidth="1"/>
    <col min="14088" max="14088" width="26.28515625" style="1" customWidth="1"/>
    <col min="14089" max="14336" width="10.42578125" style="1"/>
    <col min="14337" max="14337" width="7.42578125" style="1" customWidth="1"/>
    <col min="14338" max="14338" width="37.42578125" style="1" customWidth="1"/>
    <col min="14339" max="14339" width="10.42578125" style="1"/>
    <col min="14340" max="14340" width="9.28515625" style="1" customWidth="1"/>
    <col min="14341" max="14342" width="12.140625" style="1" customWidth="1"/>
    <col min="14343" max="14343" width="16" style="1" customWidth="1"/>
    <col min="14344" max="14344" width="26.28515625" style="1" customWidth="1"/>
    <col min="14345" max="14592" width="10.42578125" style="1"/>
    <col min="14593" max="14593" width="7.42578125" style="1" customWidth="1"/>
    <col min="14594" max="14594" width="37.42578125" style="1" customWidth="1"/>
    <col min="14595" max="14595" width="10.42578125" style="1"/>
    <col min="14596" max="14596" width="9.28515625" style="1" customWidth="1"/>
    <col min="14597" max="14598" width="12.140625" style="1" customWidth="1"/>
    <col min="14599" max="14599" width="16" style="1" customWidth="1"/>
    <col min="14600" max="14600" width="26.28515625" style="1" customWidth="1"/>
    <col min="14601" max="14848" width="10.42578125" style="1"/>
    <col min="14849" max="14849" width="7.42578125" style="1" customWidth="1"/>
    <col min="14850" max="14850" width="37.42578125" style="1" customWidth="1"/>
    <col min="14851" max="14851" width="10.42578125" style="1"/>
    <col min="14852" max="14852" width="9.28515625" style="1" customWidth="1"/>
    <col min="14853" max="14854" width="12.140625" style="1" customWidth="1"/>
    <col min="14855" max="14855" width="16" style="1" customWidth="1"/>
    <col min="14856" max="14856" width="26.28515625" style="1" customWidth="1"/>
    <col min="14857" max="15104" width="10.42578125" style="1"/>
    <col min="15105" max="15105" width="7.42578125" style="1" customWidth="1"/>
    <col min="15106" max="15106" width="37.42578125" style="1" customWidth="1"/>
    <col min="15107" max="15107" width="10.42578125" style="1"/>
    <col min="15108" max="15108" width="9.28515625" style="1" customWidth="1"/>
    <col min="15109" max="15110" width="12.140625" style="1" customWidth="1"/>
    <col min="15111" max="15111" width="16" style="1" customWidth="1"/>
    <col min="15112" max="15112" width="26.28515625" style="1" customWidth="1"/>
    <col min="15113" max="15360" width="10.42578125" style="1"/>
    <col min="15361" max="15361" width="7.42578125" style="1" customWidth="1"/>
    <col min="15362" max="15362" width="37.42578125" style="1" customWidth="1"/>
    <col min="15363" max="15363" width="10.42578125" style="1"/>
    <col min="15364" max="15364" width="9.28515625" style="1" customWidth="1"/>
    <col min="15365" max="15366" width="12.140625" style="1" customWidth="1"/>
    <col min="15367" max="15367" width="16" style="1" customWidth="1"/>
    <col min="15368" max="15368" width="26.28515625" style="1" customWidth="1"/>
    <col min="15369" max="15616" width="10.42578125" style="1"/>
    <col min="15617" max="15617" width="7.42578125" style="1" customWidth="1"/>
    <col min="15618" max="15618" width="37.42578125" style="1" customWidth="1"/>
    <col min="15619" max="15619" width="10.42578125" style="1"/>
    <col min="15620" max="15620" width="9.28515625" style="1" customWidth="1"/>
    <col min="15621" max="15622" width="12.140625" style="1" customWidth="1"/>
    <col min="15623" max="15623" width="16" style="1" customWidth="1"/>
    <col min="15624" max="15624" width="26.28515625" style="1" customWidth="1"/>
    <col min="15625" max="15872" width="10.42578125" style="1"/>
    <col min="15873" max="15873" width="7.42578125" style="1" customWidth="1"/>
    <col min="15874" max="15874" width="37.42578125" style="1" customWidth="1"/>
    <col min="15875" max="15875" width="10.42578125" style="1"/>
    <col min="15876" max="15876" width="9.28515625" style="1" customWidth="1"/>
    <col min="15877" max="15878" width="12.140625" style="1" customWidth="1"/>
    <col min="15879" max="15879" width="16" style="1" customWidth="1"/>
    <col min="15880" max="15880" width="26.28515625" style="1" customWidth="1"/>
    <col min="15881" max="16128" width="10.42578125" style="1"/>
    <col min="16129" max="16129" width="7.42578125" style="1" customWidth="1"/>
    <col min="16130" max="16130" width="37.42578125" style="1" customWidth="1"/>
    <col min="16131" max="16131" width="10.42578125" style="1"/>
    <col min="16132" max="16132" width="9.28515625" style="1" customWidth="1"/>
    <col min="16133" max="16134" width="12.140625" style="1" customWidth="1"/>
    <col min="16135" max="16135" width="16" style="1" customWidth="1"/>
    <col min="16136" max="16136" width="26.28515625" style="1" customWidth="1"/>
    <col min="16137" max="16384" width="10.42578125" style="1"/>
  </cols>
  <sheetData>
    <row r="2" spans="1:11" ht="24.75" customHeight="1">
      <c r="B2" s="2"/>
      <c r="C2" s="3" t="s">
        <v>0</v>
      </c>
      <c r="D2" s="4"/>
      <c r="E2" s="5"/>
      <c r="F2" s="6"/>
      <c r="G2" s="7"/>
    </row>
    <row r="4" spans="1:11" s="14" customFormat="1" ht="18" customHeight="1">
      <c r="A4" s="9"/>
      <c r="B4" s="10" t="s">
        <v>2</v>
      </c>
      <c r="C4" s="11"/>
      <c r="D4" s="12"/>
      <c r="E4" s="12"/>
      <c r="F4" s="12"/>
      <c r="G4" s="13"/>
    </row>
    <row r="5" spans="1:11" s="14" customFormat="1" ht="18" customHeight="1">
      <c r="A5" s="15"/>
      <c r="B5" s="16" t="s">
        <v>3</v>
      </c>
      <c r="C5" s="17"/>
      <c r="D5" s="18"/>
      <c r="E5" s="19"/>
      <c r="F5" s="19"/>
      <c r="G5" s="18"/>
    </row>
    <row r="6" spans="1:11" s="14" customFormat="1" ht="18" customHeight="1">
      <c r="A6" s="9"/>
      <c r="B6" s="10" t="s">
        <v>4</v>
      </c>
      <c r="C6" s="11"/>
      <c r="D6" s="12"/>
      <c r="E6" s="12"/>
      <c r="F6" s="12"/>
      <c r="G6" s="13"/>
    </row>
    <row r="7" spans="1:11" s="14" customFormat="1" ht="18" customHeight="1">
      <c r="A7" s="15"/>
      <c r="B7" s="16" t="s">
        <v>5</v>
      </c>
      <c r="C7" s="17"/>
      <c r="D7" s="19"/>
      <c r="E7" s="19"/>
      <c r="F7" s="19"/>
      <c r="G7" s="18"/>
    </row>
    <row r="8" spans="1:11" s="20" customFormat="1" ht="14.25">
      <c r="B8" s="21"/>
      <c r="C8" s="22"/>
      <c r="D8" s="23"/>
      <c r="E8" s="24"/>
      <c r="F8" s="25"/>
      <c r="G8" s="26"/>
      <c r="H8" s="28"/>
      <c r="I8" s="28"/>
      <c r="J8" s="28"/>
      <c r="K8" s="28"/>
    </row>
    <row r="9" spans="1:11" s="20" customFormat="1" ht="23.25" customHeight="1">
      <c r="B9" s="2287"/>
      <c r="C9" s="2288" t="s">
        <v>6</v>
      </c>
      <c r="D9" s="47"/>
      <c r="E9" s="48"/>
      <c r="F9" s="49"/>
      <c r="G9" s="2289" t="s">
        <v>10</v>
      </c>
      <c r="H9" s="28"/>
      <c r="I9" s="28"/>
      <c r="J9" s="28"/>
      <c r="K9" s="28"/>
    </row>
    <row r="10" spans="1:11" s="14" customFormat="1" ht="23.25" customHeight="1">
      <c r="B10" s="34" t="s">
        <v>7</v>
      </c>
      <c r="C10" s="35" t="s">
        <v>8</v>
      </c>
      <c r="D10" s="2390" t="s">
        <v>36</v>
      </c>
      <c r="E10" s="2390"/>
      <c r="F10" s="2391"/>
      <c r="G10" s="1539" t="s">
        <v>2268</v>
      </c>
    </row>
    <row r="11" spans="1:11" s="14" customFormat="1" ht="23.25" customHeight="1">
      <c r="B11" s="1538"/>
      <c r="C11" s="35" t="s">
        <v>2010</v>
      </c>
      <c r="D11" s="1534"/>
      <c r="E11" s="1534"/>
      <c r="F11" s="1535"/>
      <c r="G11" s="1539"/>
    </row>
    <row r="12" spans="1:11" s="14" customFormat="1" ht="23.25" customHeight="1">
      <c r="B12" s="38" t="s">
        <v>11</v>
      </c>
      <c r="C12" s="39" t="s">
        <v>2266</v>
      </c>
      <c r="D12" s="40"/>
      <c r="E12" s="41"/>
      <c r="F12" s="42"/>
      <c r="G12" s="1556">
        <f>+'Beltinci_RT-1'!G19</f>
        <v>0</v>
      </c>
    </row>
    <row r="13" spans="1:11" s="14" customFormat="1" ht="23.25" customHeight="1">
      <c r="B13" s="2290"/>
      <c r="C13" s="2393" t="s">
        <v>2024</v>
      </c>
      <c r="D13" s="2394"/>
      <c r="E13" s="2394"/>
      <c r="F13" s="2395"/>
      <c r="G13" s="2291">
        <f>SUM(G12)</f>
        <v>0</v>
      </c>
    </row>
    <row r="14" spans="1:11" s="14" customFormat="1" ht="23.25" customHeight="1">
      <c r="B14" s="1538"/>
      <c r="C14" s="35" t="s">
        <v>2011</v>
      </c>
      <c r="D14" s="1534"/>
      <c r="E14" s="1534"/>
      <c r="F14" s="1535"/>
      <c r="G14" s="1555"/>
    </row>
    <row r="15" spans="1:11" s="14" customFormat="1" ht="23.25" customHeight="1">
      <c r="B15" s="38" t="s">
        <v>11</v>
      </c>
      <c r="C15" s="39" t="s">
        <v>2001</v>
      </c>
      <c r="D15" s="40"/>
      <c r="E15" s="41"/>
      <c r="F15" s="42"/>
      <c r="G15" s="1556">
        <f>'Beltinci_SB-1.21'!G17</f>
        <v>0</v>
      </c>
    </row>
    <row r="16" spans="1:11" s="14" customFormat="1" ht="23.25" customHeight="1">
      <c r="B16" s="38" t="s">
        <v>13</v>
      </c>
      <c r="C16" s="39" t="s">
        <v>2002</v>
      </c>
      <c r="D16" s="40"/>
      <c r="E16" s="41"/>
      <c r="F16" s="42"/>
      <c r="G16" s="1556">
        <f>'Beltinci_SB-2.1'!G17</f>
        <v>0</v>
      </c>
    </row>
    <row r="17" spans="2:7" s="14" customFormat="1" ht="23.25" customHeight="1">
      <c r="B17" s="38" t="s">
        <v>15</v>
      </c>
      <c r="C17" s="39" t="s">
        <v>2003</v>
      </c>
      <c r="D17" s="40"/>
      <c r="E17" s="41"/>
      <c r="F17" s="42"/>
      <c r="G17" s="1556">
        <f>'Beltinci_SB-2.20'!G17</f>
        <v>0</v>
      </c>
    </row>
    <row r="18" spans="2:7" s="14" customFormat="1" ht="23.25" customHeight="1">
      <c r="B18" s="38" t="s">
        <v>17</v>
      </c>
      <c r="C18" s="39" t="s">
        <v>2004</v>
      </c>
      <c r="D18" s="40"/>
      <c r="E18" s="41"/>
      <c r="F18" s="42"/>
      <c r="G18" s="1556">
        <f>'Beltinci_SB-4.2'!G17</f>
        <v>0</v>
      </c>
    </row>
    <row r="19" spans="2:7" s="14" customFormat="1" ht="23.25" customHeight="1">
      <c r="B19" s="38" t="s">
        <v>19</v>
      </c>
      <c r="C19" s="39" t="s">
        <v>2005</v>
      </c>
      <c r="D19" s="40"/>
      <c r="E19" s="41"/>
      <c r="F19" s="42"/>
      <c r="G19" s="1556">
        <f>'Beltinci_SB-6.1'!G17</f>
        <v>0</v>
      </c>
    </row>
    <row r="20" spans="2:7" s="14" customFormat="1" ht="23.25" customHeight="1">
      <c r="B20" s="38" t="s">
        <v>21</v>
      </c>
      <c r="C20" s="39" t="s">
        <v>2006</v>
      </c>
      <c r="D20" s="40"/>
      <c r="E20" s="41"/>
      <c r="F20" s="42"/>
      <c r="G20" s="1556">
        <f>'Beltinci_SB-6.2'!G17</f>
        <v>0</v>
      </c>
    </row>
    <row r="21" spans="2:7" s="14" customFormat="1" ht="23.25" customHeight="1">
      <c r="B21" s="38" t="s">
        <v>23</v>
      </c>
      <c r="C21" s="39" t="s">
        <v>2007</v>
      </c>
      <c r="D21" s="40"/>
      <c r="E21" s="41"/>
      <c r="F21" s="42"/>
      <c r="G21" s="1556">
        <f>'Beltinci_SB-6.4'!G17</f>
        <v>0</v>
      </c>
    </row>
    <row r="22" spans="2:7" s="14" customFormat="1" ht="23.25" customHeight="1">
      <c r="B22" s="38" t="s">
        <v>25</v>
      </c>
      <c r="C22" s="39" t="s">
        <v>2008</v>
      </c>
      <c r="D22" s="40"/>
      <c r="E22" s="41"/>
      <c r="F22" s="42"/>
      <c r="G22" s="1556">
        <f>'Beltinci_SB-6.13'!G17</f>
        <v>0</v>
      </c>
    </row>
    <row r="23" spans="2:7" s="14" customFormat="1" ht="23.25" customHeight="1">
      <c r="B23" s="2290"/>
      <c r="C23" s="2393" t="s">
        <v>2027</v>
      </c>
      <c r="D23" s="2394"/>
      <c r="E23" s="2394"/>
      <c r="F23" s="2395"/>
      <c r="G23" s="2291">
        <f>SUM(G15:G22)</f>
        <v>0</v>
      </c>
    </row>
    <row r="24" spans="2:7" s="14" customFormat="1" ht="23.25" customHeight="1">
      <c r="B24" s="45"/>
      <c r="C24" s="46" t="s">
        <v>27</v>
      </c>
      <c r="D24" s="47"/>
      <c r="E24" s="48"/>
      <c r="F24" s="49"/>
      <c r="G24" s="1554">
        <f>+G23+G13</f>
        <v>0</v>
      </c>
    </row>
    <row r="25" spans="2:7">
      <c r="B25" s="61"/>
      <c r="C25" s="62"/>
      <c r="D25" s="63"/>
      <c r="E25" s="64"/>
      <c r="F25" s="65"/>
    </row>
  </sheetData>
  <mergeCells count="3">
    <mergeCell ref="D10:F10"/>
    <mergeCell ref="C23:F23"/>
    <mergeCell ref="C13:F13"/>
  </mergeCells>
  <phoneticPr fontId="131" type="noConversion"/>
  <pageMargins left="0.7" right="0.7" top="0.75" bottom="0.75" header="0.3" footer="0.3"/>
  <pageSetup paperSize="9" scale="85" orientation="portrait" r:id="rId1"/>
  <headerFooter alignWithMargins="0">
    <oddFooter>&amp;C&amp;8&amp;P/&amp;N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79F8-F4BD-4EB0-B624-394983816B4C}">
  <sheetPr>
    <tabColor theme="9" tint="-0.249977111117893"/>
  </sheetPr>
  <dimension ref="A1:J172"/>
  <sheetViews>
    <sheetView showZeros="0" topLeftCell="A25" workbookViewId="0">
      <selection activeCell="D31" sqref="D31"/>
    </sheetView>
  </sheetViews>
  <sheetFormatPr defaultColWidth="10.42578125" defaultRowHeight="12.75"/>
  <cols>
    <col min="1" max="1" width="4.42578125" style="1" customWidth="1"/>
    <col min="2" max="2" width="7.42578125" style="67" customWidth="1"/>
    <col min="3" max="3" width="42.85546875" style="68" customWidth="1"/>
    <col min="4" max="4" width="10.42578125" style="1188" customWidth="1"/>
    <col min="5" max="5" width="9.28515625" style="70" customWidth="1"/>
    <col min="6" max="6" width="13.28515625" style="71" customWidth="1"/>
    <col min="7" max="7" width="15.7109375" style="66" customWidth="1"/>
    <col min="8" max="234" width="10.42578125" style="1"/>
    <col min="235" max="235" width="7.42578125" style="1" customWidth="1"/>
    <col min="236" max="236" width="37.42578125" style="1" customWidth="1"/>
    <col min="237" max="237" width="10.42578125" style="1"/>
    <col min="238" max="238" width="9.28515625" style="1" customWidth="1"/>
    <col min="239" max="240" width="12.140625" style="1" customWidth="1"/>
    <col min="241" max="241" width="16" style="1" customWidth="1"/>
    <col min="242" max="242" width="26.28515625" style="1" customWidth="1"/>
    <col min="243" max="490" width="10.42578125" style="1"/>
    <col min="491" max="491" width="7.42578125" style="1" customWidth="1"/>
    <col min="492" max="492" width="37.42578125" style="1" customWidth="1"/>
    <col min="493" max="493" width="10.42578125" style="1"/>
    <col min="494" max="494" width="9.28515625" style="1" customWidth="1"/>
    <col min="495" max="496" width="12.140625" style="1" customWidth="1"/>
    <col min="497" max="497" width="16" style="1" customWidth="1"/>
    <col min="498" max="498" width="26.28515625" style="1" customWidth="1"/>
    <col min="499" max="746" width="10.42578125" style="1"/>
    <col min="747" max="747" width="7.42578125" style="1" customWidth="1"/>
    <col min="748" max="748" width="37.42578125" style="1" customWidth="1"/>
    <col min="749" max="749" width="10.42578125" style="1"/>
    <col min="750" max="750" width="9.28515625" style="1" customWidth="1"/>
    <col min="751" max="752" width="12.140625" style="1" customWidth="1"/>
    <col min="753" max="753" width="16" style="1" customWidth="1"/>
    <col min="754" max="754" width="26.28515625" style="1" customWidth="1"/>
    <col min="755" max="1002" width="10.42578125" style="1"/>
    <col min="1003" max="1003" width="7.42578125" style="1" customWidth="1"/>
    <col min="1004" max="1004" width="37.42578125" style="1" customWidth="1"/>
    <col min="1005" max="1005" width="10.42578125" style="1"/>
    <col min="1006" max="1006" width="9.28515625" style="1" customWidth="1"/>
    <col min="1007" max="1008" width="12.140625" style="1" customWidth="1"/>
    <col min="1009" max="1009" width="16" style="1" customWidth="1"/>
    <col min="1010" max="1010" width="26.28515625" style="1" customWidth="1"/>
    <col min="1011" max="1258" width="10.42578125" style="1"/>
    <col min="1259" max="1259" width="7.42578125" style="1" customWidth="1"/>
    <col min="1260" max="1260" width="37.42578125" style="1" customWidth="1"/>
    <col min="1261" max="1261" width="10.42578125" style="1"/>
    <col min="1262" max="1262" width="9.28515625" style="1" customWidth="1"/>
    <col min="1263" max="1264" width="12.140625" style="1" customWidth="1"/>
    <col min="1265" max="1265" width="16" style="1" customWidth="1"/>
    <col min="1266" max="1266" width="26.28515625" style="1" customWidth="1"/>
    <col min="1267" max="1514" width="10.42578125" style="1"/>
    <col min="1515" max="1515" width="7.42578125" style="1" customWidth="1"/>
    <col min="1516" max="1516" width="37.42578125" style="1" customWidth="1"/>
    <col min="1517" max="1517" width="10.42578125" style="1"/>
    <col min="1518" max="1518" width="9.28515625" style="1" customWidth="1"/>
    <col min="1519" max="1520" width="12.140625" style="1" customWidth="1"/>
    <col min="1521" max="1521" width="16" style="1" customWidth="1"/>
    <col min="1522" max="1522" width="26.28515625" style="1" customWidth="1"/>
    <col min="1523" max="1770" width="10.42578125" style="1"/>
    <col min="1771" max="1771" width="7.42578125" style="1" customWidth="1"/>
    <col min="1772" max="1772" width="37.42578125" style="1" customWidth="1"/>
    <col min="1773" max="1773" width="10.42578125" style="1"/>
    <col min="1774" max="1774" width="9.28515625" style="1" customWidth="1"/>
    <col min="1775" max="1776" width="12.140625" style="1" customWidth="1"/>
    <col min="1777" max="1777" width="16" style="1" customWidth="1"/>
    <col min="1778" max="1778" width="26.28515625" style="1" customWidth="1"/>
    <col min="1779" max="2026" width="10.42578125" style="1"/>
    <col min="2027" max="2027" width="7.42578125" style="1" customWidth="1"/>
    <col min="2028" max="2028" width="37.42578125" style="1" customWidth="1"/>
    <col min="2029" max="2029" width="10.42578125" style="1"/>
    <col min="2030" max="2030" width="9.28515625" style="1" customWidth="1"/>
    <col min="2031" max="2032" width="12.140625" style="1" customWidth="1"/>
    <col min="2033" max="2033" width="16" style="1" customWidth="1"/>
    <col min="2034" max="2034" width="26.28515625" style="1" customWidth="1"/>
    <col min="2035" max="2282" width="10.42578125" style="1"/>
    <col min="2283" max="2283" width="7.42578125" style="1" customWidth="1"/>
    <col min="2284" max="2284" width="37.42578125" style="1" customWidth="1"/>
    <col min="2285" max="2285" width="10.42578125" style="1"/>
    <col min="2286" max="2286" width="9.28515625" style="1" customWidth="1"/>
    <col min="2287" max="2288" width="12.140625" style="1" customWidth="1"/>
    <col min="2289" max="2289" width="16" style="1" customWidth="1"/>
    <col min="2290" max="2290" width="26.28515625" style="1" customWidth="1"/>
    <col min="2291" max="2538" width="10.42578125" style="1"/>
    <col min="2539" max="2539" width="7.42578125" style="1" customWidth="1"/>
    <col min="2540" max="2540" width="37.42578125" style="1" customWidth="1"/>
    <col min="2541" max="2541" width="10.42578125" style="1"/>
    <col min="2542" max="2542" width="9.28515625" style="1" customWidth="1"/>
    <col min="2543" max="2544" width="12.140625" style="1" customWidth="1"/>
    <col min="2545" max="2545" width="16" style="1" customWidth="1"/>
    <col min="2546" max="2546" width="26.28515625" style="1" customWidth="1"/>
    <col min="2547" max="2794" width="10.42578125" style="1"/>
    <col min="2795" max="2795" width="7.42578125" style="1" customWidth="1"/>
    <col min="2796" max="2796" width="37.42578125" style="1" customWidth="1"/>
    <col min="2797" max="2797" width="10.42578125" style="1"/>
    <col min="2798" max="2798" width="9.28515625" style="1" customWidth="1"/>
    <col min="2799" max="2800" width="12.140625" style="1" customWidth="1"/>
    <col min="2801" max="2801" width="16" style="1" customWidth="1"/>
    <col min="2802" max="2802" width="26.28515625" style="1" customWidth="1"/>
    <col min="2803" max="3050" width="10.42578125" style="1"/>
    <col min="3051" max="3051" width="7.42578125" style="1" customWidth="1"/>
    <col min="3052" max="3052" width="37.42578125" style="1" customWidth="1"/>
    <col min="3053" max="3053" width="10.42578125" style="1"/>
    <col min="3054" max="3054" width="9.28515625" style="1" customWidth="1"/>
    <col min="3055" max="3056" width="12.140625" style="1" customWidth="1"/>
    <col min="3057" max="3057" width="16" style="1" customWidth="1"/>
    <col min="3058" max="3058" width="26.28515625" style="1" customWidth="1"/>
    <col min="3059" max="3306" width="10.42578125" style="1"/>
    <col min="3307" max="3307" width="7.42578125" style="1" customWidth="1"/>
    <col min="3308" max="3308" width="37.42578125" style="1" customWidth="1"/>
    <col min="3309" max="3309" width="10.42578125" style="1"/>
    <col min="3310" max="3310" width="9.28515625" style="1" customWidth="1"/>
    <col min="3311" max="3312" width="12.140625" style="1" customWidth="1"/>
    <col min="3313" max="3313" width="16" style="1" customWidth="1"/>
    <col min="3314" max="3314" width="26.28515625" style="1" customWidth="1"/>
    <col min="3315" max="3562" width="10.42578125" style="1"/>
    <col min="3563" max="3563" width="7.42578125" style="1" customWidth="1"/>
    <col min="3564" max="3564" width="37.42578125" style="1" customWidth="1"/>
    <col min="3565" max="3565" width="10.42578125" style="1"/>
    <col min="3566" max="3566" width="9.28515625" style="1" customWidth="1"/>
    <col min="3567" max="3568" width="12.140625" style="1" customWidth="1"/>
    <col min="3569" max="3569" width="16" style="1" customWidth="1"/>
    <col min="3570" max="3570" width="26.28515625" style="1" customWidth="1"/>
    <col min="3571" max="3818" width="10.42578125" style="1"/>
    <col min="3819" max="3819" width="7.42578125" style="1" customWidth="1"/>
    <col min="3820" max="3820" width="37.42578125" style="1" customWidth="1"/>
    <col min="3821" max="3821" width="10.42578125" style="1"/>
    <col min="3822" max="3822" width="9.28515625" style="1" customWidth="1"/>
    <col min="3823" max="3824" width="12.140625" style="1" customWidth="1"/>
    <col min="3825" max="3825" width="16" style="1" customWidth="1"/>
    <col min="3826" max="3826" width="26.28515625" style="1" customWidth="1"/>
    <col min="3827" max="4074" width="10.42578125" style="1"/>
    <col min="4075" max="4075" width="7.42578125" style="1" customWidth="1"/>
    <col min="4076" max="4076" width="37.42578125" style="1" customWidth="1"/>
    <col min="4077" max="4077" width="10.42578125" style="1"/>
    <col min="4078" max="4078" width="9.28515625" style="1" customWidth="1"/>
    <col min="4079" max="4080" width="12.140625" style="1" customWidth="1"/>
    <col min="4081" max="4081" width="16" style="1" customWidth="1"/>
    <col min="4082" max="4082" width="26.28515625" style="1" customWidth="1"/>
    <col min="4083" max="4330" width="10.42578125" style="1"/>
    <col min="4331" max="4331" width="7.42578125" style="1" customWidth="1"/>
    <col min="4332" max="4332" width="37.42578125" style="1" customWidth="1"/>
    <col min="4333" max="4333" width="10.42578125" style="1"/>
    <col min="4334" max="4334" width="9.28515625" style="1" customWidth="1"/>
    <col min="4335" max="4336" width="12.140625" style="1" customWidth="1"/>
    <col min="4337" max="4337" width="16" style="1" customWidth="1"/>
    <col min="4338" max="4338" width="26.28515625" style="1" customWidth="1"/>
    <col min="4339" max="4586" width="10.42578125" style="1"/>
    <col min="4587" max="4587" width="7.42578125" style="1" customWidth="1"/>
    <col min="4588" max="4588" width="37.42578125" style="1" customWidth="1"/>
    <col min="4589" max="4589" width="10.42578125" style="1"/>
    <col min="4590" max="4590" width="9.28515625" style="1" customWidth="1"/>
    <col min="4591" max="4592" width="12.140625" style="1" customWidth="1"/>
    <col min="4593" max="4593" width="16" style="1" customWidth="1"/>
    <col min="4594" max="4594" width="26.28515625" style="1" customWidth="1"/>
    <col min="4595" max="4842" width="10.42578125" style="1"/>
    <col min="4843" max="4843" width="7.42578125" style="1" customWidth="1"/>
    <col min="4844" max="4844" width="37.42578125" style="1" customWidth="1"/>
    <col min="4845" max="4845" width="10.42578125" style="1"/>
    <col min="4846" max="4846" width="9.28515625" style="1" customWidth="1"/>
    <col min="4847" max="4848" width="12.140625" style="1" customWidth="1"/>
    <col min="4849" max="4849" width="16" style="1" customWidth="1"/>
    <col min="4850" max="4850" width="26.28515625" style="1" customWidth="1"/>
    <col min="4851" max="5098" width="10.42578125" style="1"/>
    <col min="5099" max="5099" width="7.42578125" style="1" customWidth="1"/>
    <col min="5100" max="5100" width="37.42578125" style="1" customWidth="1"/>
    <col min="5101" max="5101" width="10.42578125" style="1"/>
    <col min="5102" max="5102" width="9.28515625" style="1" customWidth="1"/>
    <col min="5103" max="5104" width="12.140625" style="1" customWidth="1"/>
    <col min="5105" max="5105" width="16" style="1" customWidth="1"/>
    <col min="5106" max="5106" width="26.28515625" style="1" customWidth="1"/>
    <col min="5107" max="5354" width="10.42578125" style="1"/>
    <col min="5355" max="5355" width="7.42578125" style="1" customWidth="1"/>
    <col min="5356" max="5356" width="37.42578125" style="1" customWidth="1"/>
    <col min="5357" max="5357" width="10.42578125" style="1"/>
    <col min="5358" max="5358" width="9.28515625" style="1" customWidth="1"/>
    <col min="5359" max="5360" width="12.140625" style="1" customWidth="1"/>
    <col min="5361" max="5361" width="16" style="1" customWidth="1"/>
    <col min="5362" max="5362" width="26.28515625" style="1" customWidth="1"/>
    <col min="5363" max="5610" width="10.42578125" style="1"/>
    <col min="5611" max="5611" width="7.42578125" style="1" customWidth="1"/>
    <col min="5612" max="5612" width="37.42578125" style="1" customWidth="1"/>
    <col min="5613" max="5613" width="10.42578125" style="1"/>
    <col min="5614" max="5614" width="9.28515625" style="1" customWidth="1"/>
    <col min="5615" max="5616" width="12.140625" style="1" customWidth="1"/>
    <col min="5617" max="5617" width="16" style="1" customWidth="1"/>
    <col min="5618" max="5618" width="26.28515625" style="1" customWidth="1"/>
    <col min="5619" max="5866" width="10.42578125" style="1"/>
    <col min="5867" max="5867" width="7.42578125" style="1" customWidth="1"/>
    <col min="5868" max="5868" width="37.42578125" style="1" customWidth="1"/>
    <col min="5869" max="5869" width="10.42578125" style="1"/>
    <col min="5870" max="5870" width="9.28515625" style="1" customWidth="1"/>
    <col min="5871" max="5872" width="12.140625" style="1" customWidth="1"/>
    <col min="5873" max="5873" width="16" style="1" customWidth="1"/>
    <col min="5874" max="5874" width="26.28515625" style="1" customWidth="1"/>
    <col min="5875" max="6122" width="10.42578125" style="1"/>
    <col min="6123" max="6123" width="7.42578125" style="1" customWidth="1"/>
    <col min="6124" max="6124" width="37.42578125" style="1" customWidth="1"/>
    <col min="6125" max="6125" width="10.42578125" style="1"/>
    <col min="6126" max="6126" width="9.28515625" style="1" customWidth="1"/>
    <col min="6127" max="6128" width="12.140625" style="1" customWidth="1"/>
    <col min="6129" max="6129" width="16" style="1" customWidth="1"/>
    <col min="6130" max="6130" width="26.28515625" style="1" customWidth="1"/>
    <col min="6131" max="6378" width="10.42578125" style="1"/>
    <col min="6379" max="6379" width="7.42578125" style="1" customWidth="1"/>
    <col min="6380" max="6380" width="37.42578125" style="1" customWidth="1"/>
    <col min="6381" max="6381" width="10.42578125" style="1"/>
    <col min="6382" max="6382" width="9.28515625" style="1" customWidth="1"/>
    <col min="6383" max="6384" width="12.140625" style="1" customWidth="1"/>
    <col min="6385" max="6385" width="16" style="1" customWidth="1"/>
    <col min="6386" max="6386" width="26.28515625" style="1" customWidth="1"/>
    <col min="6387" max="6634" width="10.42578125" style="1"/>
    <col min="6635" max="6635" width="7.42578125" style="1" customWidth="1"/>
    <col min="6636" max="6636" width="37.42578125" style="1" customWidth="1"/>
    <col min="6637" max="6637" width="10.42578125" style="1"/>
    <col min="6638" max="6638" width="9.28515625" style="1" customWidth="1"/>
    <col min="6639" max="6640" width="12.140625" style="1" customWidth="1"/>
    <col min="6641" max="6641" width="16" style="1" customWidth="1"/>
    <col min="6642" max="6642" width="26.28515625" style="1" customWidth="1"/>
    <col min="6643" max="6890" width="10.42578125" style="1"/>
    <col min="6891" max="6891" width="7.42578125" style="1" customWidth="1"/>
    <col min="6892" max="6892" width="37.42578125" style="1" customWidth="1"/>
    <col min="6893" max="6893" width="10.42578125" style="1"/>
    <col min="6894" max="6894" width="9.28515625" style="1" customWidth="1"/>
    <col min="6895" max="6896" width="12.140625" style="1" customWidth="1"/>
    <col min="6897" max="6897" width="16" style="1" customWidth="1"/>
    <col min="6898" max="6898" width="26.28515625" style="1" customWidth="1"/>
    <col min="6899" max="7146" width="10.42578125" style="1"/>
    <col min="7147" max="7147" width="7.42578125" style="1" customWidth="1"/>
    <col min="7148" max="7148" width="37.42578125" style="1" customWidth="1"/>
    <col min="7149" max="7149" width="10.42578125" style="1"/>
    <col min="7150" max="7150" width="9.28515625" style="1" customWidth="1"/>
    <col min="7151" max="7152" width="12.140625" style="1" customWidth="1"/>
    <col min="7153" max="7153" width="16" style="1" customWidth="1"/>
    <col min="7154" max="7154" width="26.28515625" style="1" customWidth="1"/>
    <col min="7155" max="7402" width="10.42578125" style="1"/>
    <col min="7403" max="7403" width="7.42578125" style="1" customWidth="1"/>
    <col min="7404" max="7404" width="37.42578125" style="1" customWidth="1"/>
    <col min="7405" max="7405" width="10.42578125" style="1"/>
    <col min="7406" max="7406" width="9.28515625" style="1" customWidth="1"/>
    <col min="7407" max="7408" width="12.140625" style="1" customWidth="1"/>
    <col min="7409" max="7409" width="16" style="1" customWidth="1"/>
    <col min="7410" max="7410" width="26.28515625" style="1" customWidth="1"/>
    <col min="7411" max="7658" width="10.42578125" style="1"/>
    <col min="7659" max="7659" width="7.42578125" style="1" customWidth="1"/>
    <col min="7660" max="7660" width="37.42578125" style="1" customWidth="1"/>
    <col min="7661" max="7661" width="10.42578125" style="1"/>
    <col min="7662" max="7662" width="9.28515625" style="1" customWidth="1"/>
    <col min="7663" max="7664" width="12.140625" style="1" customWidth="1"/>
    <col min="7665" max="7665" width="16" style="1" customWidth="1"/>
    <col min="7666" max="7666" width="26.28515625" style="1" customWidth="1"/>
    <col min="7667" max="7914" width="10.42578125" style="1"/>
    <col min="7915" max="7915" width="7.42578125" style="1" customWidth="1"/>
    <col min="7916" max="7916" width="37.42578125" style="1" customWidth="1"/>
    <col min="7917" max="7917" width="10.42578125" style="1"/>
    <col min="7918" max="7918" width="9.28515625" style="1" customWidth="1"/>
    <col min="7919" max="7920" width="12.140625" style="1" customWidth="1"/>
    <col min="7921" max="7921" width="16" style="1" customWidth="1"/>
    <col min="7922" max="7922" width="26.28515625" style="1" customWidth="1"/>
    <col min="7923" max="8170" width="10.42578125" style="1"/>
    <col min="8171" max="8171" width="7.42578125" style="1" customWidth="1"/>
    <col min="8172" max="8172" width="37.42578125" style="1" customWidth="1"/>
    <col min="8173" max="8173" width="10.42578125" style="1"/>
    <col min="8174" max="8174" width="9.28515625" style="1" customWidth="1"/>
    <col min="8175" max="8176" width="12.140625" style="1" customWidth="1"/>
    <col min="8177" max="8177" width="16" style="1" customWidth="1"/>
    <col min="8178" max="8178" width="26.28515625" style="1" customWidth="1"/>
    <col min="8179" max="8426" width="10.42578125" style="1"/>
    <col min="8427" max="8427" width="7.42578125" style="1" customWidth="1"/>
    <col min="8428" max="8428" width="37.42578125" style="1" customWidth="1"/>
    <col min="8429" max="8429" width="10.42578125" style="1"/>
    <col min="8430" max="8430" width="9.28515625" style="1" customWidth="1"/>
    <col min="8431" max="8432" width="12.140625" style="1" customWidth="1"/>
    <col min="8433" max="8433" width="16" style="1" customWidth="1"/>
    <col min="8434" max="8434" width="26.28515625" style="1" customWidth="1"/>
    <col min="8435" max="8682" width="10.42578125" style="1"/>
    <col min="8683" max="8683" width="7.42578125" style="1" customWidth="1"/>
    <col min="8684" max="8684" width="37.42578125" style="1" customWidth="1"/>
    <col min="8685" max="8685" width="10.42578125" style="1"/>
    <col min="8686" max="8686" width="9.28515625" style="1" customWidth="1"/>
    <col min="8687" max="8688" width="12.140625" style="1" customWidth="1"/>
    <col min="8689" max="8689" width="16" style="1" customWidth="1"/>
    <col min="8690" max="8690" width="26.28515625" style="1" customWidth="1"/>
    <col min="8691" max="8938" width="10.42578125" style="1"/>
    <col min="8939" max="8939" width="7.42578125" style="1" customWidth="1"/>
    <col min="8940" max="8940" width="37.42578125" style="1" customWidth="1"/>
    <col min="8941" max="8941" width="10.42578125" style="1"/>
    <col min="8942" max="8942" width="9.28515625" style="1" customWidth="1"/>
    <col min="8943" max="8944" width="12.140625" style="1" customWidth="1"/>
    <col min="8945" max="8945" width="16" style="1" customWidth="1"/>
    <col min="8946" max="8946" width="26.28515625" style="1" customWidth="1"/>
    <col min="8947" max="9194" width="10.42578125" style="1"/>
    <col min="9195" max="9195" width="7.42578125" style="1" customWidth="1"/>
    <col min="9196" max="9196" width="37.42578125" style="1" customWidth="1"/>
    <col min="9197" max="9197" width="10.42578125" style="1"/>
    <col min="9198" max="9198" width="9.28515625" style="1" customWidth="1"/>
    <col min="9199" max="9200" width="12.140625" style="1" customWidth="1"/>
    <col min="9201" max="9201" width="16" style="1" customWidth="1"/>
    <col min="9202" max="9202" width="26.28515625" style="1" customWidth="1"/>
    <col min="9203" max="9450" width="10.42578125" style="1"/>
    <col min="9451" max="9451" width="7.42578125" style="1" customWidth="1"/>
    <col min="9452" max="9452" width="37.42578125" style="1" customWidth="1"/>
    <col min="9453" max="9453" width="10.42578125" style="1"/>
    <col min="9454" max="9454" width="9.28515625" style="1" customWidth="1"/>
    <col min="9455" max="9456" width="12.140625" style="1" customWidth="1"/>
    <col min="9457" max="9457" width="16" style="1" customWidth="1"/>
    <col min="9458" max="9458" width="26.28515625" style="1" customWidth="1"/>
    <col min="9459" max="9706" width="10.42578125" style="1"/>
    <col min="9707" max="9707" width="7.42578125" style="1" customWidth="1"/>
    <col min="9708" max="9708" width="37.42578125" style="1" customWidth="1"/>
    <col min="9709" max="9709" width="10.42578125" style="1"/>
    <col min="9710" max="9710" width="9.28515625" style="1" customWidth="1"/>
    <col min="9711" max="9712" width="12.140625" style="1" customWidth="1"/>
    <col min="9713" max="9713" width="16" style="1" customWidth="1"/>
    <col min="9714" max="9714" width="26.28515625" style="1" customWidth="1"/>
    <col min="9715" max="9962" width="10.42578125" style="1"/>
    <col min="9963" max="9963" width="7.42578125" style="1" customWidth="1"/>
    <col min="9964" max="9964" width="37.42578125" style="1" customWidth="1"/>
    <col min="9965" max="9965" width="10.42578125" style="1"/>
    <col min="9966" max="9966" width="9.28515625" style="1" customWidth="1"/>
    <col min="9967" max="9968" width="12.140625" style="1" customWidth="1"/>
    <col min="9969" max="9969" width="16" style="1" customWidth="1"/>
    <col min="9970" max="9970" width="26.28515625" style="1" customWidth="1"/>
    <col min="9971" max="10218" width="10.42578125" style="1"/>
    <col min="10219" max="10219" width="7.42578125" style="1" customWidth="1"/>
    <col min="10220" max="10220" width="37.42578125" style="1" customWidth="1"/>
    <col min="10221" max="10221" width="10.42578125" style="1"/>
    <col min="10222" max="10222" width="9.28515625" style="1" customWidth="1"/>
    <col min="10223" max="10224" width="12.140625" style="1" customWidth="1"/>
    <col min="10225" max="10225" width="16" style="1" customWidth="1"/>
    <col min="10226" max="10226" width="26.28515625" style="1" customWidth="1"/>
    <col min="10227" max="10474" width="10.42578125" style="1"/>
    <col min="10475" max="10475" width="7.42578125" style="1" customWidth="1"/>
    <col min="10476" max="10476" width="37.42578125" style="1" customWidth="1"/>
    <col min="10477" max="10477" width="10.42578125" style="1"/>
    <col min="10478" max="10478" width="9.28515625" style="1" customWidth="1"/>
    <col min="10479" max="10480" width="12.140625" style="1" customWidth="1"/>
    <col min="10481" max="10481" width="16" style="1" customWidth="1"/>
    <col min="10482" max="10482" width="26.28515625" style="1" customWidth="1"/>
    <col min="10483" max="10730" width="10.42578125" style="1"/>
    <col min="10731" max="10731" width="7.42578125" style="1" customWidth="1"/>
    <col min="10732" max="10732" width="37.42578125" style="1" customWidth="1"/>
    <col min="10733" max="10733" width="10.42578125" style="1"/>
    <col min="10734" max="10734" width="9.28515625" style="1" customWidth="1"/>
    <col min="10735" max="10736" width="12.140625" style="1" customWidth="1"/>
    <col min="10737" max="10737" width="16" style="1" customWidth="1"/>
    <col min="10738" max="10738" width="26.28515625" style="1" customWidth="1"/>
    <col min="10739" max="10986" width="10.42578125" style="1"/>
    <col min="10987" max="10987" width="7.42578125" style="1" customWidth="1"/>
    <col min="10988" max="10988" width="37.42578125" style="1" customWidth="1"/>
    <col min="10989" max="10989" width="10.42578125" style="1"/>
    <col min="10990" max="10990" width="9.28515625" style="1" customWidth="1"/>
    <col min="10991" max="10992" width="12.140625" style="1" customWidth="1"/>
    <col min="10993" max="10993" width="16" style="1" customWidth="1"/>
    <col min="10994" max="10994" width="26.28515625" style="1" customWidth="1"/>
    <col min="10995" max="11242" width="10.42578125" style="1"/>
    <col min="11243" max="11243" width="7.42578125" style="1" customWidth="1"/>
    <col min="11244" max="11244" width="37.42578125" style="1" customWidth="1"/>
    <col min="11245" max="11245" width="10.42578125" style="1"/>
    <col min="11246" max="11246" width="9.28515625" style="1" customWidth="1"/>
    <col min="11247" max="11248" width="12.140625" style="1" customWidth="1"/>
    <col min="11249" max="11249" width="16" style="1" customWidth="1"/>
    <col min="11250" max="11250" width="26.28515625" style="1" customWidth="1"/>
    <col min="11251" max="11498" width="10.42578125" style="1"/>
    <col min="11499" max="11499" width="7.42578125" style="1" customWidth="1"/>
    <col min="11500" max="11500" width="37.42578125" style="1" customWidth="1"/>
    <col min="11501" max="11501" width="10.42578125" style="1"/>
    <col min="11502" max="11502" width="9.28515625" style="1" customWidth="1"/>
    <col min="11503" max="11504" width="12.140625" style="1" customWidth="1"/>
    <col min="11505" max="11505" width="16" style="1" customWidth="1"/>
    <col min="11506" max="11506" width="26.28515625" style="1" customWidth="1"/>
    <col min="11507" max="11754" width="10.42578125" style="1"/>
    <col min="11755" max="11755" width="7.42578125" style="1" customWidth="1"/>
    <col min="11756" max="11756" width="37.42578125" style="1" customWidth="1"/>
    <col min="11757" max="11757" width="10.42578125" style="1"/>
    <col min="11758" max="11758" width="9.28515625" style="1" customWidth="1"/>
    <col min="11759" max="11760" width="12.140625" style="1" customWidth="1"/>
    <col min="11761" max="11761" width="16" style="1" customWidth="1"/>
    <col min="11762" max="11762" width="26.28515625" style="1" customWidth="1"/>
    <col min="11763" max="12010" width="10.42578125" style="1"/>
    <col min="12011" max="12011" width="7.42578125" style="1" customWidth="1"/>
    <col min="12012" max="12012" width="37.42578125" style="1" customWidth="1"/>
    <col min="12013" max="12013" width="10.42578125" style="1"/>
    <col min="12014" max="12014" width="9.28515625" style="1" customWidth="1"/>
    <col min="12015" max="12016" width="12.140625" style="1" customWidth="1"/>
    <col min="12017" max="12017" width="16" style="1" customWidth="1"/>
    <col min="12018" max="12018" width="26.28515625" style="1" customWidth="1"/>
    <col min="12019" max="12266" width="10.42578125" style="1"/>
    <col min="12267" max="12267" width="7.42578125" style="1" customWidth="1"/>
    <col min="12268" max="12268" width="37.42578125" style="1" customWidth="1"/>
    <col min="12269" max="12269" width="10.42578125" style="1"/>
    <col min="12270" max="12270" width="9.28515625" style="1" customWidth="1"/>
    <col min="12271" max="12272" width="12.140625" style="1" customWidth="1"/>
    <col min="12273" max="12273" width="16" style="1" customWidth="1"/>
    <col min="12274" max="12274" width="26.28515625" style="1" customWidth="1"/>
    <col min="12275" max="12522" width="10.42578125" style="1"/>
    <col min="12523" max="12523" width="7.42578125" style="1" customWidth="1"/>
    <col min="12524" max="12524" width="37.42578125" style="1" customWidth="1"/>
    <col min="12525" max="12525" width="10.42578125" style="1"/>
    <col min="12526" max="12526" width="9.28515625" style="1" customWidth="1"/>
    <col min="12527" max="12528" width="12.140625" style="1" customWidth="1"/>
    <col min="12529" max="12529" width="16" style="1" customWidth="1"/>
    <col min="12530" max="12530" width="26.28515625" style="1" customWidth="1"/>
    <col min="12531" max="12778" width="10.42578125" style="1"/>
    <col min="12779" max="12779" width="7.42578125" style="1" customWidth="1"/>
    <col min="12780" max="12780" width="37.42578125" style="1" customWidth="1"/>
    <col min="12781" max="12781" width="10.42578125" style="1"/>
    <col min="12782" max="12782" width="9.28515625" style="1" customWidth="1"/>
    <col min="12783" max="12784" width="12.140625" style="1" customWidth="1"/>
    <col min="12785" max="12785" width="16" style="1" customWidth="1"/>
    <col min="12786" max="12786" width="26.28515625" style="1" customWidth="1"/>
    <col min="12787" max="13034" width="10.42578125" style="1"/>
    <col min="13035" max="13035" width="7.42578125" style="1" customWidth="1"/>
    <col min="13036" max="13036" width="37.42578125" style="1" customWidth="1"/>
    <col min="13037" max="13037" width="10.42578125" style="1"/>
    <col min="13038" max="13038" width="9.28515625" style="1" customWidth="1"/>
    <col min="13039" max="13040" width="12.140625" style="1" customWidth="1"/>
    <col min="13041" max="13041" width="16" style="1" customWidth="1"/>
    <col min="13042" max="13042" width="26.28515625" style="1" customWidth="1"/>
    <col min="13043" max="13290" width="10.42578125" style="1"/>
    <col min="13291" max="13291" width="7.42578125" style="1" customWidth="1"/>
    <col min="13292" max="13292" width="37.42578125" style="1" customWidth="1"/>
    <col min="13293" max="13293" width="10.42578125" style="1"/>
    <col min="13294" max="13294" width="9.28515625" style="1" customWidth="1"/>
    <col min="13295" max="13296" width="12.140625" style="1" customWidth="1"/>
    <col min="13297" max="13297" width="16" style="1" customWidth="1"/>
    <col min="13298" max="13298" width="26.28515625" style="1" customWidth="1"/>
    <col min="13299" max="13546" width="10.42578125" style="1"/>
    <col min="13547" max="13547" width="7.42578125" style="1" customWidth="1"/>
    <col min="13548" max="13548" width="37.42578125" style="1" customWidth="1"/>
    <col min="13549" max="13549" width="10.42578125" style="1"/>
    <col min="13550" max="13550" width="9.28515625" style="1" customWidth="1"/>
    <col min="13551" max="13552" width="12.140625" style="1" customWidth="1"/>
    <col min="13553" max="13553" width="16" style="1" customWidth="1"/>
    <col min="13554" max="13554" width="26.28515625" style="1" customWidth="1"/>
    <col min="13555" max="13802" width="10.42578125" style="1"/>
    <col min="13803" max="13803" width="7.42578125" style="1" customWidth="1"/>
    <col min="13804" max="13804" width="37.42578125" style="1" customWidth="1"/>
    <col min="13805" max="13805" width="10.42578125" style="1"/>
    <col min="13806" max="13806" width="9.28515625" style="1" customWidth="1"/>
    <col min="13807" max="13808" width="12.140625" style="1" customWidth="1"/>
    <col min="13809" max="13809" width="16" style="1" customWidth="1"/>
    <col min="13810" max="13810" width="26.28515625" style="1" customWidth="1"/>
    <col min="13811" max="14058" width="10.42578125" style="1"/>
    <col min="14059" max="14059" width="7.42578125" style="1" customWidth="1"/>
    <col min="14060" max="14060" width="37.42578125" style="1" customWidth="1"/>
    <col min="14061" max="14061" width="10.42578125" style="1"/>
    <col min="14062" max="14062" width="9.28515625" style="1" customWidth="1"/>
    <col min="14063" max="14064" width="12.140625" style="1" customWidth="1"/>
    <col min="14065" max="14065" width="16" style="1" customWidth="1"/>
    <col min="14066" max="14066" width="26.28515625" style="1" customWidth="1"/>
    <col min="14067" max="14314" width="10.42578125" style="1"/>
    <col min="14315" max="14315" width="7.42578125" style="1" customWidth="1"/>
    <col min="14316" max="14316" width="37.42578125" style="1" customWidth="1"/>
    <col min="14317" max="14317" width="10.42578125" style="1"/>
    <col min="14318" max="14318" width="9.28515625" style="1" customWidth="1"/>
    <col min="14319" max="14320" width="12.140625" style="1" customWidth="1"/>
    <col min="14321" max="14321" width="16" style="1" customWidth="1"/>
    <col min="14322" max="14322" width="26.28515625" style="1" customWidth="1"/>
    <col min="14323" max="14570" width="10.42578125" style="1"/>
    <col min="14571" max="14571" width="7.42578125" style="1" customWidth="1"/>
    <col min="14572" max="14572" width="37.42578125" style="1" customWidth="1"/>
    <col min="14573" max="14573" width="10.42578125" style="1"/>
    <col min="14574" max="14574" width="9.28515625" style="1" customWidth="1"/>
    <col min="14575" max="14576" width="12.140625" style="1" customWidth="1"/>
    <col min="14577" max="14577" width="16" style="1" customWidth="1"/>
    <col min="14578" max="14578" width="26.28515625" style="1" customWidth="1"/>
    <col min="14579" max="14826" width="10.42578125" style="1"/>
    <col min="14827" max="14827" width="7.42578125" style="1" customWidth="1"/>
    <col min="14828" max="14828" width="37.42578125" style="1" customWidth="1"/>
    <col min="14829" max="14829" width="10.42578125" style="1"/>
    <col min="14830" max="14830" width="9.28515625" style="1" customWidth="1"/>
    <col min="14831" max="14832" width="12.140625" style="1" customWidth="1"/>
    <col min="14833" max="14833" width="16" style="1" customWidth="1"/>
    <col min="14834" max="14834" width="26.28515625" style="1" customWidth="1"/>
    <col min="14835" max="15082" width="10.42578125" style="1"/>
    <col min="15083" max="15083" width="7.42578125" style="1" customWidth="1"/>
    <col min="15084" max="15084" width="37.42578125" style="1" customWidth="1"/>
    <col min="15085" max="15085" width="10.42578125" style="1"/>
    <col min="15086" max="15086" width="9.28515625" style="1" customWidth="1"/>
    <col min="15087" max="15088" width="12.140625" style="1" customWidth="1"/>
    <col min="15089" max="15089" width="16" style="1" customWidth="1"/>
    <col min="15090" max="15090" width="26.28515625" style="1" customWidth="1"/>
    <col min="15091" max="15338" width="10.42578125" style="1"/>
    <col min="15339" max="15339" width="7.42578125" style="1" customWidth="1"/>
    <col min="15340" max="15340" width="37.42578125" style="1" customWidth="1"/>
    <col min="15341" max="15341" width="10.42578125" style="1"/>
    <col min="15342" max="15342" width="9.28515625" style="1" customWidth="1"/>
    <col min="15343" max="15344" width="12.140625" style="1" customWidth="1"/>
    <col min="15345" max="15345" width="16" style="1" customWidth="1"/>
    <col min="15346" max="15346" width="26.28515625" style="1" customWidth="1"/>
    <col min="15347" max="15594" width="10.42578125" style="1"/>
    <col min="15595" max="15595" width="7.42578125" style="1" customWidth="1"/>
    <col min="15596" max="15596" width="37.42578125" style="1" customWidth="1"/>
    <col min="15597" max="15597" width="10.42578125" style="1"/>
    <col min="15598" max="15598" width="9.28515625" style="1" customWidth="1"/>
    <col min="15599" max="15600" width="12.140625" style="1" customWidth="1"/>
    <col min="15601" max="15601" width="16" style="1" customWidth="1"/>
    <col min="15602" max="15602" width="26.28515625" style="1" customWidth="1"/>
    <col min="15603" max="15850" width="10.42578125" style="1"/>
    <col min="15851" max="15851" width="7.42578125" style="1" customWidth="1"/>
    <col min="15852" max="15852" width="37.42578125" style="1" customWidth="1"/>
    <col min="15853" max="15853" width="10.42578125" style="1"/>
    <col min="15854" max="15854" width="9.28515625" style="1" customWidth="1"/>
    <col min="15855" max="15856" width="12.140625" style="1" customWidth="1"/>
    <col min="15857" max="15857" width="16" style="1" customWidth="1"/>
    <col min="15858" max="15858" width="26.28515625" style="1" customWidth="1"/>
    <col min="15859" max="16106" width="10.42578125" style="1"/>
    <col min="16107" max="16107" width="7.42578125" style="1" customWidth="1"/>
    <col min="16108" max="16108" width="37.42578125" style="1" customWidth="1"/>
    <col min="16109" max="16109" width="10.42578125" style="1"/>
    <col min="16110" max="16110" width="9.28515625" style="1" customWidth="1"/>
    <col min="16111" max="16112" width="12.140625" style="1" customWidth="1"/>
    <col min="16113" max="16113" width="16" style="1" customWidth="1"/>
    <col min="16114" max="16114" width="26.28515625" style="1" customWidth="1"/>
    <col min="16115" max="16384" width="10.42578125" style="1"/>
  </cols>
  <sheetData>
    <row r="1" spans="1:8" ht="16.5" customHeight="1">
      <c r="B1" s="2"/>
      <c r="C1" s="3" t="s">
        <v>0</v>
      </c>
      <c r="D1" s="4"/>
      <c r="E1" s="5"/>
      <c r="F1" s="6"/>
      <c r="G1" s="672" t="s">
        <v>1</v>
      </c>
      <c r="H1" s="938"/>
    </row>
    <row r="3" spans="1:8" s="73" customFormat="1">
      <c r="B3" s="74" t="s">
        <v>35</v>
      </c>
      <c r="C3" s="75" t="s">
        <v>9</v>
      </c>
      <c r="D3" s="1175"/>
      <c r="E3" s="77"/>
      <c r="F3" s="78"/>
      <c r="G3" s="79"/>
    </row>
    <row r="4" spans="1:8" s="73" customFormat="1" ht="12" customHeight="1">
      <c r="B4" s="80"/>
      <c r="C4" s="81"/>
      <c r="D4" s="1176"/>
      <c r="E4" s="83"/>
      <c r="F4" s="84"/>
      <c r="G4" s="85"/>
    </row>
    <row r="5" spans="1:8" s="86" customFormat="1" ht="14.25">
      <c r="B5" s="74" t="s">
        <v>37</v>
      </c>
      <c r="C5" s="75" t="s">
        <v>1752</v>
      </c>
      <c r="D5" s="1175"/>
      <c r="E5" s="77"/>
      <c r="F5" s="78"/>
      <c r="G5" s="79"/>
    </row>
    <row r="6" spans="1:8" s="86" customFormat="1" ht="14.25">
      <c r="B6" s="80"/>
      <c r="C6" s="81"/>
      <c r="D6" s="1176"/>
      <c r="E6" s="83"/>
      <c r="F6" s="84"/>
      <c r="G6" s="88"/>
    </row>
    <row r="7" spans="1:8" s="14" customFormat="1" ht="18" customHeight="1">
      <c r="A7" s="9"/>
      <c r="B7" s="10" t="s">
        <v>38</v>
      </c>
      <c r="C7" s="11"/>
      <c r="D7" s="1177"/>
      <c r="E7" s="12"/>
      <c r="F7" s="12"/>
      <c r="G7" s="13"/>
    </row>
    <row r="8" spans="1:8" s="14" customFormat="1" ht="18" customHeight="1">
      <c r="A8" s="15"/>
      <c r="B8" s="16" t="s">
        <v>39</v>
      </c>
      <c r="C8" s="17"/>
      <c r="D8" s="1179"/>
      <c r="E8" s="19"/>
      <c r="F8" s="19"/>
      <c r="G8" s="18"/>
    </row>
    <row r="9" spans="1:8" s="14" customFormat="1" ht="18" customHeight="1">
      <c r="A9" s="9"/>
      <c r="B9" s="10" t="s">
        <v>4</v>
      </c>
      <c r="C9" s="11"/>
      <c r="D9" s="1180"/>
      <c r="E9" s="12"/>
      <c r="F9" s="12"/>
      <c r="G9" s="13"/>
    </row>
    <row r="10" spans="1:8" s="14" customFormat="1" ht="18" customHeight="1">
      <c r="A10" s="15"/>
      <c r="B10" s="16" t="s">
        <v>5</v>
      </c>
      <c r="C10" s="17"/>
      <c r="D10" s="1181"/>
      <c r="E10" s="19"/>
      <c r="F10" s="19"/>
      <c r="G10" s="18"/>
    </row>
    <row r="11" spans="1:8" s="86" customFormat="1" ht="14.25">
      <c r="B11" s="89"/>
      <c r="C11" s="90"/>
      <c r="D11" s="1182"/>
      <c r="E11" s="92"/>
      <c r="F11" s="93"/>
      <c r="G11" s="94"/>
    </row>
    <row r="12" spans="1:8" s="86" customFormat="1" ht="14.25">
      <c r="B12" s="95"/>
      <c r="C12" s="96" t="s">
        <v>40</v>
      </c>
      <c r="D12" s="1183"/>
      <c r="E12" s="98"/>
      <c r="F12" s="99"/>
      <c r="G12" s="100"/>
    </row>
    <row r="13" spans="1:8" s="101" customFormat="1">
      <c r="B13" s="95" t="s">
        <v>41</v>
      </c>
      <c r="C13" s="102" t="s">
        <v>42</v>
      </c>
      <c r="D13" s="1183"/>
      <c r="E13" s="104"/>
      <c r="F13" s="105"/>
      <c r="G13" s="106" t="s">
        <v>10</v>
      </c>
      <c r="H13" s="73"/>
    </row>
    <row r="14" spans="1:8" s="101" customFormat="1">
      <c r="B14" s="107" t="s">
        <v>43</v>
      </c>
      <c r="C14" s="108" t="s">
        <v>44</v>
      </c>
      <c r="D14" s="1185"/>
      <c r="E14" s="110"/>
      <c r="F14" s="111"/>
      <c r="G14" s="112">
        <f>G36</f>
        <v>0</v>
      </c>
      <c r="H14" s="73"/>
    </row>
    <row r="15" spans="1:8" s="101" customFormat="1">
      <c r="B15" s="107" t="s">
        <v>45</v>
      </c>
      <c r="C15" s="108" t="s">
        <v>46</v>
      </c>
      <c r="D15" s="1185"/>
      <c r="E15" s="110"/>
      <c r="F15" s="111"/>
      <c r="G15" s="112">
        <f>G81</f>
        <v>0</v>
      </c>
      <c r="H15" s="73"/>
    </row>
    <row r="16" spans="1:8" s="101" customFormat="1">
      <c r="B16" s="107" t="s">
        <v>47</v>
      </c>
      <c r="C16" s="108" t="s">
        <v>48</v>
      </c>
      <c r="D16" s="1185"/>
      <c r="E16" s="110"/>
      <c r="F16" s="111"/>
      <c r="G16" s="112">
        <f>G172</f>
        <v>0</v>
      </c>
      <c r="H16" s="73"/>
    </row>
    <row r="17" spans="2:8" s="101" customFormat="1">
      <c r="B17" s="113"/>
      <c r="C17" s="114" t="s">
        <v>49</v>
      </c>
      <c r="D17" s="1187"/>
      <c r="E17" s="116"/>
      <c r="F17" s="117"/>
      <c r="G17" s="50">
        <f>SUM(G14:G16)</f>
        <v>0</v>
      </c>
      <c r="H17" s="73"/>
    </row>
    <row r="18" spans="2:8">
      <c r="B18" s="61"/>
      <c r="C18" s="62"/>
      <c r="D18" s="63"/>
      <c r="E18" s="64"/>
      <c r="F18" s="65"/>
    </row>
    <row r="19" spans="2:8">
      <c r="G19" s="118"/>
    </row>
    <row r="20" spans="2:8" ht="12.75" customHeight="1">
      <c r="B20" s="119" t="s">
        <v>50</v>
      </c>
      <c r="C20" s="120" t="s">
        <v>51</v>
      </c>
      <c r="D20" s="120" t="s">
        <v>52</v>
      </c>
      <c r="E20" s="122" t="s">
        <v>53</v>
      </c>
      <c r="F20" s="123" t="s">
        <v>54</v>
      </c>
      <c r="G20" s="124" t="s">
        <v>55</v>
      </c>
    </row>
    <row r="21" spans="2:8">
      <c r="B21" s="125"/>
      <c r="C21" s="126"/>
      <c r="D21" s="140"/>
      <c r="E21" s="128"/>
      <c r="F21" s="129"/>
      <c r="G21" s="130"/>
    </row>
    <row r="22" spans="2:8" s="138" customFormat="1" ht="20.25">
      <c r="B22" s="131" t="s">
        <v>43</v>
      </c>
      <c r="C22" s="132" t="s">
        <v>44</v>
      </c>
      <c r="D22" s="165"/>
      <c r="E22" s="134"/>
      <c r="F22" s="135"/>
      <c r="G22" s="136"/>
    </row>
    <row r="23" spans="2:8" ht="27.75" customHeight="1">
      <c r="B23" s="125">
        <v>1</v>
      </c>
      <c r="C23" s="139" t="s">
        <v>56</v>
      </c>
      <c r="D23" s="140" t="s">
        <v>57</v>
      </c>
      <c r="E23" s="198">
        <v>2220</v>
      </c>
      <c r="F23" s="1191">
        <v>0</v>
      </c>
      <c r="G23" s="1083">
        <f t="shared" ref="G23" si="0">E23*F23</f>
        <v>0</v>
      </c>
    </row>
    <row r="24" spans="2:8">
      <c r="B24" s="125">
        <v>2</v>
      </c>
      <c r="C24" s="139" t="s">
        <v>58</v>
      </c>
      <c r="D24" s="140" t="s">
        <v>57</v>
      </c>
      <c r="E24" s="198">
        <f>E23</f>
        <v>2220</v>
      </c>
      <c r="F24" s="1191">
        <v>0</v>
      </c>
      <c r="G24" s="1083">
        <f>E24*F24</f>
        <v>0</v>
      </c>
    </row>
    <row r="25" spans="2:8" ht="53.25" customHeight="1">
      <c r="B25" s="125">
        <v>3</v>
      </c>
      <c r="C25" s="139" t="s">
        <v>59</v>
      </c>
      <c r="D25" s="140" t="s">
        <v>60</v>
      </c>
      <c r="E25" s="198">
        <v>4</v>
      </c>
      <c r="F25" s="1191">
        <v>0</v>
      </c>
      <c r="G25" s="1083">
        <f t="shared" ref="G25:G35" si="1">E25*F25</f>
        <v>0</v>
      </c>
    </row>
    <row r="26" spans="2:8" ht="132">
      <c r="B26" s="125">
        <v>4</v>
      </c>
      <c r="C26" s="144" t="s">
        <v>61</v>
      </c>
      <c r="D26" s="145" t="s">
        <v>60</v>
      </c>
      <c r="E26" s="198">
        <v>1</v>
      </c>
      <c r="F26" s="1191">
        <v>0</v>
      </c>
      <c r="G26" s="1083">
        <f t="shared" si="1"/>
        <v>0</v>
      </c>
    </row>
    <row r="27" spans="2:8" ht="30.75" customHeight="1">
      <c r="B27" s="125">
        <v>5</v>
      </c>
      <c r="C27" s="144" t="s">
        <v>62</v>
      </c>
      <c r="D27" s="146" t="s">
        <v>60</v>
      </c>
      <c r="E27" s="198">
        <v>1</v>
      </c>
      <c r="F27" s="1191">
        <v>0</v>
      </c>
      <c r="G27" s="1083">
        <f t="shared" si="1"/>
        <v>0</v>
      </c>
    </row>
    <row r="28" spans="2:8" ht="27" customHeight="1">
      <c r="B28" s="125">
        <v>6</v>
      </c>
      <c r="C28" s="147" t="s">
        <v>63</v>
      </c>
      <c r="D28" s="140" t="s">
        <v>57</v>
      </c>
      <c r="E28" s="198">
        <v>2220</v>
      </c>
      <c r="F28" s="1191">
        <v>0</v>
      </c>
      <c r="G28" s="1083">
        <f t="shared" si="1"/>
        <v>0</v>
      </c>
    </row>
    <row r="29" spans="2:8" ht="52.5" customHeight="1">
      <c r="B29" s="125">
        <v>7</v>
      </c>
      <c r="C29" s="1196" t="s">
        <v>64</v>
      </c>
      <c r="D29" s="275" t="s">
        <v>60</v>
      </c>
      <c r="E29" s="198">
        <v>4</v>
      </c>
      <c r="F29" s="1191">
        <v>0</v>
      </c>
      <c r="G29" s="1194">
        <f t="shared" si="1"/>
        <v>0</v>
      </c>
    </row>
    <row r="30" spans="2:8" ht="48">
      <c r="B30" s="125">
        <v>8</v>
      </c>
      <c r="C30" s="1080" t="s">
        <v>2292</v>
      </c>
      <c r="D30" s="275" t="s">
        <v>66</v>
      </c>
      <c r="E30" s="173">
        <v>174</v>
      </c>
      <c r="F30" s="1191">
        <v>0</v>
      </c>
      <c r="G30" s="175">
        <f t="shared" si="1"/>
        <v>0</v>
      </c>
    </row>
    <row r="31" spans="2:8" ht="38.25" customHeight="1">
      <c r="B31" s="125">
        <v>9</v>
      </c>
      <c r="C31" s="1080" t="s">
        <v>2294</v>
      </c>
      <c r="D31" s="146" t="s">
        <v>57</v>
      </c>
      <c r="E31" s="198">
        <v>4064</v>
      </c>
      <c r="F31" s="1191">
        <v>0</v>
      </c>
      <c r="G31" s="1083">
        <f t="shared" si="1"/>
        <v>0</v>
      </c>
    </row>
    <row r="32" spans="2:8" ht="27.75" customHeight="1">
      <c r="B32" s="125">
        <v>10</v>
      </c>
      <c r="C32" s="1080" t="s">
        <v>2293</v>
      </c>
      <c r="D32" s="146" t="s">
        <v>57</v>
      </c>
      <c r="E32" s="198">
        <v>4064</v>
      </c>
      <c r="F32" s="1191">
        <v>0</v>
      </c>
      <c r="G32" s="1083">
        <f t="shared" si="1"/>
        <v>0</v>
      </c>
    </row>
    <row r="33" spans="2:7" ht="14.25" customHeight="1">
      <c r="B33" s="125">
        <v>11</v>
      </c>
      <c r="C33" s="147" t="s">
        <v>67</v>
      </c>
      <c r="D33" s="146" t="s">
        <v>60</v>
      </c>
      <c r="E33" s="198">
        <v>1</v>
      </c>
      <c r="F33" s="1191">
        <v>0</v>
      </c>
      <c r="G33" s="1083">
        <f t="shared" si="1"/>
        <v>0</v>
      </c>
    </row>
    <row r="34" spans="2:7" ht="38.25" customHeight="1">
      <c r="B34" s="125">
        <v>12</v>
      </c>
      <c r="C34" s="148" t="s">
        <v>68</v>
      </c>
      <c r="D34" s="146" t="s">
        <v>60</v>
      </c>
      <c r="E34" s="198">
        <v>1</v>
      </c>
      <c r="F34" s="1191">
        <v>0</v>
      </c>
      <c r="G34" s="1083">
        <f t="shared" si="1"/>
        <v>0</v>
      </c>
    </row>
    <row r="35" spans="2:7" ht="39.75" customHeight="1">
      <c r="B35" s="125">
        <v>13</v>
      </c>
      <c r="C35" s="150" t="s">
        <v>69</v>
      </c>
      <c r="D35" s="146" t="s">
        <v>60</v>
      </c>
      <c r="E35" s="198">
        <v>1</v>
      </c>
      <c r="F35" s="1191">
        <v>0</v>
      </c>
      <c r="G35" s="1083">
        <f t="shared" si="1"/>
        <v>0</v>
      </c>
    </row>
    <row r="36" spans="2:7">
      <c r="B36" s="151" t="s">
        <v>43</v>
      </c>
      <c r="C36" s="152" t="s">
        <v>70</v>
      </c>
      <c r="D36" s="185"/>
      <c r="E36" s="741"/>
      <c r="F36" s="1122"/>
      <c r="G36" s="263">
        <f>SUM(G23:G35)</f>
        <v>0</v>
      </c>
    </row>
    <row r="37" spans="2:7">
      <c r="B37" s="125"/>
      <c r="C37" s="126"/>
      <c r="D37" s="140"/>
      <c r="E37" s="128"/>
      <c r="F37" s="129"/>
      <c r="G37" s="130"/>
    </row>
    <row r="38" spans="2:7">
      <c r="B38" s="1202" t="s">
        <v>50</v>
      </c>
      <c r="C38" s="1203" t="s">
        <v>51</v>
      </c>
      <c r="D38" s="1203" t="s">
        <v>52</v>
      </c>
      <c r="E38" s="1204" t="s">
        <v>53</v>
      </c>
      <c r="F38" s="1205" t="s">
        <v>54</v>
      </c>
      <c r="G38" s="1206" t="s">
        <v>55</v>
      </c>
    </row>
    <row r="39" spans="2:7">
      <c r="B39" s="125"/>
      <c r="C39" s="163"/>
      <c r="D39" s="140"/>
      <c r="E39" s="128"/>
      <c r="F39" s="129"/>
      <c r="G39" s="130"/>
    </row>
    <row r="40" spans="2:7" s="138" customFormat="1" ht="20.25">
      <c r="B40" s="131" t="s">
        <v>45</v>
      </c>
      <c r="C40" s="164" t="s">
        <v>71</v>
      </c>
      <c r="D40" s="165"/>
      <c r="E40" s="134"/>
      <c r="F40" s="135"/>
      <c r="G40" s="136"/>
    </row>
    <row r="41" spans="2:7" s="166" customFormat="1" ht="71.25" customHeight="1">
      <c r="B41" s="2399" t="s">
        <v>72</v>
      </c>
      <c r="C41" s="2400"/>
      <c r="D41" s="2400"/>
      <c r="E41" s="2400"/>
      <c r="F41" s="2400"/>
      <c r="G41" s="2401"/>
    </row>
    <row r="42" spans="2:7" ht="27.75" customHeight="1">
      <c r="B42" s="167">
        <v>1</v>
      </c>
      <c r="C42" s="139" t="s">
        <v>73</v>
      </c>
      <c r="D42" s="140" t="s">
        <v>74</v>
      </c>
      <c r="E42" s="128">
        <v>11</v>
      </c>
      <c r="F42" s="141">
        <v>0</v>
      </c>
      <c r="G42" s="142">
        <f t="shared" ref="G42:G80" si="2">E42*F42</f>
        <v>0</v>
      </c>
    </row>
    <row r="43" spans="2:7" ht="39" customHeight="1">
      <c r="B43" s="125">
        <v>2</v>
      </c>
      <c r="C43" s="171" t="s">
        <v>246</v>
      </c>
      <c r="D43" s="277" t="s">
        <v>57</v>
      </c>
      <c r="E43" s="173">
        <v>20</v>
      </c>
      <c r="F43" s="141">
        <v>0</v>
      </c>
      <c r="G43" s="175">
        <f t="shared" si="2"/>
        <v>0</v>
      </c>
    </row>
    <row r="44" spans="2:7" ht="36">
      <c r="B44" s="125">
        <v>3</v>
      </c>
      <c r="C44" s="139" t="s">
        <v>1499</v>
      </c>
      <c r="D44" s="172" t="s">
        <v>74</v>
      </c>
      <c r="E44" s="173">
        <v>74</v>
      </c>
      <c r="F44" s="141">
        <v>0</v>
      </c>
      <c r="G44" s="175">
        <f t="shared" si="2"/>
        <v>0</v>
      </c>
    </row>
    <row r="45" spans="2:7" ht="39.75" customHeight="1">
      <c r="B45" s="125">
        <v>4</v>
      </c>
      <c r="C45" s="139" t="s">
        <v>1500</v>
      </c>
      <c r="D45" s="172" t="s">
        <v>74</v>
      </c>
      <c r="E45" s="173">
        <v>3583</v>
      </c>
      <c r="F45" s="141">
        <v>0</v>
      </c>
      <c r="G45" s="175">
        <f t="shared" si="2"/>
        <v>0</v>
      </c>
    </row>
    <row r="46" spans="2:7" ht="29.25" customHeight="1">
      <c r="B46" s="125">
        <v>5</v>
      </c>
      <c r="C46" s="1280" t="s">
        <v>77</v>
      </c>
      <c r="D46" s="1281" t="s">
        <v>78</v>
      </c>
      <c r="E46" s="1282">
        <v>7385</v>
      </c>
      <c r="F46" s="141">
        <v>0</v>
      </c>
      <c r="G46" s="175">
        <f t="shared" si="2"/>
        <v>0</v>
      </c>
    </row>
    <row r="47" spans="2:7" ht="29.25" customHeight="1">
      <c r="B47" s="125">
        <v>6</v>
      </c>
      <c r="C47" s="139" t="s">
        <v>79</v>
      </c>
      <c r="D47" s="145" t="s">
        <v>78</v>
      </c>
      <c r="E47" s="128">
        <v>2110</v>
      </c>
      <c r="F47" s="141">
        <v>0</v>
      </c>
      <c r="G47" s="142">
        <f t="shared" si="2"/>
        <v>0</v>
      </c>
    </row>
    <row r="48" spans="2:7" ht="27" customHeight="1">
      <c r="B48" s="125">
        <v>7</v>
      </c>
      <c r="C48" s="139" t="s">
        <v>80</v>
      </c>
      <c r="D48" s="145" t="s">
        <v>74</v>
      </c>
      <c r="E48" s="128">
        <v>797</v>
      </c>
      <c r="F48" s="141">
        <v>0</v>
      </c>
      <c r="G48" s="142">
        <f t="shared" si="2"/>
        <v>0</v>
      </c>
    </row>
    <row r="49" spans="2:7" ht="24">
      <c r="B49" s="125">
        <v>8</v>
      </c>
      <c r="C49" s="139" t="s">
        <v>247</v>
      </c>
      <c r="D49" s="145" t="s">
        <v>74</v>
      </c>
      <c r="E49" s="128">
        <v>11</v>
      </c>
      <c r="F49" s="141">
        <v>0</v>
      </c>
      <c r="G49" s="142">
        <f t="shared" si="2"/>
        <v>0</v>
      </c>
    </row>
    <row r="50" spans="2:7" ht="40.5" customHeight="1">
      <c r="B50" s="125">
        <v>9</v>
      </c>
      <c r="C50" s="1193" t="s">
        <v>1753</v>
      </c>
      <c r="D50" s="172" t="s">
        <v>74</v>
      </c>
      <c r="E50" s="173">
        <v>2215</v>
      </c>
      <c r="F50" s="141">
        <v>0</v>
      </c>
      <c r="G50" s="175">
        <f t="shared" si="2"/>
        <v>0</v>
      </c>
    </row>
    <row r="51" spans="2:7" s="166" customFormat="1" ht="39" customHeight="1">
      <c r="B51" s="125">
        <v>10</v>
      </c>
      <c r="C51" s="1316" t="s">
        <v>1754</v>
      </c>
      <c r="D51" s="275" t="s">
        <v>74</v>
      </c>
      <c r="E51" s="173">
        <v>820</v>
      </c>
      <c r="F51" s="141">
        <v>0</v>
      </c>
      <c r="G51" s="175">
        <f t="shared" si="2"/>
        <v>0</v>
      </c>
    </row>
    <row r="52" spans="2:7" s="166" customFormat="1" ht="40.5" customHeight="1">
      <c r="B52" s="125">
        <v>11</v>
      </c>
      <c r="C52" s="1316" t="s">
        <v>1755</v>
      </c>
      <c r="D52" s="275" t="s">
        <v>74</v>
      </c>
      <c r="E52" s="173">
        <v>74</v>
      </c>
      <c r="F52" s="141">
        <v>0</v>
      </c>
      <c r="G52" s="175">
        <f t="shared" si="2"/>
        <v>0</v>
      </c>
    </row>
    <row r="53" spans="2:7" s="179" customFormat="1" ht="54" customHeight="1">
      <c r="B53" s="2406">
        <v>12</v>
      </c>
      <c r="C53" s="276" t="s">
        <v>83</v>
      </c>
      <c r="D53" s="275"/>
      <c r="E53" s="173"/>
      <c r="F53" s="174"/>
      <c r="G53" s="175"/>
    </row>
    <row r="54" spans="2:7" s="179" customFormat="1" ht="15" customHeight="1">
      <c r="B54" s="2417"/>
      <c r="C54" s="276" t="s">
        <v>84</v>
      </c>
      <c r="D54" s="277" t="s">
        <v>57</v>
      </c>
      <c r="E54" s="173">
        <v>14</v>
      </c>
      <c r="F54" s="174">
        <v>0</v>
      </c>
      <c r="G54" s="175">
        <f t="shared" si="2"/>
        <v>0</v>
      </c>
    </row>
    <row r="55" spans="2:7" s="179" customFormat="1" ht="15" customHeight="1">
      <c r="B55" s="2407"/>
      <c r="C55" s="276" t="s">
        <v>253</v>
      </c>
      <c r="D55" s="277" t="s">
        <v>57</v>
      </c>
      <c r="E55" s="173">
        <v>6</v>
      </c>
      <c r="F55" s="174">
        <v>0</v>
      </c>
      <c r="G55" s="175">
        <f t="shared" si="2"/>
        <v>0</v>
      </c>
    </row>
    <row r="56" spans="2:7" ht="25.5" customHeight="1">
      <c r="B56" s="125">
        <v>13</v>
      </c>
      <c r="C56" s="171" t="s">
        <v>85</v>
      </c>
      <c r="D56" s="172" t="s">
        <v>57</v>
      </c>
      <c r="E56" s="173">
        <v>2490</v>
      </c>
      <c r="F56" s="174">
        <v>0</v>
      </c>
      <c r="G56" s="175">
        <f t="shared" si="2"/>
        <v>0</v>
      </c>
    </row>
    <row r="57" spans="2:7" ht="24">
      <c r="B57" s="167">
        <v>14</v>
      </c>
      <c r="C57" s="171" t="s">
        <v>86</v>
      </c>
      <c r="D57" s="277" t="s">
        <v>78</v>
      </c>
      <c r="E57" s="173">
        <v>3820</v>
      </c>
      <c r="F57" s="174">
        <v>0</v>
      </c>
      <c r="G57" s="175">
        <f t="shared" si="2"/>
        <v>0</v>
      </c>
    </row>
    <row r="58" spans="2:7" ht="24">
      <c r="B58" s="125">
        <v>15</v>
      </c>
      <c r="C58" s="171" t="s">
        <v>1756</v>
      </c>
      <c r="D58" s="277" t="s">
        <v>57</v>
      </c>
      <c r="E58" s="173">
        <v>120</v>
      </c>
      <c r="F58" s="174">
        <v>0</v>
      </c>
      <c r="G58" s="175">
        <f t="shared" si="2"/>
        <v>0</v>
      </c>
    </row>
    <row r="59" spans="2:7" ht="36">
      <c r="B59" s="125">
        <v>16</v>
      </c>
      <c r="C59" s="171" t="s">
        <v>1757</v>
      </c>
      <c r="D59" s="277" t="s">
        <v>78</v>
      </c>
      <c r="E59" s="173">
        <v>196</v>
      </c>
      <c r="F59" s="174">
        <v>0</v>
      </c>
      <c r="G59" s="175">
        <f t="shared" si="2"/>
        <v>0</v>
      </c>
    </row>
    <row r="60" spans="2:7" ht="48">
      <c r="B60" s="125">
        <v>17</v>
      </c>
      <c r="C60" s="171" t="s">
        <v>1758</v>
      </c>
      <c r="D60" s="277" t="s">
        <v>78</v>
      </c>
      <c r="E60" s="173">
        <v>180</v>
      </c>
      <c r="F60" s="174">
        <v>0</v>
      </c>
      <c r="G60" s="175">
        <f t="shared" si="2"/>
        <v>0</v>
      </c>
    </row>
    <row r="61" spans="2:7" ht="36">
      <c r="B61" s="125">
        <v>18</v>
      </c>
      <c r="C61" s="171" t="s">
        <v>1689</v>
      </c>
      <c r="D61" s="277" t="s">
        <v>60</v>
      </c>
      <c r="E61" s="173">
        <v>62</v>
      </c>
      <c r="F61" s="174">
        <v>0</v>
      </c>
      <c r="G61" s="175">
        <f t="shared" si="2"/>
        <v>0</v>
      </c>
    </row>
    <row r="62" spans="2:7" ht="48">
      <c r="B62" s="125">
        <v>19</v>
      </c>
      <c r="C62" s="171" t="s">
        <v>87</v>
      </c>
      <c r="D62" s="277" t="s">
        <v>78</v>
      </c>
      <c r="E62" s="173">
        <v>4405</v>
      </c>
      <c r="F62" s="174">
        <v>0</v>
      </c>
      <c r="G62" s="175">
        <f t="shared" si="2"/>
        <v>0</v>
      </c>
    </row>
    <row r="63" spans="2:7" ht="51.75" customHeight="1">
      <c r="B63" s="125">
        <v>20</v>
      </c>
      <c r="C63" s="1193" t="s">
        <v>1501</v>
      </c>
      <c r="D63" s="172" t="s">
        <v>78</v>
      </c>
      <c r="E63" s="173">
        <v>4100</v>
      </c>
      <c r="F63" s="174">
        <v>0</v>
      </c>
      <c r="G63" s="175">
        <f t="shared" si="2"/>
        <v>0</v>
      </c>
    </row>
    <row r="64" spans="2:7" ht="64.5" customHeight="1">
      <c r="B64" s="125">
        <v>21</v>
      </c>
      <c r="C64" s="1193" t="s">
        <v>1503</v>
      </c>
      <c r="D64" s="172" t="s">
        <v>78</v>
      </c>
      <c r="E64" s="173">
        <v>5688</v>
      </c>
      <c r="F64" s="174">
        <v>0</v>
      </c>
      <c r="G64" s="175">
        <f t="shared" si="2"/>
        <v>0</v>
      </c>
    </row>
    <row r="65" spans="2:7" ht="65.25" customHeight="1">
      <c r="B65" s="125">
        <v>22</v>
      </c>
      <c r="C65" s="1316" t="s">
        <v>1759</v>
      </c>
      <c r="D65" s="172" t="s">
        <v>78</v>
      </c>
      <c r="E65" s="173">
        <v>300</v>
      </c>
      <c r="F65" s="174">
        <v>0</v>
      </c>
      <c r="G65" s="175">
        <f t="shared" si="2"/>
        <v>0</v>
      </c>
    </row>
    <row r="66" spans="2:7" ht="51.75" customHeight="1">
      <c r="B66" s="125">
        <v>23</v>
      </c>
      <c r="C66" s="171" t="s">
        <v>1504</v>
      </c>
      <c r="D66" s="172" t="s">
        <v>78</v>
      </c>
      <c r="E66" s="173">
        <v>305</v>
      </c>
      <c r="F66" s="174">
        <v>0</v>
      </c>
      <c r="G66" s="175">
        <f>E66*F66</f>
        <v>0</v>
      </c>
    </row>
    <row r="67" spans="2:7" ht="38.25" customHeight="1">
      <c r="B67" s="125">
        <v>24</v>
      </c>
      <c r="C67" s="171" t="s">
        <v>90</v>
      </c>
      <c r="D67" s="277" t="s">
        <v>78</v>
      </c>
      <c r="E67" s="173">
        <v>970</v>
      </c>
      <c r="F67" s="174">
        <v>0</v>
      </c>
      <c r="G67" s="175">
        <f t="shared" si="2"/>
        <v>0</v>
      </c>
    </row>
    <row r="68" spans="2:7" ht="24">
      <c r="B68" s="125">
        <v>25</v>
      </c>
      <c r="C68" s="171" t="s">
        <v>263</v>
      </c>
      <c r="D68" s="172" t="s">
        <v>74</v>
      </c>
      <c r="E68" s="173">
        <v>2</v>
      </c>
      <c r="F68" s="174">
        <v>0</v>
      </c>
      <c r="G68" s="175">
        <f t="shared" si="2"/>
        <v>0</v>
      </c>
    </row>
    <row r="69" spans="2:7" ht="24">
      <c r="B69" s="125">
        <v>26</v>
      </c>
      <c r="C69" s="171" t="s">
        <v>92</v>
      </c>
      <c r="D69" s="172" t="s">
        <v>74</v>
      </c>
      <c r="E69" s="173">
        <v>3657</v>
      </c>
      <c r="F69" s="174">
        <v>0</v>
      </c>
      <c r="G69" s="175">
        <f t="shared" si="2"/>
        <v>0</v>
      </c>
    </row>
    <row r="70" spans="2:7">
      <c r="B70" s="125">
        <v>27</v>
      </c>
      <c r="C70" s="171" t="s">
        <v>93</v>
      </c>
      <c r="D70" s="172" t="s">
        <v>74</v>
      </c>
      <c r="E70" s="173">
        <v>3657</v>
      </c>
      <c r="F70" s="174">
        <v>0</v>
      </c>
      <c r="G70" s="175">
        <f t="shared" si="2"/>
        <v>0</v>
      </c>
    </row>
    <row r="71" spans="2:7" ht="24">
      <c r="B71" s="125">
        <v>28</v>
      </c>
      <c r="C71" s="171" t="s">
        <v>1760</v>
      </c>
      <c r="D71" s="172" t="s">
        <v>78</v>
      </c>
      <c r="E71" s="173">
        <v>3820</v>
      </c>
      <c r="F71" s="174">
        <v>0</v>
      </c>
      <c r="G71" s="175">
        <f t="shared" si="2"/>
        <v>0</v>
      </c>
    </row>
    <row r="72" spans="2:7" ht="30" customHeight="1">
      <c r="B72" s="125">
        <v>29</v>
      </c>
      <c r="C72" s="171" t="s">
        <v>95</v>
      </c>
      <c r="D72" s="277" t="s">
        <v>78</v>
      </c>
      <c r="E72" s="173">
        <v>2055</v>
      </c>
      <c r="F72" s="174">
        <v>0</v>
      </c>
      <c r="G72" s="175">
        <f t="shared" si="2"/>
        <v>0</v>
      </c>
    </row>
    <row r="73" spans="2:7" ht="39.75" customHeight="1">
      <c r="B73" s="2406">
        <v>30</v>
      </c>
      <c r="C73" s="177" t="s">
        <v>295</v>
      </c>
      <c r="D73" s="140"/>
      <c r="E73" s="128"/>
      <c r="F73" s="141"/>
      <c r="G73" s="142"/>
    </row>
    <row r="74" spans="2:7" s="166" customFormat="1">
      <c r="B74" s="2417"/>
      <c r="C74" s="195" t="s">
        <v>1482</v>
      </c>
      <c r="D74" s="194" t="s">
        <v>57</v>
      </c>
      <c r="E74" s="128">
        <v>6</v>
      </c>
      <c r="F74" s="141">
        <v>0</v>
      </c>
      <c r="G74" s="142">
        <f t="shared" ref="G74" si="3">E74*F74</f>
        <v>0</v>
      </c>
    </row>
    <row r="75" spans="2:7" ht="25.5" customHeight="1">
      <c r="B75" s="125">
        <v>31</v>
      </c>
      <c r="C75" s="274" t="s">
        <v>96</v>
      </c>
      <c r="D75" s="277" t="s">
        <v>57</v>
      </c>
      <c r="E75" s="173">
        <v>80</v>
      </c>
      <c r="F75" s="174">
        <v>0</v>
      </c>
      <c r="G75" s="175">
        <f t="shared" si="2"/>
        <v>0</v>
      </c>
    </row>
    <row r="76" spans="2:7" ht="25.5" customHeight="1">
      <c r="B76" s="125">
        <v>32</v>
      </c>
      <c r="C76" s="274" t="s">
        <v>268</v>
      </c>
      <c r="D76" s="277" t="s">
        <v>57</v>
      </c>
      <c r="E76" s="173">
        <v>34</v>
      </c>
      <c r="F76" s="174">
        <v>0</v>
      </c>
      <c r="G76" s="175">
        <f t="shared" si="2"/>
        <v>0</v>
      </c>
    </row>
    <row r="77" spans="2:7" ht="29.25" customHeight="1">
      <c r="B77" s="125">
        <v>33</v>
      </c>
      <c r="C77" s="1317" t="s">
        <v>269</v>
      </c>
      <c r="D77" s="1221" t="s">
        <v>74</v>
      </c>
      <c r="E77" s="173">
        <v>14</v>
      </c>
      <c r="F77" s="174">
        <v>0</v>
      </c>
      <c r="G77" s="175">
        <f t="shared" si="2"/>
        <v>0</v>
      </c>
    </row>
    <row r="78" spans="2:7" ht="36.75" customHeight="1">
      <c r="B78" s="125">
        <v>34</v>
      </c>
      <c r="C78" s="1269" t="s">
        <v>270</v>
      </c>
      <c r="D78" s="1221" t="s">
        <v>66</v>
      </c>
      <c r="E78" s="173">
        <v>254</v>
      </c>
      <c r="F78" s="174">
        <v>0</v>
      </c>
      <c r="G78" s="175">
        <f t="shared" si="2"/>
        <v>0</v>
      </c>
    </row>
    <row r="79" spans="2:7" ht="30" customHeight="1">
      <c r="B79" s="125">
        <v>35</v>
      </c>
      <c r="C79" s="1269" t="s">
        <v>99</v>
      </c>
      <c r="D79" s="1221" t="s">
        <v>74</v>
      </c>
      <c r="E79" s="173">
        <v>8</v>
      </c>
      <c r="F79" s="174">
        <v>0</v>
      </c>
      <c r="G79" s="175">
        <f t="shared" si="2"/>
        <v>0</v>
      </c>
    </row>
    <row r="80" spans="2:7" ht="28.5" customHeight="1">
      <c r="B80" s="125">
        <v>36</v>
      </c>
      <c r="C80" s="1269" t="s">
        <v>100</v>
      </c>
      <c r="D80" s="1221" t="s">
        <v>65</v>
      </c>
      <c r="E80" s="173">
        <v>520</v>
      </c>
      <c r="F80" s="174">
        <v>0</v>
      </c>
      <c r="G80" s="175">
        <f t="shared" si="2"/>
        <v>0</v>
      </c>
    </row>
    <row r="81" spans="1:7">
      <c r="B81" s="151" t="s">
        <v>45</v>
      </c>
      <c r="C81" s="152" t="s">
        <v>101</v>
      </c>
      <c r="D81" s="185"/>
      <c r="E81" s="154"/>
      <c r="F81" s="155"/>
      <c r="G81" s="263">
        <f>SUM(G42:G80)</f>
        <v>0</v>
      </c>
    </row>
    <row r="82" spans="1:7">
      <c r="B82" s="125"/>
      <c r="C82" s="126"/>
      <c r="D82" s="140"/>
      <c r="E82" s="128"/>
      <c r="F82" s="129"/>
      <c r="G82" s="130"/>
    </row>
    <row r="83" spans="1:7">
      <c r="B83" s="1202" t="s">
        <v>50</v>
      </c>
      <c r="C83" s="1203" t="s">
        <v>51</v>
      </c>
      <c r="D83" s="1203" t="s">
        <v>52</v>
      </c>
      <c r="E83" s="1204" t="s">
        <v>53</v>
      </c>
      <c r="F83" s="1205" t="s">
        <v>54</v>
      </c>
      <c r="G83" s="1206" t="s">
        <v>55</v>
      </c>
    </row>
    <row r="84" spans="1:7">
      <c r="B84" s="125"/>
      <c r="C84" s="126"/>
      <c r="D84" s="140"/>
      <c r="E84" s="128"/>
      <c r="F84" s="129"/>
      <c r="G84" s="130"/>
    </row>
    <row r="85" spans="1:7" s="138" customFormat="1" ht="20.25">
      <c r="B85" s="186" t="s">
        <v>47</v>
      </c>
      <c r="C85" s="187" t="s">
        <v>102</v>
      </c>
      <c r="D85" s="165"/>
      <c r="E85" s="134"/>
      <c r="F85" s="135"/>
      <c r="G85" s="136"/>
    </row>
    <row r="86" spans="1:7" s="14" customFormat="1" ht="18" customHeight="1">
      <c r="A86" s="9"/>
      <c r="B86" s="10" t="s">
        <v>38</v>
      </c>
      <c r="C86" s="11"/>
      <c r="D86" s="1177"/>
      <c r="E86" s="12"/>
      <c r="F86" s="12"/>
      <c r="G86" s="13"/>
    </row>
    <row r="87" spans="1:7" s="14" customFormat="1" ht="18" customHeight="1">
      <c r="A87" s="15"/>
      <c r="B87" s="16" t="s">
        <v>39</v>
      </c>
      <c r="C87" s="17"/>
      <c r="D87" s="1179"/>
      <c r="E87" s="19"/>
      <c r="F87" s="19"/>
      <c r="G87" s="18"/>
    </row>
    <row r="88" spans="1:7" s="14" customFormat="1" ht="18" customHeight="1">
      <c r="A88" s="9"/>
      <c r="B88" s="10" t="s">
        <v>4</v>
      </c>
      <c r="C88" s="11"/>
      <c r="D88" s="1180"/>
      <c r="E88" s="12"/>
      <c r="F88" s="12"/>
      <c r="G88" s="13"/>
    </row>
    <row r="89" spans="1:7" s="14" customFormat="1" ht="18" customHeight="1">
      <c r="A89" s="15"/>
      <c r="B89" s="16" t="s">
        <v>5</v>
      </c>
      <c r="C89" s="17"/>
      <c r="D89" s="1181"/>
      <c r="E89" s="19"/>
      <c r="F89" s="19"/>
      <c r="G89" s="18"/>
    </row>
    <row r="90" spans="1:7" s="166" customFormat="1" ht="30" customHeight="1">
      <c r="B90" s="2436" t="s">
        <v>103</v>
      </c>
      <c r="C90" s="2437"/>
      <c r="D90" s="2437"/>
      <c r="E90" s="2437"/>
      <c r="F90" s="2437"/>
      <c r="G90" s="2438"/>
    </row>
    <row r="91" spans="1:7" s="166" customFormat="1" ht="18.75" customHeight="1">
      <c r="B91" s="2399" t="s">
        <v>104</v>
      </c>
      <c r="C91" s="2400"/>
      <c r="D91" s="2400"/>
      <c r="E91" s="2400"/>
      <c r="F91" s="2400"/>
      <c r="G91" s="2401"/>
    </row>
    <row r="92" spans="1:7" s="166" customFormat="1" ht="18.75" customHeight="1">
      <c r="B92" s="2399" t="s">
        <v>105</v>
      </c>
      <c r="C92" s="2400"/>
      <c r="D92" s="2400"/>
      <c r="E92" s="2400"/>
      <c r="F92" s="2400"/>
      <c r="G92" s="2401"/>
    </row>
    <row r="93" spans="1:7" ht="30" customHeight="1">
      <c r="B93" s="188">
        <v>1</v>
      </c>
      <c r="C93" s="189" t="s">
        <v>106</v>
      </c>
      <c r="D93" s="190"/>
      <c r="E93" s="128"/>
      <c r="F93" s="129"/>
      <c r="G93" s="130"/>
    </row>
    <row r="94" spans="1:7" s="179" customFormat="1" ht="18.75" customHeight="1">
      <c r="B94" s="191"/>
      <c r="C94" s="192" t="s">
        <v>107</v>
      </c>
      <c r="D94" s="190" t="s">
        <v>57</v>
      </c>
      <c r="E94" s="128">
        <v>1512</v>
      </c>
      <c r="F94" s="141">
        <v>0</v>
      </c>
      <c r="G94" s="142">
        <f t="shared" ref="G94:G104" si="4">E94*F94</f>
        <v>0</v>
      </c>
    </row>
    <row r="95" spans="1:7" s="179" customFormat="1" ht="24.75" customHeight="1">
      <c r="B95" s="191"/>
      <c r="C95" s="192" t="s">
        <v>108</v>
      </c>
      <c r="D95" s="190" t="s">
        <v>57</v>
      </c>
      <c r="E95" s="128">
        <v>168</v>
      </c>
      <c r="F95" s="141">
        <v>0</v>
      </c>
      <c r="G95" s="142">
        <f t="shared" si="4"/>
        <v>0</v>
      </c>
    </row>
    <row r="96" spans="1:7" s="179" customFormat="1" ht="18.75" customHeight="1">
      <c r="B96" s="191"/>
      <c r="C96" s="192" t="s">
        <v>226</v>
      </c>
      <c r="D96" s="190" t="s">
        <v>57</v>
      </c>
      <c r="E96" s="128">
        <v>486</v>
      </c>
      <c r="F96" s="141">
        <v>0</v>
      </c>
      <c r="G96" s="142">
        <f t="shared" si="4"/>
        <v>0</v>
      </c>
    </row>
    <row r="97" spans="2:10" s="179" customFormat="1" ht="27.75" customHeight="1">
      <c r="B97" s="191"/>
      <c r="C97" s="192" t="s">
        <v>227</v>
      </c>
      <c r="D97" s="190" t="s">
        <v>57</v>
      </c>
      <c r="E97" s="128">
        <v>54</v>
      </c>
      <c r="F97" s="141">
        <v>0</v>
      </c>
      <c r="G97" s="142">
        <f t="shared" si="4"/>
        <v>0</v>
      </c>
    </row>
    <row r="98" spans="2:10" s="179" customFormat="1" ht="19.5" customHeight="1">
      <c r="B98" s="191"/>
      <c r="C98" s="192" t="s">
        <v>109</v>
      </c>
      <c r="D98" s="190" t="s">
        <v>57</v>
      </c>
      <c r="E98" s="128">
        <v>1660</v>
      </c>
      <c r="F98" s="141">
        <v>0</v>
      </c>
      <c r="G98" s="142">
        <f t="shared" si="4"/>
        <v>0</v>
      </c>
    </row>
    <row r="99" spans="2:10" s="179" customFormat="1" ht="27.75" customHeight="1">
      <c r="B99" s="191"/>
      <c r="C99" s="192" t="s">
        <v>110</v>
      </c>
      <c r="D99" s="190" t="s">
        <v>57</v>
      </c>
      <c r="E99" s="128">
        <v>184</v>
      </c>
      <c r="F99" s="141">
        <v>0</v>
      </c>
      <c r="G99" s="142">
        <f t="shared" si="4"/>
        <v>0</v>
      </c>
      <c r="J99" s="2371"/>
    </row>
    <row r="100" spans="2:10" s="166" customFormat="1" ht="40.5" customHeight="1">
      <c r="B100" s="2404" t="s">
        <v>111</v>
      </c>
      <c r="C100" s="193" t="s">
        <v>112</v>
      </c>
      <c r="D100" s="194"/>
      <c r="E100" s="128"/>
      <c r="F100" s="141"/>
      <c r="G100" s="142"/>
    </row>
    <row r="101" spans="2:10" s="166" customFormat="1">
      <c r="B101" s="2405"/>
      <c r="C101" s="195" t="s">
        <v>113</v>
      </c>
      <c r="D101" s="194" t="s">
        <v>57</v>
      </c>
      <c r="E101" s="128">
        <v>45</v>
      </c>
      <c r="F101" s="141">
        <v>0</v>
      </c>
      <c r="G101" s="142">
        <f t="shared" ref="G101:G103" si="5">E101*F101</f>
        <v>0</v>
      </c>
    </row>
    <row r="102" spans="2:10" s="166" customFormat="1">
      <c r="B102" s="2405"/>
      <c r="C102" s="195" t="s">
        <v>274</v>
      </c>
      <c r="D102" s="194" t="s">
        <v>57</v>
      </c>
      <c r="E102" s="128">
        <v>72</v>
      </c>
      <c r="F102" s="141">
        <v>0</v>
      </c>
      <c r="G102" s="142">
        <f t="shared" si="5"/>
        <v>0</v>
      </c>
    </row>
    <row r="103" spans="2:10" s="166" customFormat="1">
      <c r="B103" s="2413"/>
      <c r="C103" s="195" t="s">
        <v>275</v>
      </c>
      <c r="D103" s="194" t="s">
        <v>57</v>
      </c>
      <c r="E103" s="128">
        <v>42</v>
      </c>
      <c r="F103" s="141">
        <v>0</v>
      </c>
      <c r="G103" s="142">
        <f t="shared" si="5"/>
        <v>0</v>
      </c>
    </row>
    <row r="104" spans="2:10" ht="40.5" customHeight="1">
      <c r="B104" s="196">
        <v>2</v>
      </c>
      <c r="C104" s="197" t="s">
        <v>114</v>
      </c>
      <c r="D104" s="145" t="s">
        <v>57</v>
      </c>
      <c r="E104" s="128">
        <v>4064</v>
      </c>
      <c r="F104" s="141">
        <v>0</v>
      </c>
      <c r="G104" s="142">
        <f t="shared" si="4"/>
        <v>0</v>
      </c>
    </row>
    <row r="105" spans="2:10" ht="41.25" customHeight="1">
      <c r="B105" s="199" t="s">
        <v>115</v>
      </c>
      <c r="C105" s="197" t="s">
        <v>116</v>
      </c>
      <c r="D105" s="145" t="s">
        <v>57</v>
      </c>
      <c r="E105" s="128">
        <v>4064</v>
      </c>
      <c r="F105" s="141">
        <v>0</v>
      </c>
      <c r="G105" s="142">
        <f>E105*F105</f>
        <v>0</v>
      </c>
    </row>
    <row r="106" spans="2:10" ht="27" customHeight="1">
      <c r="B106" s="199" t="s">
        <v>117</v>
      </c>
      <c r="C106" s="197" t="s">
        <v>118</v>
      </c>
      <c r="D106" s="145" t="s">
        <v>57</v>
      </c>
      <c r="E106" s="128">
        <v>4064</v>
      </c>
      <c r="F106" s="141">
        <v>0</v>
      </c>
      <c r="G106" s="142">
        <f>E106*F106</f>
        <v>0</v>
      </c>
    </row>
    <row r="107" spans="2:10" ht="39" customHeight="1">
      <c r="B107" s="199" t="s">
        <v>119</v>
      </c>
      <c r="C107" s="197" t="s">
        <v>120</v>
      </c>
      <c r="D107" s="145" t="s">
        <v>57</v>
      </c>
      <c r="E107" s="128">
        <v>4064</v>
      </c>
      <c r="F107" s="141">
        <v>0</v>
      </c>
      <c r="G107" s="142">
        <f>E107*F107</f>
        <v>0</v>
      </c>
    </row>
    <row r="108" spans="2:10" ht="27.75" customHeight="1">
      <c r="B108" s="188">
        <v>3</v>
      </c>
      <c r="C108" s="200" t="s">
        <v>121</v>
      </c>
      <c r="D108" s="140"/>
      <c r="E108" s="128"/>
      <c r="F108" s="128"/>
      <c r="G108" s="130"/>
    </row>
    <row r="109" spans="2:10">
      <c r="B109" s="201" t="s">
        <v>122</v>
      </c>
      <c r="C109" s="1256" t="s">
        <v>123</v>
      </c>
      <c r="D109" s="209"/>
      <c r="E109" s="204"/>
      <c r="F109" s="205"/>
      <c r="G109" s="206"/>
    </row>
    <row r="110" spans="2:10">
      <c r="B110" s="125"/>
      <c r="C110" s="1256" t="s">
        <v>124</v>
      </c>
      <c r="D110" s="209"/>
      <c r="E110" s="204"/>
      <c r="F110" s="205"/>
      <c r="G110" s="206"/>
    </row>
    <row r="111" spans="2:10" s="179" customFormat="1" ht="18" customHeight="1">
      <c r="B111" s="207"/>
      <c r="C111" s="1227" t="s">
        <v>199</v>
      </c>
      <c r="D111" s="209" t="s">
        <v>66</v>
      </c>
      <c r="E111" s="204">
        <v>50</v>
      </c>
      <c r="F111" s="210">
        <v>0</v>
      </c>
      <c r="G111" s="211">
        <f t="shared" ref="G111:G112" si="6">E111*F111</f>
        <v>0</v>
      </c>
    </row>
    <row r="112" spans="2:10" s="179" customFormat="1" ht="18" customHeight="1">
      <c r="B112" s="207"/>
      <c r="C112" s="1227" t="s">
        <v>125</v>
      </c>
      <c r="D112" s="209" t="s">
        <v>66</v>
      </c>
      <c r="E112" s="204">
        <v>20</v>
      </c>
      <c r="F112" s="210">
        <v>0</v>
      </c>
      <c r="G112" s="211">
        <f t="shared" si="6"/>
        <v>0</v>
      </c>
    </row>
    <row r="113" spans="2:9">
      <c r="B113" s="125"/>
      <c r="C113" s="1256" t="s">
        <v>311</v>
      </c>
      <c r="D113" s="209"/>
      <c r="E113" s="204"/>
      <c r="F113" s="210">
        <v>0</v>
      </c>
      <c r="G113" s="206"/>
    </row>
    <row r="114" spans="2:9" s="179" customFormat="1" ht="18" customHeight="1">
      <c r="B114" s="207"/>
      <c r="C114" s="1227" t="s">
        <v>312</v>
      </c>
      <c r="D114" s="209" t="s">
        <v>66</v>
      </c>
      <c r="E114" s="204">
        <v>12</v>
      </c>
      <c r="F114" s="210">
        <v>0</v>
      </c>
      <c r="G114" s="211">
        <f t="shared" ref="G114:G115" si="7">E114*F114</f>
        <v>0</v>
      </c>
    </row>
    <row r="115" spans="2:9" s="179" customFormat="1" ht="18" customHeight="1">
      <c r="B115" s="207"/>
      <c r="C115" s="1227" t="s">
        <v>313</v>
      </c>
      <c r="D115" s="209" t="s">
        <v>66</v>
      </c>
      <c r="E115" s="204">
        <v>2</v>
      </c>
      <c r="F115" s="210">
        <v>0</v>
      </c>
      <c r="G115" s="211">
        <f t="shared" si="7"/>
        <v>0</v>
      </c>
    </row>
    <row r="116" spans="2:9" s="217" customFormat="1">
      <c r="B116" s="201" t="s">
        <v>126</v>
      </c>
      <c r="C116" s="212" t="s">
        <v>127</v>
      </c>
      <c r="D116" s="1228"/>
      <c r="E116" s="214"/>
      <c r="F116" s="215">
        <v>0</v>
      </c>
      <c r="G116" s="216"/>
    </row>
    <row r="117" spans="2:9" s="217" customFormat="1">
      <c r="B117" s="218"/>
      <c r="C117" s="212" t="s">
        <v>128</v>
      </c>
      <c r="D117" s="1228"/>
      <c r="E117" s="214"/>
      <c r="F117" s="215">
        <v>0</v>
      </c>
      <c r="G117" s="216"/>
    </row>
    <row r="118" spans="2:9" s="1229" customFormat="1">
      <c r="B118" s="1318"/>
      <c r="C118" s="219" t="s">
        <v>129</v>
      </c>
      <c r="D118" s="1228" t="s">
        <v>66</v>
      </c>
      <c r="E118" s="214">
        <v>5</v>
      </c>
      <c r="F118" s="220">
        <v>0</v>
      </c>
      <c r="G118" s="221">
        <f t="shared" ref="G118:G124" si="8">E118*F118</f>
        <v>0</v>
      </c>
      <c r="H118" s="217"/>
      <c r="I118" s="1319"/>
    </row>
    <row r="119" spans="2:9" s="217" customFormat="1" ht="38.25" customHeight="1">
      <c r="B119" s="218"/>
      <c r="C119" s="222" t="s">
        <v>130</v>
      </c>
      <c r="D119" s="1228" t="s">
        <v>66</v>
      </c>
      <c r="E119" s="214">
        <v>5</v>
      </c>
      <c r="F119" s="220">
        <v>0</v>
      </c>
      <c r="G119" s="221">
        <f t="shared" si="8"/>
        <v>0</v>
      </c>
      <c r="I119" s="1320"/>
    </row>
    <row r="120" spans="2:9" s="217" customFormat="1">
      <c r="B120" s="218"/>
      <c r="C120" s="222" t="s">
        <v>131</v>
      </c>
      <c r="D120" s="1228" t="s">
        <v>66</v>
      </c>
      <c r="E120" s="214">
        <v>5</v>
      </c>
      <c r="F120" s="220">
        <v>0</v>
      </c>
      <c r="G120" s="221">
        <f t="shared" si="8"/>
        <v>0</v>
      </c>
      <c r="I120" s="1320"/>
    </row>
    <row r="121" spans="2:9" s="217" customFormat="1">
      <c r="B121" s="218"/>
      <c r="C121" s="222" t="s">
        <v>132</v>
      </c>
      <c r="D121" s="1228" t="s">
        <v>66</v>
      </c>
      <c r="E121" s="214">
        <v>10</v>
      </c>
      <c r="F121" s="220">
        <v>0</v>
      </c>
      <c r="G121" s="221">
        <f t="shared" si="8"/>
        <v>0</v>
      </c>
      <c r="I121" s="1320"/>
    </row>
    <row r="122" spans="2:9" s="217" customFormat="1">
      <c r="B122" s="218"/>
      <c r="C122" s="222" t="s">
        <v>1761</v>
      </c>
      <c r="D122" s="1228" t="s">
        <v>66</v>
      </c>
      <c r="E122" s="214">
        <v>10</v>
      </c>
      <c r="F122" s="220">
        <v>0</v>
      </c>
      <c r="G122" s="221">
        <f t="shared" si="8"/>
        <v>0</v>
      </c>
      <c r="I122" s="1320"/>
    </row>
    <row r="123" spans="2:9" s="217" customFormat="1">
      <c r="B123" s="218"/>
      <c r="C123" s="222" t="s">
        <v>134</v>
      </c>
      <c r="D123" s="1228" t="s">
        <v>66</v>
      </c>
      <c r="E123" s="214">
        <v>5</v>
      </c>
      <c r="F123" s="220">
        <v>0</v>
      </c>
      <c r="G123" s="221">
        <f t="shared" si="8"/>
        <v>0</v>
      </c>
      <c r="I123" s="1320"/>
    </row>
    <row r="124" spans="2:9" s="217" customFormat="1">
      <c r="B124" s="218"/>
      <c r="C124" s="222" t="s">
        <v>1537</v>
      </c>
      <c r="D124" s="1228" t="s">
        <v>66</v>
      </c>
      <c r="E124" s="214">
        <v>5</v>
      </c>
      <c r="F124" s="220">
        <v>0</v>
      </c>
      <c r="G124" s="221">
        <f t="shared" si="8"/>
        <v>0</v>
      </c>
      <c r="I124" s="1320"/>
    </row>
    <row r="125" spans="2:9" s="217" customFormat="1">
      <c r="B125" s="201" t="s">
        <v>136</v>
      </c>
      <c r="C125" s="212" t="s">
        <v>1543</v>
      </c>
      <c r="D125" s="1228"/>
      <c r="E125" s="214"/>
      <c r="F125" s="215"/>
      <c r="G125" s="216"/>
    </row>
    <row r="126" spans="2:9" s="217" customFormat="1">
      <c r="B126" s="218"/>
      <c r="C126" s="212" t="s">
        <v>1586</v>
      </c>
      <c r="D126" s="1228"/>
      <c r="E126" s="214"/>
      <c r="F126" s="215">
        <v>0</v>
      </c>
      <c r="G126" s="216"/>
    </row>
    <row r="127" spans="2:9" s="1229" customFormat="1">
      <c r="B127" s="1318"/>
      <c r="C127" s="219" t="s">
        <v>129</v>
      </c>
      <c r="D127" s="1228" t="s">
        <v>66</v>
      </c>
      <c r="E127" s="214">
        <v>12</v>
      </c>
      <c r="F127" s="220">
        <v>0</v>
      </c>
      <c r="G127" s="221">
        <f t="shared" ref="G127:G139" si="9">E127*F127</f>
        <v>0</v>
      </c>
      <c r="H127" s="217"/>
    </row>
    <row r="128" spans="2:9" s="217" customFormat="1" ht="14.25" customHeight="1">
      <c r="B128" s="218"/>
      <c r="C128" s="222" t="s">
        <v>140</v>
      </c>
      <c r="D128" s="1228" t="s">
        <v>66</v>
      </c>
      <c r="E128" s="214">
        <v>12</v>
      </c>
      <c r="F128" s="220">
        <v>0</v>
      </c>
      <c r="G128" s="221">
        <f t="shared" si="9"/>
        <v>0</v>
      </c>
    </row>
    <row r="129" spans="2:8" s="217" customFormat="1">
      <c r="B129" s="218"/>
      <c r="C129" s="222" t="s">
        <v>155</v>
      </c>
      <c r="D129" s="1228" t="s">
        <v>66</v>
      </c>
      <c r="E129" s="214">
        <v>12</v>
      </c>
      <c r="F129" s="220">
        <v>0</v>
      </c>
      <c r="G129" s="221">
        <f t="shared" si="9"/>
        <v>0</v>
      </c>
    </row>
    <row r="130" spans="2:8" s="217" customFormat="1">
      <c r="B130" s="218"/>
      <c r="C130" s="222" t="s">
        <v>330</v>
      </c>
      <c r="D130" s="1228" t="s">
        <v>66</v>
      </c>
      <c r="E130" s="214">
        <v>12</v>
      </c>
      <c r="F130" s="220">
        <v>0</v>
      </c>
      <c r="G130" s="221">
        <f t="shared" si="9"/>
        <v>0</v>
      </c>
    </row>
    <row r="131" spans="2:8" s="217" customFormat="1">
      <c r="B131" s="218"/>
      <c r="C131" s="222" t="s">
        <v>1762</v>
      </c>
      <c r="D131" s="1228" t="s">
        <v>66</v>
      </c>
      <c r="E131" s="214">
        <v>7</v>
      </c>
      <c r="F131" s="220">
        <v>0</v>
      </c>
      <c r="G131" s="221">
        <f t="shared" si="9"/>
        <v>0</v>
      </c>
    </row>
    <row r="132" spans="2:8" s="217" customFormat="1">
      <c r="B132" s="218"/>
      <c r="C132" s="222" t="s">
        <v>157</v>
      </c>
      <c r="D132" s="1228" t="s">
        <v>66</v>
      </c>
      <c r="E132" s="214">
        <v>12</v>
      </c>
      <c r="F132" s="220">
        <v>0</v>
      </c>
      <c r="G132" s="221">
        <f t="shared" si="9"/>
        <v>0</v>
      </c>
    </row>
    <row r="133" spans="2:8" s="217" customFormat="1">
      <c r="B133" s="218"/>
      <c r="C133" s="1230" t="s">
        <v>158</v>
      </c>
      <c r="D133" s="1228" t="s">
        <v>66</v>
      </c>
      <c r="E133" s="214">
        <v>12</v>
      </c>
      <c r="F133" s="220">
        <v>0</v>
      </c>
      <c r="G133" s="221">
        <f t="shared" si="9"/>
        <v>0</v>
      </c>
    </row>
    <row r="134" spans="2:8" s="217" customFormat="1">
      <c r="B134" s="218"/>
      <c r="C134" s="1230" t="s">
        <v>132</v>
      </c>
      <c r="D134" s="1228" t="s">
        <v>66</v>
      </c>
      <c r="E134" s="214">
        <v>24</v>
      </c>
      <c r="F134" s="220">
        <v>0</v>
      </c>
      <c r="G134" s="221">
        <f t="shared" si="9"/>
        <v>0</v>
      </c>
    </row>
    <row r="135" spans="2:8" s="217" customFormat="1">
      <c r="B135" s="218"/>
      <c r="C135" s="1230" t="s">
        <v>202</v>
      </c>
      <c r="D135" s="1228" t="s">
        <v>66</v>
      </c>
      <c r="E135" s="214">
        <v>24</v>
      </c>
      <c r="F135" s="220">
        <v>0</v>
      </c>
      <c r="G135" s="221">
        <f t="shared" si="9"/>
        <v>0</v>
      </c>
    </row>
    <row r="136" spans="2:8" s="217" customFormat="1">
      <c r="B136" s="218"/>
      <c r="C136" s="1230" t="s">
        <v>2107</v>
      </c>
      <c r="D136" s="1228" t="s">
        <v>66</v>
      </c>
      <c r="E136" s="214">
        <v>1</v>
      </c>
      <c r="F136" s="220">
        <v>0</v>
      </c>
      <c r="G136" s="221">
        <f t="shared" si="9"/>
        <v>0</v>
      </c>
    </row>
    <row r="137" spans="2:8" s="217" customFormat="1">
      <c r="B137" s="218"/>
      <c r="C137" s="1230" t="s">
        <v>150</v>
      </c>
      <c r="D137" s="1228" t="s">
        <v>66</v>
      </c>
      <c r="E137" s="214">
        <v>12</v>
      </c>
      <c r="F137" s="220">
        <v>0</v>
      </c>
      <c r="G137" s="221">
        <f t="shared" si="9"/>
        <v>0</v>
      </c>
    </row>
    <row r="138" spans="2:8" s="217" customFormat="1">
      <c r="B138" s="218"/>
      <c r="C138" s="1231" t="s">
        <v>1537</v>
      </c>
      <c r="D138" s="1228" t="s">
        <v>66</v>
      </c>
      <c r="E138" s="214">
        <v>12</v>
      </c>
      <c r="F138" s="220">
        <v>0</v>
      </c>
      <c r="G138" s="221">
        <f t="shared" si="9"/>
        <v>0</v>
      </c>
    </row>
    <row r="139" spans="2:8" ht="30" customHeight="1">
      <c r="B139" s="199" t="s">
        <v>1587</v>
      </c>
      <c r="C139" s="212" t="s">
        <v>332</v>
      </c>
      <c r="D139" s="1228" t="s">
        <v>66</v>
      </c>
      <c r="E139" s="214">
        <v>12</v>
      </c>
      <c r="F139" s="220">
        <v>0</v>
      </c>
      <c r="G139" s="221">
        <f t="shared" si="9"/>
        <v>0</v>
      </c>
    </row>
    <row r="140" spans="2:8" s="217" customFormat="1">
      <c r="B140" s="201" t="s">
        <v>151</v>
      </c>
      <c r="C140" s="223" t="s">
        <v>160</v>
      </c>
      <c r="D140" s="1232"/>
      <c r="E140" s="225"/>
      <c r="F140" s="226"/>
      <c r="G140" s="227"/>
    </row>
    <row r="141" spans="2:8" s="217" customFormat="1">
      <c r="B141" s="218"/>
      <c r="C141" s="223" t="s">
        <v>196</v>
      </c>
      <c r="D141" s="1232"/>
      <c r="E141" s="225"/>
      <c r="F141" s="226">
        <v>0</v>
      </c>
      <c r="G141" s="227"/>
    </row>
    <row r="142" spans="2:8" s="1229" customFormat="1" ht="26.25" customHeight="1">
      <c r="B142" s="1318"/>
      <c r="C142" s="228" t="s">
        <v>2067</v>
      </c>
      <c r="D142" s="1232" t="s">
        <v>66</v>
      </c>
      <c r="E142" s="225">
        <v>4</v>
      </c>
      <c r="F142" s="229">
        <v>0</v>
      </c>
      <c r="G142" s="230">
        <f t="shared" ref="G142:G148" si="10">E142*F142</f>
        <v>0</v>
      </c>
      <c r="H142" s="217"/>
    </row>
    <row r="143" spans="2:8" s="217" customFormat="1" ht="14.25" customHeight="1">
      <c r="B143" s="218"/>
      <c r="C143" s="228" t="s">
        <v>2106</v>
      </c>
      <c r="D143" s="1232" t="s">
        <v>66</v>
      </c>
      <c r="E143" s="225">
        <v>1</v>
      </c>
      <c r="F143" s="229">
        <v>0</v>
      </c>
      <c r="G143" s="230">
        <f t="shared" si="10"/>
        <v>0</v>
      </c>
    </row>
    <row r="144" spans="2:8" s="217" customFormat="1" ht="14.25" customHeight="1">
      <c r="B144" s="218"/>
      <c r="C144" s="228" t="s">
        <v>213</v>
      </c>
      <c r="D144" s="1232" t="s">
        <v>66</v>
      </c>
      <c r="E144" s="225">
        <v>2</v>
      </c>
      <c r="F144" s="229">
        <v>0</v>
      </c>
      <c r="G144" s="230">
        <f t="shared" si="10"/>
        <v>0</v>
      </c>
    </row>
    <row r="145" spans="2:8" s="217" customFormat="1">
      <c r="B145" s="218"/>
      <c r="C145" s="279" t="s">
        <v>132</v>
      </c>
      <c r="D145" s="1232" t="s">
        <v>66</v>
      </c>
      <c r="E145" s="225">
        <v>13</v>
      </c>
      <c r="F145" s="229">
        <v>0</v>
      </c>
      <c r="G145" s="230">
        <f t="shared" si="10"/>
        <v>0</v>
      </c>
    </row>
    <row r="146" spans="2:8" s="217" customFormat="1">
      <c r="B146" s="218"/>
      <c r="C146" s="279" t="s">
        <v>202</v>
      </c>
      <c r="D146" s="1232" t="s">
        <v>66</v>
      </c>
      <c r="E146" s="225">
        <v>13</v>
      </c>
      <c r="F146" s="229">
        <v>0</v>
      </c>
      <c r="G146" s="230">
        <f t="shared" si="10"/>
        <v>0</v>
      </c>
    </row>
    <row r="147" spans="2:8" s="217" customFormat="1">
      <c r="B147" s="218"/>
      <c r="C147" s="279" t="s">
        <v>150</v>
      </c>
      <c r="D147" s="1232" t="s">
        <v>66</v>
      </c>
      <c r="E147" s="225">
        <v>5</v>
      </c>
      <c r="F147" s="229">
        <v>0</v>
      </c>
      <c r="G147" s="230">
        <f t="shared" si="10"/>
        <v>0</v>
      </c>
    </row>
    <row r="148" spans="2:8" s="217" customFormat="1">
      <c r="B148" s="218"/>
      <c r="C148" s="1233" t="s">
        <v>1537</v>
      </c>
      <c r="D148" s="1232" t="s">
        <v>66</v>
      </c>
      <c r="E148" s="225">
        <v>5</v>
      </c>
      <c r="F148" s="229">
        <v>0</v>
      </c>
      <c r="G148" s="230">
        <f t="shared" si="10"/>
        <v>0</v>
      </c>
    </row>
    <row r="149" spans="2:8" s="217" customFormat="1">
      <c r="B149" s="218"/>
      <c r="C149" s="223" t="s">
        <v>228</v>
      </c>
      <c r="D149" s="1232"/>
      <c r="E149" s="225"/>
      <c r="F149" s="225"/>
      <c r="G149" s="227"/>
    </row>
    <row r="150" spans="2:8" s="1229" customFormat="1" ht="28.5" customHeight="1">
      <c r="B150" s="1318"/>
      <c r="C150" s="228" t="s">
        <v>2066</v>
      </c>
      <c r="D150" s="1232" t="s">
        <v>66</v>
      </c>
      <c r="E150" s="225">
        <v>10</v>
      </c>
      <c r="F150" s="229">
        <v>0</v>
      </c>
      <c r="G150" s="230">
        <f t="shared" ref="G150:G160" si="11">E150*F150</f>
        <v>0</v>
      </c>
      <c r="H150" s="217"/>
    </row>
    <row r="151" spans="2:8" s="217" customFormat="1">
      <c r="B151" s="218"/>
      <c r="C151" s="279" t="s">
        <v>2105</v>
      </c>
      <c r="D151" s="1232" t="s">
        <v>66</v>
      </c>
      <c r="E151" s="225">
        <v>8</v>
      </c>
      <c r="F151" s="229">
        <v>0</v>
      </c>
      <c r="G151" s="230">
        <f t="shared" si="11"/>
        <v>0</v>
      </c>
    </row>
    <row r="152" spans="2:8" s="217" customFormat="1" ht="15" customHeight="1">
      <c r="B152" s="218"/>
      <c r="C152" s="228" t="s">
        <v>2104</v>
      </c>
      <c r="D152" s="1232" t="s">
        <v>66</v>
      </c>
      <c r="E152" s="225">
        <v>8</v>
      </c>
      <c r="F152" s="229">
        <v>0</v>
      </c>
      <c r="G152" s="230">
        <f t="shared" si="11"/>
        <v>0</v>
      </c>
    </row>
    <row r="153" spans="2:8" s="217" customFormat="1">
      <c r="B153" s="218"/>
      <c r="C153" s="279" t="s">
        <v>132</v>
      </c>
      <c r="D153" s="1232" t="s">
        <v>66</v>
      </c>
      <c r="E153" s="225">
        <v>18</v>
      </c>
      <c r="F153" s="229">
        <v>0</v>
      </c>
      <c r="G153" s="230">
        <f t="shared" si="11"/>
        <v>0</v>
      </c>
    </row>
    <row r="154" spans="2:8" s="217" customFormat="1">
      <c r="B154" s="218"/>
      <c r="C154" s="279" t="s">
        <v>166</v>
      </c>
      <c r="D154" s="1232" t="s">
        <v>66</v>
      </c>
      <c r="E154" s="225">
        <v>10</v>
      </c>
      <c r="F154" s="229">
        <v>0</v>
      </c>
      <c r="G154" s="230">
        <f t="shared" si="11"/>
        <v>0</v>
      </c>
    </row>
    <row r="155" spans="2:8" s="217" customFormat="1">
      <c r="B155" s="218"/>
      <c r="C155" s="279" t="s">
        <v>202</v>
      </c>
      <c r="D155" s="1232" t="s">
        <v>66</v>
      </c>
      <c r="E155" s="225">
        <v>19</v>
      </c>
      <c r="F155" s="229">
        <v>0</v>
      </c>
      <c r="G155" s="230">
        <f t="shared" si="11"/>
        <v>0</v>
      </c>
    </row>
    <row r="156" spans="2:8" s="217" customFormat="1">
      <c r="B156" s="218"/>
      <c r="C156" s="279" t="s">
        <v>203</v>
      </c>
      <c r="D156" s="1232" t="s">
        <v>66</v>
      </c>
      <c r="E156" s="225">
        <v>10</v>
      </c>
      <c r="F156" s="229">
        <v>0</v>
      </c>
      <c r="G156" s="230">
        <f t="shared" si="11"/>
        <v>0</v>
      </c>
    </row>
    <row r="157" spans="2:8" s="217" customFormat="1">
      <c r="B157" s="218"/>
      <c r="C157" s="279" t="s">
        <v>1541</v>
      </c>
      <c r="D157" s="1232" t="s">
        <v>66</v>
      </c>
      <c r="E157" s="225">
        <v>10</v>
      </c>
      <c r="F157" s="229">
        <v>0</v>
      </c>
      <c r="G157" s="230">
        <f t="shared" si="11"/>
        <v>0</v>
      </c>
    </row>
    <row r="158" spans="2:8" s="217" customFormat="1">
      <c r="B158" s="218"/>
      <c r="C158" s="279" t="s">
        <v>1542</v>
      </c>
      <c r="D158" s="1232" t="s">
        <v>66</v>
      </c>
      <c r="E158" s="225">
        <v>10</v>
      </c>
      <c r="F158" s="229">
        <v>0</v>
      </c>
      <c r="G158" s="230">
        <f t="shared" si="11"/>
        <v>0</v>
      </c>
    </row>
    <row r="159" spans="2:8" s="217" customFormat="1">
      <c r="B159" s="218"/>
      <c r="C159" s="279" t="s">
        <v>150</v>
      </c>
      <c r="D159" s="1232" t="s">
        <v>66</v>
      </c>
      <c r="E159" s="225">
        <v>18</v>
      </c>
      <c r="F159" s="229">
        <v>0</v>
      </c>
      <c r="G159" s="230">
        <f t="shared" si="11"/>
        <v>0</v>
      </c>
    </row>
    <row r="160" spans="2:8" s="217" customFormat="1">
      <c r="B160" s="218"/>
      <c r="C160" s="1233" t="s">
        <v>1537</v>
      </c>
      <c r="D160" s="1232" t="s">
        <v>66</v>
      </c>
      <c r="E160" s="225">
        <v>18</v>
      </c>
      <c r="F160" s="229">
        <v>0</v>
      </c>
      <c r="G160" s="230">
        <f t="shared" si="11"/>
        <v>0</v>
      </c>
    </row>
    <row r="161" spans="2:7" s="217" customFormat="1">
      <c r="B161" s="201" t="s">
        <v>159</v>
      </c>
      <c r="C161" s="238" t="s">
        <v>169</v>
      </c>
      <c r="D161" s="260"/>
      <c r="E161" s="240"/>
      <c r="F161" s="241"/>
      <c r="G161" s="242"/>
    </row>
    <row r="162" spans="2:7" s="217" customFormat="1">
      <c r="B162" s="218"/>
      <c r="C162" s="238" t="s">
        <v>170</v>
      </c>
      <c r="D162" s="260"/>
      <c r="E162" s="240"/>
      <c r="F162" s="241">
        <v>0</v>
      </c>
      <c r="G162" s="242"/>
    </row>
    <row r="163" spans="2:7" s="217" customFormat="1" ht="36">
      <c r="B163" s="218"/>
      <c r="C163" s="243" t="s">
        <v>2063</v>
      </c>
      <c r="D163" s="260" t="s">
        <v>66</v>
      </c>
      <c r="E163" s="240">
        <v>108</v>
      </c>
      <c r="F163" s="244">
        <v>0</v>
      </c>
      <c r="G163" s="245">
        <f t="shared" ref="G163:G165" si="12">E163*F163</f>
        <v>0</v>
      </c>
    </row>
    <row r="164" spans="2:7" s="217" customFormat="1">
      <c r="B164" s="218"/>
      <c r="C164" s="246" t="s">
        <v>171</v>
      </c>
      <c r="D164" s="260" t="s">
        <v>66</v>
      </c>
      <c r="E164" s="240">
        <v>108</v>
      </c>
      <c r="F164" s="244">
        <v>0</v>
      </c>
      <c r="G164" s="245">
        <f t="shared" si="12"/>
        <v>0</v>
      </c>
    </row>
    <row r="165" spans="2:7" s="217" customFormat="1">
      <c r="B165" s="218"/>
      <c r="C165" s="247" t="s">
        <v>135</v>
      </c>
      <c r="D165" s="260" t="s">
        <v>66</v>
      </c>
      <c r="E165" s="240">
        <v>108</v>
      </c>
      <c r="F165" s="244">
        <v>0</v>
      </c>
      <c r="G165" s="245">
        <f t="shared" si="12"/>
        <v>0</v>
      </c>
    </row>
    <row r="166" spans="2:7" s="217" customFormat="1">
      <c r="B166" s="218"/>
      <c r="C166" s="238" t="s">
        <v>234</v>
      </c>
      <c r="D166" s="260"/>
      <c r="E166" s="240"/>
      <c r="F166" s="241">
        <v>0</v>
      </c>
      <c r="G166" s="242"/>
    </row>
    <row r="167" spans="2:7" s="217" customFormat="1" ht="36">
      <c r="B167" s="218"/>
      <c r="C167" s="243" t="s">
        <v>2074</v>
      </c>
      <c r="D167" s="260" t="s">
        <v>66</v>
      </c>
      <c r="E167" s="240">
        <v>66</v>
      </c>
      <c r="F167" s="244">
        <v>0</v>
      </c>
      <c r="G167" s="245">
        <f t="shared" ref="G167:G169" si="13">E167*F167</f>
        <v>0</v>
      </c>
    </row>
    <row r="168" spans="2:7" s="217" customFormat="1">
      <c r="B168" s="218"/>
      <c r="C168" s="246" t="s">
        <v>171</v>
      </c>
      <c r="D168" s="260" t="s">
        <v>66</v>
      </c>
      <c r="E168" s="240">
        <v>66</v>
      </c>
      <c r="F168" s="244">
        <v>0</v>
      </c>
      <c r="G168" s="245">
        <f t="shared" si="13"/>
        <v>0</v>
      </c>
    </row>
    <row r="169" spans="2:7" s="217" customFormat="1">
      <c r="B169" s="218"/>
      <c r="C169" s="247" t="s">
        <v>135</v>
      </c>
      <c r="D169" s="260" t="s">
        <v>66</v>
      </c>
      <c r="E169" s="240">
        <v>66</v>
      </c>
      <c r="F169" s="244">
        <v>0</v>
      </c>
      <c r="G169" s="245">
        <f t="shared" si="13"/>
        <v>0</v>
      </c>
    </row>
    <row r="170" spans="2:7">
      <c r="B170" s="201" t="s">
        <v>168</v>
      </c>
      <c r="C170" s="248" t="s">
        <v>173</v>
      </c>
      <c r="D170" s="249"/>
      <c r="E170" s="250"/>
      <c r="F170" s="251"/>
      <c r="G170" s="252"/>
    </row>
    <row r="171" spans="2:7" s="217" customFormat="1" ht="63" customHeight="1">
      <c r="B171" s="218"/>
      <c r="C171" s="253" t="s">
        <v>174</v>
      </c>
      <c r="D171" s="1238" t="s">
        <v>66</v>
      </c>
      <c r="E171" s="255">
        <v>174</v>
      </c>
      <c r="F171" s="257">
        <v>0</v>
      </c>
      <c r="G171" s="257">
        <f t="shared" ref="G171" si="14">E171*F171</f>
        <v>0</v>
      </c>
    </row>
    <row r="172" spans="2:7" s="179" customFormat="1" ht="16.5" customHeight="1">
      <c r="B172" s="258" t="s">
        <v>47</v>
      </c>
      <c r="C172" s="259" t="s">
        <v>175</v>
      </c>
      <c r="D172" s="260"/>
      <c r="E172" s="261"/>
      <c r="F172" s="262"/>
      <c r="G172" s="263">
        <f>SUM(G93:G171)</f>
        <v>0</v>
      </c>
    </row>
  </sheetData>
  <mergeCells count="7">
    <mergeCell ref="B100:B103"/>
    <mergeCell ref="B41:G41"/>
    <mergeCell ref="B53:B55"/>
    <mergeCell ref="B73:B74"/>
    <mergeCell ref="B90:G90"/>
    <mergeCell ref="B91:G91"/>
    <mergeCell ref="B92:G92"/>
  </mergeCells>
  <pageMargins left="0.7" right="0.7" top="0.75" bottom="0.75" header="0.3" footer="0.3"/>
  <pageSetup paperSize="9" scale="86" orientation="portrait" r:id="rId1"/>
  <headerFooter alignWithMargins="0">
    <oddFooter>&amp;C&amp;8&amp;P/&amp;N</oddFooter>
  </headerFooter>
  <rowBreaks count="4" manualBreakCount="4">
    <brk id="18" max="16383" man="1"/>
    <brk id="37" max="16383" man="1"/>
    <brk id="82" max="16383" man="1"/>
    <brk id="160"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9CA7-4D69-490C-BC66-32005E2D74A6}">
  <sheetPr>
    <tabColor rgb="FFFFFF00"/>
  </sheetPr>
  <dimension ref="A1:F4825"/>
  <sheetViews>
    <sheetView topLeftCell="A16" zoomScaleNormal="100" zoomScaleSheetLayoutView="120" workbookViewId="0">
      <selection activeCell="Q34" sqref="Q34"/>
    </sheetView>
  </sheetViews>
  <sheetFormatPr defaultRowHeight="14.25"/>
  <cols>
    <col min="1" max="1" width="9.28515625" style="86" customWidth="1"/>
    <col min="2" max="2" width="38" style="309" customWidth="1"/>
    <col min="3" max="3" width="12" style="310" customWidth="1"/>
    <col min="4" max="4" width="12.7109375" style="310" customWidth="1"/>
    <col min="5" max="5" width="10.28515625" style="310" customWidth="1"/>
    <col min="6" max="6" width="18.7109375" style="311" customWidth="1"/>
    <col min="7" max="248" width="9.140625" style="86"/>
    <col min="249" max="249" width="9.28515625" style="86" customWidth="1"/>
    <col min="250" max="250" width="38" style="86" customWidth="1"/>
    <col min="251" max="251" width="12" style="86" customWidth="1"/>
    <col min="252" max="252" width="12.7109375" style="86" customWidth="1"/>
    <col min="253" max="253" width="10.28515625" style="86" customWidth="1"/>
    <col min="254" max="254" width="22.5703125" style="86" customWidth="1"/>
    <col min="255" max="255" width="65.140625" style="86" customWidth="1"/>
    <col min="256" max="257" width="11.140625" style="86" bestFit="1" customWidth="1"/>
    <col min="258" max="504" width="9.140625" style="86"/>
    <col min="505" max="505" width="9.28515625" style="86" customWidth="1"/>
    <col min="506" max="506" width="38" style="86" customWidth="1"/>
    <col min="507" max="507" width="12" style="86" customWidth="1"/>
    <col min="508" max="508" width="12.7109375" style="86" customWidth="1"/>
    <col min="509" max="509" width="10.28515625" style="86" customWidth="1"/>
    <col min="510" max="510" width="22.5703125" style="86" customWidth="1"/>
    <col min="511" max="511" width="65.140625" style="86" customWidth="1"/>
    <col min="512" max="513" width="11.140625" style="86" bestFit="1" customWidth="1"/>
    <col min="514" max="760" width="9.140625" style="86"/>
    <col min="761" max="761" width="9.28515625" style="86" customWidth="1"/>
    <col min="762" max="762" width="38" style="86" customWidth="1"/>
    <col min="763" max="763" width="12" style="86" customWidth="1"/>
    <col min="764" max="764" width="12.7109375" style="86" customWidth="1"/>
    <col min="765" max="765" width="10.28515625" style="86" customWidth="1"/>
    <col min="766" max="766" width="22.5703125" style="86" customWidth="1"/>
    <col min="767" max="767" width="65.140625" style="86" customWidth="1"/>
    <col min="768" max="769" width="11.140625" style="86" bestFit="1" customWidth="1"/>
    <col min="770" max="1016" width="9.140625" style="86"/>
    <col min="1017" max="1017" width="9.28515625" style="86" customWidth="1"/>
    <col min="1018" max="1018" width="38" style="86" customWidth="1"/>
    <col min="1019" max="1019" width="12" style="86" customWidth="1"/>
    <col min="1020" max="1020" width="12.7109375" style="86" customWidth="1"/>
    <col min="1021" max="1021" width="10.28515625" style="86" customWidth="1"/>
    <col min="1022" max="1022" width="22.5703125" style="86" customWidth="1"/>
    <col min="1023" max="1023" width="65.140625" style="86" customWidth="1"/>
    <col min="1024" max="1025" width="11.140625" style="86" bestFit="1" customWidth="1"/>
    <col min="1026" max="1272" width="9.140625" style="86"/>
    <col min="1273" max="1273" width="9.28515625" style="86" customWidth="1"/>
    <col min="1274" max="1274" width="38" style="86" customWidth="1"/>
    <col min="1275" max="1275" width="12" style="86" customWidth="1"/>
    <col min="1276" max="1276" width="12.7109375" style="86" customWidth="1"/>
    <col min="1277" max="1277" width="10.28515625" style="86" customWidth="1"/>
    <col min="1278" max="1278" width="22.5703125" style="86" customWidth="1"/>
    <col min="1279" max="1279" width="65.140625" style="86" customWidth="1"/>
    <col min="1280" max="1281" width="11.140625" style="86" bestFit="1" customWidth="1"/>
    <col min="1282" max="1528" width="9.140625" style="86"/>
    <col min="1529" max="1529" width="9.28515625" style="86" customWidth="1"/>
    <col min="1530" max="1530" width="38" style="86" customWidth="1"/>
    <col min="1531" max="1531" width="12" style="86" customWidth="1"/>
    <col min="1532" max="1532" width="12.7109375" style="86" customWidth="1"/>
    <col min="1533" max="1533" width="10.28515625" style="86" customWidth="1"/>
    <col min="1534" max="1534" width="22.5703125" style="86" customWidth="1"/>
    <col min="1535" max="1535" width="65.140625" style="86" customWidth="1"/>
    <col min="1536" max="1537" width="11.140625" style="86" bestFit="1" customWidth="1"/>
    <col min="1538" max="1784" width="9.140625" style="86"/>
    <col min="1785" max="1785" width="9.28515625" style="86" customWidth="1"/>
    <col min="1786" max="1786" width="38" style="86" customWidth="1"/>
    <col min="1787" max="1787" width="12" style="86" customWidth="1"/>
    <col min="1788" max="1788" width="12.7109375" style="86" customWidth="1"/>
    <col min="1789" max="1789" width="10.28515625" style="86" customWidth="1"/>
    <col min="1790" max="1790" width="22.5703125" style="86" customWidth="1"/>
    <col min="1791" max="1791" width="65.140625" style="86" customWidth="1"/>
    <col min="1792" max="1793" width="11.140625" style="86" bestFit="1" customWidth="1"/>
    <col min="1794" max="2040" width="9.140625" style="86"/>
    <col min="2041" max="2041" width="9.28515625" style="86" customWidth="1"/>
    <col min="2042" max="2042" width="38" style="86" customWidth="1"/>
    <col min="2043" max="2043" width="12" style="86" customWidth="1"/>
    <col min="2044" max="2044" width="12.7109375" style="86" customWidth="1"/>
    <col min="2045" max="2045" width="10.28515625" style="86" customWidth="1"/>
    <col min="2046" max="2046" width="22.5703125" style="86" customWidth="1"/>
    <col min="2047" max="2047" width="65.140625" style="86" customWidth="1"/>
    <col min="2048" max="2049" width="11.140625" style="86" bestFit="1" customWidth="1"/>
    <col min="2050" max="2296" width="9.140625" style="86"/>
    <col min="2297" max="2297" width="9.28515625" style="86" customWidth="1"/>
    <col min="2298" max="2298" width="38" style="86" customWidth="1"/>
    <col min="2299" max="2299" width="12" style="86" customWidth="1"/>
    <col min="2300" max="2300" width="12.7109375" style="86" customWidth="1"/>
    <col min="2301" max="2301" width="10.28515625" style="86" customWidth="1"/>
    <col min="2302" max="2302" width="22.5703125" style="86" customWidth="1"/>
    <col min="2303" max="2303" width="65.140625" style="86" customWidth="1"/>
    <col min="2304" max="2305" width="11.140625" style="86" bestFit="1" customWidth="1"/>
    <col min="2306" max="2552" width="9.140625" style="86"/>
    <col min="2553" max="2553" width="9.28515625" style="86" customWidth="1"/>
    <col min="2554" max="2554" width="38" style="86" customWidth="1"/>
    <col min="2555" max="2555" width="12" style="86" customWidth="1"/>
    <col min="2556" max="2556" width="12.7109375" style="86" customWidth="1"/>
    <col min="2557" max="2557" width="10.28515625" style="86" customWidth="1"/>
    <col min="2558" max="2558" width="22.5703125" style="86" customWidth="1"/>
    <col min="2559" max="2559" width="65.140625" style="86" customWidth="1"/>
    <col min="2560" max="2561" width="11.140625" style="86" bestFit="1" customWidth="1"/>
    <col min="2562" max="2808" width="9.140625" style="86"/>
    <col min="2809" max="2809" width="9.28515625" style="86" customWidth="1"/>
    <col min="2810" max="2810" width="38" style="86" customWidth="1"/>
    <col min="2811" max="2811" width="12" style="86" customWidth="1"/>
    <col min="2812" max="2812" width="12.7109375" style="86" customWidth="1"/>
    <col min="2813" max="2813" width="10.28515625" style="86" customWidth="1"/>
    <col min="2814" max="2814" width="22.5703125" style="86" customWidth="1"/>
    <col min="2815" max="2815" width="65.140625" style="86" customWidth="1"/>
    <col min="2816" max="2817" width="11.140625" style="86" bestFit="1" customWidth="1"/>
    <col min="2818" max="3064" width="9.140625" style="86"/>
    <col min="3065" max="3065" width="9.28515625" style="86" customWidth="1"/>
    <col min="3066" max="3066" width="38" style="86" customWidth="1"/>
    <col min="3067" max="3067" width="12" style="86" customWidth="1"/>
    <col min="3068" max="3068" width="12.7109375" style="86" customWidth="1"/>
    <col min="3069" max="3069" width="10.28515625" style="86" customWidth="1"/>
    <col min="3070" max="3070" width="22.5703125" style="86" customWidth="1"/>
    <col min="3071" max="3071" width="65.140625" style="86" customWidth="1"/>
    <col min="3072" max="3073" width="11.140625" style="86" bestFit="1" customWidth="1"/>
    <col min="3074" max="3320" width="9.140625" style="86"/>
    <col min="3321" max="3321" width="9.28515625" style="86" customWidth="1"/>
    <col min="3322" max="3322" width="38" style="86" customWidth="1"/>
    <col min="3323" max="3323" width="12" style="86" customWidth="1"/>
    <col min="3324" max="3324" width="12.7109375" style="86" customWidth="1"/>
    <col min="3325" max="3325" width="10.28515625" style="86" customWidth="1"/>
    <col min="3326" max="3326" width="22.5703125" style="86" customWidth="1"/>
    <col min="3327" max="3327" width="65.140625" style="86" customWidth="1"/>
    <col min="3328" max="3329" width="11.140625" style="86" bestFit="1" customWidth="1"/>
    <col min="3330" max="3576" width="9.140625" style="86"/>
    <col min="3577" max="3577" width="9.28515625" style="86" customWidth="1"/>
    <col min="3578" max="3578" width="38" style="86" customWidth="1"/>
    <col min="3579" max="3579" width="12" style="86" customWidth="1"/>
    <col min="3580" max="3580" width="12.7109375" style="86" customWidth="1"/>
    <col min="3581" max="3581" width="10.28515625" style="86" customWidth="1"/>
    <col min="3582" max="3582" width="22.5703125" style="86" customWidth="1"/>
    <col min="3583" max="3583" width="65.140625" style="86" customWidth="1"/>
    <col min="3584" max="3585" width="11.140625" style="86" bestFit="1" customWidth="1"/>
    <col min="3586" max="3832" width="9.140625" style="86"/>
    <col min="3833" max="3833" width="9.28515625" style="86" customWidth="1"/>
    <col min="3834" max="3834" width="38" style="86" customWidth="1"/>
    <col min="3835" max="3835" width="12" style="86" customWidth="1"/>
    <col min="3836" max="3836" width="12.7109375" style="86" customWidth="1"/>
    <col min="3837" max="3837" width="10.28515625" style="86" customWidth="1"/>
    <col min="3838" max="3838" width="22.5703125" style="86" customWidth="1"/>
    <col min="3839" max="3839" width="65.140625" style="86" customWidth="1"/>
    <col min="3840" max="3841" width="11.140625" style="86" bestFit="1" customWidth="1"/>
    <col min="3842" max="4088" width="9.140625" style="86"/>
    <col min="4089" max="4089" width="9.28515625" style="86" customWidth="1"/>
    <col min="4090" max="4090" width="38" style="86" customWidth="1"/>
    <col min="4091" max="4091" width="12" style="86" customWidth="1"/>
    <col min="4092" max="4092" width="12.7109375" style="86" customWidth="1"/>
    <col min="4093" max="4093" width="10.28515625" style="86" customWidth="1"/>
    <col min="4094" max="4094" width="22.5703125" style="86" customWidth="1"/>
    <col min="4095" max="4095" width="65.140625" style="86" customWidth="1"/>
    <col min="4096" max="4097" width="11.140625" style="86" bestFit="1" customWidth="1"/>
    <col min="4098" max="4344" width="9.140625" style="86"/>
    <col min="4345" max="4345" width="9.28515625" style="86" customWidth="1"/>
    <col min="4346" max="4346" width="38" style="86" customWidth="1"/>
    <col min="4347" max="4347" width="12" style="86" customWidth="1"/>
    <col min="4348" max="4348" width="12.7109375" style="86" customWidth="1"/>
    <col min="4349" max="4349" width="10.28515625" style="86" customWidth="1"/>
    <col min="4350" max="4350" width="22.5703125" style="86" customWidth="1"/>
    <col min="4351" max="4351" width="65.140625" style="86" customWidth="1"/>
    <col min="4352" max="4353" width="11.140625" style="86" bestFit="1" customWidth="1"/>
    <col min="4354" max="4600" width="9.140625" style="86"/>
    <col min="4601" max="4601" width="9.28515625" style="86" customWidth="1"/>
    <col min="4602" max="4602" width="38" style="86" customWidth="1"/>
    <col min="4603" max="4603" width="12" style="86" customWidth="1"/>
    <col min="4604" max="4604" width="12.7109375" style="86" customWidth="1"/>
    <col min="4605" max="4605" width="10.28515625" style="86" customWidth="1"/>
    <col min="4606" max="4606" width="22.5703125" style="86" customWidth="1"/>
    <col min="4607" max="4607" width="65.140625" style="86" customWidth="1"/>
    <col min="4608" max="4609" width="11.140625" style="86" bestFit="1" customWidth="1"/>
    <col min="4610" max="4856" width="9.140625" style="86"/>
    <col min="4857" max="4857" width="9.28515625" style="86" customWidth="1"/>
    <col min="4858" max="4858" width="38" style="86" customWidth="1"/>
    <col min="4859" max="4859" width="12" style="86" customWidth="1"/>
    <col min="4860" max="4860" width="12.7109375" style="86" customWidth="1"/>
    <col min="4861" max="4861" width="10.28515625" style="86" customWidth="1"/>
    <col min="4862" max="4862" width="22.5703125" style="86" customWidth="1"/>
    <col min="4863" max="4863" width="65.140625" style="86" customWidth="1"/>
    <col min="4864" max="4865" width="11.140625" style="86" bestFit="1" customWidth="1"/>
    <col min="4866" max="5112" width="9.140625" style="86"/>
    <col min="5113" max="5113" width="9.28515625" style="86" customWidth="1"/>
    <col min="5114" max="5114" width="38" style="86" customWidth="1"/>
    <col min="5115" max="5115" width="12" style="86" customWidth="1"/>
    <col min="5116" max="5116" width="12.7109375" style="86" customWidth="1"/>
    <col min="5117" max="5117" width="10.28515625" style="86" customWidth="1"/>
    <col min="5118" max="5118" width="22.5703125" style="86" customWidth="1"/>
    <col min="5119" max="5119" width="65.140625" style="86" customWidth="1"/>
    <col min="5120" max="5121" width="11.140625" style="86" bestFit="1" customWidth="1"/>
    <col min="5122" max="5368" width="9.140625" style="86"/>
    <col min="5369" max="5369" width="9.28515625" style="86" customWidth="1"/>
    <col min="5370" max="5370" width="38" style="86" customWidth="1"/>
    <col min="5371" max="5371" width="12" style="86" customWidth="1"/>
    <col min="5372" max="5372" width="12.7109375" style="86" customWidth="1"/>
    <col min="5373" max="5373" width="10.28515625" style="86" customWidth="1"/>
    <col min="5374" max="5374" width="22.5703125" style="86" customWidth="1"/>
    <col min="5375" max="5375" width="65.140625" style="86" customWidth="1"/>
    <col min="5376" max="5377" width="11.140625" style="86" bestFit="1" customWidth="1"/>
    <col min="5378" max="5624" width="9.140625" style="86"/>
    <col min="5625" max="5625" width="9.28515625" style="86" customWidth="1"/>
    <col min="5626" max="5626" width="38" style="86" customWidth="1"/>
    <col min="5627" max="5627" width="12" style="86" customWidth="1"/>
    <col min="5628" max="5628" width="12.7109375" style="86" customWidth="1"/>
    <col min="5629" max="5629" width="10.28515625" style="86" customWidth="1"/>
    <col min="5630" max="5630" width="22.5703125" style="86" customWidth="1"/>
    <col min="5631" max="5631" width="65.140625" style="86" customWidth="1"/>
    <col min="5632" max="5633" width="11.140625" style="86" bestFit="1" customWidth="1"/>
    <col min="5634" max="5880" width="9.140625" style="86"/>
    <col min="5881" max="5881" width="9.28515625" style="86" customWidth="1"/>
    <col min="5882" max="5882" width="38" style="86" customWidth="1"/>
    <col min="5883" max="5883" width="12" style="86" customWidth="1"/>
    <col min="5884" max="5884" width="12.7109375" style="86" customWidth="1"/>
    <col min="5885" max="5885" width="10.28515625" style="86" customWidth="1"/>
    <col min="5886" max="5886" width="22.5703125" style="86" customWidth="1"/>
    <col min="5887" max="5887" width="65.140625" style="86" customWidth="1"/>
    <col min="5888" max="5889" width="11.140625" style="86" bestFit="1" customWidth="1"/>
    <col min="5890" max="6136" width="9.140625" style="86"/>
    <col min="6137" max="6137" width="9.28515625" style="86" customWidth="1"/>
    <col min="6138" max="6138" width="38" style="86" customWidth="1"/>
    <col min="6139" max="6139" width="12" style="86" customWidth="1"/>
    <col min="6140" max="6140" width="12.7109375" style="86" customWidth="1"/>
    <col min="6141" max="6141" width="10.28515625" style="86" customWidth="1"/>
    <col min="6142" max="6142" width="22.5703125" style="86" customWidth="1"/>
    <col min="6143" max="6143" width="65.140625" style="86" customWidth="1"/>
    <col min="6144" max="6145" width="11.140625" style="86" bestFit="1" customWidth="1"/>
    <col min="6146" max="6392" width="9.140625" style="86"/>
    <col min="6393" max="6393" width="9.28515625" style="86" customWidth="1"/>
    <col min="6394" max="6394" width="38" style="86" customWidth="1"/>
    <col min="6395" max="6395" width="12" style="86" customWidth="1"/>
    <col min="6396" max="6396" width="12.7109375" style="86" customWidth="1"/>
    <col min="6397" max="6397" width="10.28515625" style="86" customWidth="1"/>
    <col min="6398" max="6398" width="22.5703125" style="86" customWidth="1"/>
    <col min="6399" max="6399" width="65.140625" style="86" customWidth="1"/>
    <col min="6400" max="6401" width="11.140625" style="86" bestFit="1" customWidth="1"/>
    <col min="6402" max="6648" width="9.140625" style="86"/>
    <col min="6649" max="6649" width="9.28515625" style="86" customWidth="1"/>
    <col min="6650" max="6650" width="38" style="86" customWidth="1"/>
    <col min="6651" max="6651" width="12" style="86" customWidth="1"/>
    <col min="6652" max="6652" width="12.7109375" style="86" customWidth="1"/>
    <col min="6653" max="6653" width="10.28515625" style="86" customWidth="1"/>
    <col min="6654" max="6654" width="22.5703125" style="86" customWidth="1"/>
    <col min="6655" max="6655" width="65.140625" style="86" customWidth="1"/>
    <col min="6656" max="6657" width="11.140625" style="86" bestFit="1" customWidth="1"/>
    <col min="6658" max="6904" width="9.140625" style="86"/>
    <col min="6905" max="6905" width="9.28515625" style="86" customWidth="1"/>
    <col min="6906" max="6906" width="38" style="86" customWidth="1"/>
    <col min="6907" max="6907" width="12" style="86" customWidth="1"/>
    <col min="6908" max="6908" width="12.7109375" style="86" customWidth="1"/>
    <col min="6909" max="6909" width="10.28515625" style="86" customWidth="1"/>
    <col min="6910" max="6910" width="22.5703125" style="86" customWidth="1"/>
    <col min="6911" max="6911" width="65.140625" style="86" customWidth="1"/>
    <col min="6912" max="6913" width="11.140625" style="86" bestFit="1" customWidth="1"/>
    <col min="6914" max="7160" width="9.140625" style="86"/>
    <col min="7161" max="7161" width="9.28515625" style="86" customWidth="1"/>
    <col min="7162" max="7162" width="38" style="86" customWidth="1"/>
    <col min="7163" max="7163" width="12" style="86" customWidth="1"/>
    <col min="7164" max="7164" width="12.7109375" style="86" customWidth="1"/>
    <col min="7165" max="7165" width="10.28515625" style="86" customWidth="1"/>
    <col min="7166" max="7166" width="22.5703125" style="86" customWidth="1"/>
    <col min="7167" max="7167" width="65.140625" style="86" customWidth="1"/>
    <col min="7168" max="7169" width="11.140625" style="86" bestFit="1" customWidth="1"/>
    <col min="7170" max="7416" width="9.140625" style="86"/>
    <col min="7417" max="7417" width="9.28515625" style="86" customWidth="1"/>
    <col min="7418" max="7418" width="38" style="86" customWidth="1"/>
    <col min="7419" max="7419" width="12" style="86" customWidth="1"/>
    <col min="7420" max="7420" width="12.7109375" style="86" customWidth="1"/>
    <col min="7421" max="7421" width="10.28515625" style="86" customWidth="1"/>
    <col min="7422" max="7422" width="22.5703125" style="86" customWidth="1"/>
    <col min="7423" max="7423" width="65.140625" style="86" customWidth="1"/>
    <col min="7424" max="7425" width="11.140625" style="86" bestFit="1" customWidth="1"/>
    <col min="7426" max="7672" width="9.140625" style="86"/>
    <col min="7673" max="7673" width="9.28515625" style="86" customWidth="1"/>
    <col min="7674" max="7674" width="38" style="86" customWidth="1"/>
    <col min="7675" max="7675" width="12" style="86" customWidth="1"/>
    <col min="7676" max="7676" width="12.7109375" style="86" customWidth="1"/>
    <col min="7677" max="7677" width="10.28515625" style="86" customWidth="1"/>
    <col min="7678" max="7678" width="22.5703125" style="86" customWidth="1"/>
    <col min="7679" max="7679" width="65.140625" style="86" customWidth="1"/>
    <col min="7680" max="7681" width="11.140625" style="86" bestFit="1" customWidth="1"/>
    <col min="7682" max="7928" width="9.140625" style="86"/>
    <col min="7929" max="7929" width="9.28515625" style="86" customWidth="1"/>
    <col min="7930" max="7930" width="38" style="86" customWidth="1"/>
    <col min="7931" max="7931" width="12" style="86" customWidth="1"/>
    <col min="7932" max="7932" width="12.7109375" style="86" customWidth="1"/>
    <col min="7933" max="7933" width="10.28515625" style="86" customWidth="1"/>
    <col min="7934" max="7934" width="22.5703125" style="86" customWidth="1"/>
    <col min="7935" max="7935" width="65.140625" style="86" customWidth="1"/>
    <col min="7936" max="7937" width="11.140625" style="86" bestFit="1" customWidth="1"/>
    <col min="7938" max="8184" width="9.140625" style="86"/>
    <col min="8185" max="8185" width="9.28515625" style="86" customWidth="1"/>
    <col min="8186" max="8186" width="38" style="86" customWidth="1"/>
    <col min="8187" max="8187" width="12" style="86" customWidth="1"/>
    <col min="8188" max="8188" width="12.7109375" style="86" customWidth="1"/>
    <col min="8189" max="8189" width="10.28515625" style="86" customWidth="1"/>
    <col min="8190" max="8190" width="22.5703125" style="86" customWidth="1"/>
    <col min="8191" max="8191" width="65.140625" style="86" customWidth="1"/>
    <col min="8192" max="8193" width="11.140625" style="86" bestFit="1" customWidth="1"/>
    <col min="8194" max="8440" width="9.140625" style="86"/>
    <col min="8441" max="8441" width="9.28515625" style="86" customWidth="1"/>
    <col min="8442" max="8442" width="38" style="86" customWidth="1"/>
    <col min="8443" max="8443" width="12" style="86" customWidth="1"/>
    <col min="8444" max="8444" width="12.7109375" style="86" customWidth="1"/>
    <col min="8445" max="8445" width="10.28515625" style="86" customWidth="1"/>
    <col min="8446" max="8446" width="22.5703125" style="86" customWidth="1"/>
    <col min="8447" max="8447" width="65.140625" style="86" customWidth="1"/>
    <col min="8448" max="8449" width="11.140625" style="86" bestFit="1" customWidth="1"/>
    <col min="8450" max="8696" width="9.140625" style="86"/>
    <col min="8697" max="8697" width="9.28515625" style="86" customWidth="1"/>
    <col min="8698" max="8698" width="38" style="86" customWidth="1"/>
    <col min="8699" max="8699" width="12" style="86" customWidth="1"/>
    <col min="8700" max="8700" width="12.7109375" style="86" customWidth="1"/>
    <col min="8701" max="8701" width="10.28515625" style="86" customWidth="1"/>
    <col min="8702" max="8702" width="22.5703125" style="86" customWidth="1"/>
    <col min="8703" max="8703" width="65.140625" style="86" customWidth="1"/>
    <col min="8704" max="8705" width="11.140625" style="86" bestFit="1" customWidth="1"/>
    <col min="8706" max="8952" width="9.140625" style="86"/>
    <col min="8953" max="8953" width="9.28515625" style="86" customWidth="1"/>
    <col min="8954" max="8954" width="38" style="86" customWidth="1"/>
    <col min="8955" max="8955" width="12" style="86" customWidth="1"/>
    <col min="8956" max="8956" width="12.7109375" style="86" customWidth="1"/>
    <col min="8957" max="8957" width="10.28515625" style="86" customWidth="1"/>
    <col min="8958" max="8958" width="22.5703125" style="86" customWidth="1"/>
    <col min="8959" max="8959" width="65.140625" style="86" customWidth="1"/>
    <col min="8960" max="8961" width="11.140625" style="86" bestFit="1" customWidth="1"/>
    <col min="8962" max="9208" width="9.140625" style="86"/>
    <col min="9209" max="9209" width="9.28515625" style="86" customWidth="1"/>
    <col min="9210" max="9210" width="38" style="86" customWidth="1"/>
    <col min="9211" max="9211" width="12" style="86" customWidth="1"/>
    <col min="9212" max="9212" width="12.7109375" style="86" customWidth="1"/>
    <col min="9213" max="9213" width="10.28515625" style="86" customWidth="1"/>
    <col min="9214" max="9214" width="22.5703125" style="86" customWidth="1"/>
    <col min="9215" max="9215" width="65.140625" style="86" customWidth="1"/>
    <col min="9216" max="9217" width="11.140625" style="86" bestFit="1" customWidth="1"/>
    <col min="9218" max="9464" width="9.140625" style="86"/>
    <col min="9465" max="9465" width="9.28515625" style="86" customWidth="1"/>
    <col min="9466" max="9466" width="38" style="86" customWidth="1"/>
    <col min="9467" max="9467" width="12" style="86" customWidth="1"/>
    <col min="9468" max="9468" width="12.7109375" style="86" customWidth="1"/>
    <col min="9469" max="9469" width="10.28515625" style="86" customWidth="1"/>
    <col min="9470" max="9470" width="22.5703125" style="86" customWidth="1"/>
    <col min="9471" max="9471" width="65.140625" style="86" customWidth="1"/>
    <col min="9472" max="9473" width="11.140625" style="86" bestFit="1" customWidth="1"/>
    <col min="9474" max="9720" width="9.140625" style="86"/>
    <col min="9721" max="9721" width="9.28515625" style="86" customWidth="1"/>
    <col min="9722" max="9722" width="38" style="86" customWidth="1"/>
    <col min="9723" max="9723" width="12" style="86" customWidth="1"/>
    <col min="9724" max="9724" width="12.7109375" style="86" customWidth="1"/>
    <col min="9725" max="9725" width="10.28515625" style="86" customWidth="1"/>
    <col min="9726" max="9726" width="22.5703125" style="86" customWidth="1"/>
    <col min="9727" max="9727" width="65.140625" style="86" customWidth="1"/>
    <col min="9728" max="9729" width="11.140625" style="86" bestFit="1" customWidth="1"/>
    <col min="9730" max="9976" width="9.140625" style="86"/>
    <col min="9977" max="9977" width="9.28515625" style="86" customWidth="1"/>
    <col min="9978" max="9978" width="38" style="86" customWidth="1"/>
    <col min="9979" max="9979" width="12" style="86" customWidth="1"/>
    <col min="9980" max="9980" width="12.7109375" style="86" customWidth="1"/>
    <col min="9981" max="9981" width="10.28515625" style="86" customWidth="1"/>
    <col min="9982" max="9982" width="22.5703125" style="86" customWidth="1"/>
    <col min="9983" max="9983" width="65.140625" style="86" customWidth="1"/>
    <col min="9984" max="9985" width="11.140625" style="86" bestFit="1" customWidth="1"/>
    <col min="9986" max="10232" width="9.140625" style="86"/>
    <col min="10233" max="10233" width="9.28515625" style="86" customWidth="1"/>
    <col min="10234" max="10234" width="38" style="86" customWidth="1"/>
    <col min="10235" max="10235" width="12" style="86" customWidth="1"/>
    <col min="10236" max="10236" width="12.7109375" style="86" customWidth="1"/>
    <col min="10237" max="10237" width="10.28515625" style="86" customWidth="1"/>
    <col min="10238" max="10238" width="22.5703125" style="86" customWidth="1"/>
    <col min="10239" max="10239" width="65.140625" style="86" customWidth="1"/>
    <col min="10240" max="10241" width="11.140625" style="86" bestFit="1" customWidth="1"/>
    <col min="10242" max="10488" width="9.140625" style="86"/>
    <col min="10489" max="10489" width="9.28515625" style="86" customWidth="1"/>
    <col min="10490" max="10490" width="38" style="86" customWidth="1"/>
    <col min="10491" max="10491" width="12" style="86" customWidth="1"/>
    <col min="10492" max="10492" width="12.7109375" style="86" customWidth="1"/>
    <col min="10493" max="10493" width="10.28515625" style="86" customWidth="1"/>
    <col min="10494" max="10494" width="22.5703125" style="86" customWidth="1"/>
    <col min="10495" max="10495" width="65.140625" style="86" customWidth="1"/>
    <col min="10496" max="10497" width="11.140625" style="86" bestFit="1" customWidth="1"/>
    <col min="10498" max="10744" width="9.140625" style="86"/>
    <col min="10745" max="10745" width="9.28515625" style="86" customWidth="1"/>
    <col min="10746" max="10746" width="38" style="86" customWidth="1"/>
    <col min="10747" max="10747" width="12" style="86" customWidth="1"/>
    <col min="10748" max="10748" width="12.7109375" style="86" customWidth="1"/>
    <col min="10749" max="10749" width="10.28515625" style="86" customWidth="1"/>
    <col min="10750" max="10750" width="22.5703125" style="86" customWidth="1"/>
    <col min="10751" max="10751" width="65.140625" style="86" customWidth="1"/>
    <col min="10752" max="10753" width="11.140625" style="86" bestFit="1" customWidth="1"/>
    <col min="10754" max="11000" width="9.140625" style="86"/>
    <col min="11001" max="11001" width="9.28515625" style="86" customWidth="1"/>
    <col min="11002" max="11002" width="38" style="86" customWidth="1"/>
    <col min="11003" max="11003" width="12" style="86" customWidth="1"/>
    <col min="11004" max="11004" width="12.7109375" style="86" customWidth="1"/>
    <col min="11005" max="11005" width="10.28515625" style="86" customWidth="1"/>
    <col min="11006" max="11006" width="22.5703125" style="86" customWidth="1"/>
    <col min="11007" max="11007" width="65.140625" style="86" customWidth="1"/>
    <col min="11008" max="11009" width="11.140625" style="86" bestFit="1" customWidth="1"/>
    <col min="11010" max="11256" width="9.140625" style="86"/>
    <col min="11257" max="11257" width="9.28515625" style="86" customWidth="1"/>
    <col min="11258" max="11258" width="38" style="86" customWidth="1"/>
    <col min="11259" max="11259" width="12" style="86" customWidth="1"/>
    <col min="11260" max="11260" width="12.7109375" style="86" customWidth="1"/>
    <col min="11261" max="11261" width="10.28515625" style="86" customWidth="1"/>
    <col min="11262" max="11262" width="22.5703125" style="86" customWidth="1"/>
    <col min="11263" max="11263" width="65.140625" style="86" customWidth="1"/>
    <col min="11264" max="11265" width="11.140625" style="86" bestFit="1" customWidth="1"/>
    <col min="11266" max="11512" width="9.140625" style="86"/>
    <col min="11513" max="11513" width="9.28515625" style="86" customWidth="1"/>
    <col min="11514" max="11514" width="38" style="86" customWidth="1"/>
    <col min="11515" max="11515" width="12" style="86" customWidth="1"/>
    <col min="11516" max="11516" width="12.7109375" style="86" customWidth="1"/>
    <col min="11517" max="11517" width="10.28515625" style="86" customWidth="1"/>
    <col min="11518" max="11518" width="22.5703125" style="86" customWidth="1"/>
    <col min="11519" max="11519" width="65.140625" style="86" customWidth="1"/>
    <col min="11520" max="11521" width="11.140625" style="86" bestFit="1" customWidth="1"/>
    <col min="11522" max="11768" width="9.140625" style="86"/>
    <col min="11769" max="11769" width="9.28515625" style="86" customWidth="1"/>
    <col min="11770" max="11770" width="38" style="86" customWidth="1"/>
    <col min="11771" max="11771" width="12" style="86" customWidth="1"/>
    <col min="11772" max="11772" width="12.7109375" style="86" customWidth="1"/>
    <col min="11773" max="11773" width="10.28515625" style="86" customWidth="1"/>
    <col min="11774" max="11774" width="22.5703125" style="86" customWidth="1"/>
    <col min="11775" max="11775" width="65.140625" style="86" customWidth="1"/>
    <col min="11776" max="11777" width="11.140625" style="86" bestFit="1" customWidth="1"/>
    <col min="11778" max="12024" width="9.140625" style="86"/>
    <col min="12025" max="12025" width="9.28515625" style="86" customWidth="1"/>
    <col min="12026" max="12026" width="38" style="86" customWidth="1"/>
    <col min="12027" max="12027" width="12" style="86" customWidth="1"/>
    <col min="12028" max="12028" width="12.7109375" style="86" customWidth="1"/>
    <col min="12029" max="12029" width="10.28515625" style="86" customWidth="1"/>
    <col min="12030" max="12030" width="22.5703125" style="86" customWidth="1"/>
    <col min="12031" max="12031" width="65.140625" style="86" customWidth="1"/>
    <col min="12032" max="12033" width="11.140625" style="86" bestFit="1" customWidth="1"/>
    <col min="12034" max="12280" width="9.140625" style="86"/>
    <col min="12281" max="12281" width="9.28515625" style="86" customWidth="1"/>
    <col min="12282" max="12282" width="38" style="86" customWidth="1"/>
    <col min="12283" max="12283" width="12" style="86" customWidth="1"/>
    <col min="12284" max="12284" width="12.7109375" style="86" customWidth="1"/>
    <col min="12285" max="12285" width="10.28515625" style="86" customWidth="1"/>
    <col min="12286" max="12286" width="22.5703125" style="86" customWidth="1"/>
    <col min="12287" max="12287" width="65.140625" style="86" customWidth="1"/>
    <col min="12288" max="12289" width="11.140625" style="86" bestFit="1" customWidth="1"/>
    <col min="12290" max="12536" width="9.140625" style="86"/>
    <col min="12537" max="12537" width="9.28515625" style="86" customWidth="1"/>
    <col min="12538" max="12538" width="38" style="86" customWidth="1"/>
    <col min="12539" max="12539" width="12" style="86" customWidth="1"/>
    <col min="12540" max="12540" width="12.7109375" style="86" customWidth="1"/>
    <col min="12541" max="12541" width="10.28515625" style="86" customWidth="1"/>
    <col min="12542" max="12542" width="22.5703125" style="86" customWidth="1"/>
    <col min="12543" max="12543" width="65.140625" style="86" customWidth="1"/>
    <col min="12544" max="12545" width="11.140625" style="86" bestFit="1" customWidth="1"/>
    <col min="12546" max="12792" width="9.140625" style="86"/>
    <col min="12793" max="12793" width="9.28515625" style="86" customWidth="1"/>
    <col min="12794" max="12794" width="38" style="86" customWidth="1"/>
    <col min="12795" max="12795" width="12" style="86" customWidth="1"/>
    <col min="12796" max="12796" width="12.7109375" style="86" customWidth="1"/>
    <col min="12797" max="12797" width="10.28515625" style="86" customWidth="1"/>
    <col min="12798" max="12798" width="22.5703125" style="86" customWidth="1"/>
    <col min="12799" max="12799" width="65.140625" style="86" customWidth="1"/>
    <col min="12800" max="12801" width="11.140625" style="86" bestFit="1" customWidth="1"/>
    <col min="12802" max="13048" width="9.140625" style="86"/>
    <col min="13049" max="13049" width="9.28515625" style="86" customWidth="1"/>
    <col min="13050" max="13050" width="38" style="86" customWidth="1"/>
    <col min="13051" max="13051" width="12" style="86" customWidth="1"/>
    <col min="13052" max="13052" width="12.7109375" style="86" customWidth="1"/>
    <col min="13053" max="13053" width="10.28515625" style="86" customWidth="1"/>
    <col min="13054" max="13054" width="22.5703125" style="86" customWidth="1"/>
    <col min="13055" max="13055" width="65.140625" style="86" customWidth="1"/>
    <col min="13056" max="13057" width="11.140625" style="86" bestFit="1" customWidth="1"/>
    <col min="13058" max="13304" width="9.140625" style="86"/>
    <col min="13305" max="13305" width="9.28515625" style="86" customWidth="1"/>
    <col min="13306" max="13306" width="38" style="86" customWidth="1"/>
    <col min="13307" max="13307" width="12" style="86" customWidth="1"/>
    <col min="13308" max="13308" width="12.7109375" style="86" customWidth="1"/>
    <col min="13309" max="13309" width="10.28515625" style="86" customWidth="1"/>
    <col min="13310" max="13310" width="22.5703125" style="86" customWidth="1"/>
    <col min="13311" max="13311" width="65.140625" style="86" customWidth="1"/>
    <col min="13312" max="13313" width="11.140625" style="86" bestFit="1" customWidth="1"/>
    <col min="13314" max="13560" width="9.140625" style="86"/>
    <col min="13561" max="13561" width="9.28515625" style="86" customWidth="1"/>
    <col min="13562" max="13562" width="38" style="86" customWidth="1"/>
    <col min="13563" max="13563" width="12" style="86" customWidth="1"/>
    <col min="13564" max="13564" width="12.7109375" style="86" customWidth="1"/>
    <col min="13565" max="13565" width="10.28515625" style="86" customWidth="1"/>
    <col min="13566" max="13566" width="22.5703125" style="86" customWidth="1"/>
    <col min="13567" max="13567" width="65.140625" style="86" customWidth="1"/>
    <col min="13568" max="13569" width="11.140625" style="86" bestFit="1" customWidth="1"/>
    <col min="13570" max="13816" width="9.140625" style="86"/>
    <col min="13817" max="13817" width="9.28515625" style="86" customWidth="1"/>
    <col min="13818" max="13818" width="38" style="86" customWidth="1"/>
    <col min="13819" max="13819" width="12" style="86" customWidth="1"/>
    <col min="13820" max="13820" width="12.7109375" style="86" customWidth="1"/>
    <col min="13821" max="13821" width="10.28515625" style="86" customWidth="1"/>
    <col min="13822" max="13822" width="22.5703125" style="86" customWidth="1"/>
    <col min="13823" max="13823" width="65.140625" style="86" customWidth="1"/>
    <col min="13824" max="13825" width="11.140625" style="86" bestFit="1" customWidth="1"/>
    <col min="13826" max="14072" width="9.140625" style="86"/>
    <col min="14073" max="14073" width="9.28515625" style="86" customWidth="1"/>
    <col min="14074" max="14074" width="38" style="86" customWidth="1"/>
    <col min="14075" max="14075" width="12" style="86" customWidth="1"/>
    <col min="14076" max="14076" width="12.7109375" style="86" customWidth="1"/>
    <col min="14077" max="14077" width="10.28515625" style="86" customWidth="1"/>
    <col min="14078" max="14078" width="22.5703125" style="86" customWidth="1"/>
    <col min="14079" max="14079" width="65.140625" style="86" customWidth="1"/>
    <col min="14080" max="14081" width="11.140625" style="86" bestFit="1" customWidth="1"/>
    <col min="14082" max="14328" width="9.140625" style="86"/>
    <col min="14329" max="14329" width="9.28515625" style="86" customWidth="1"/>
    <col min="14330" max="14330" width="38" style="86" customWidth="1"/>
    <col min="14331" max="14331" width="12" style="86" customWidth="1"/>
    <col min="14332" max="14332" width="12.7109375" style="86" customWidth="1"/>
    <col min="14333" max="14333" width="10.28515625" style="86" customWidth="1"/>
    <col min="14334" max="14334" width="22.5703125" style="86" customWidth="1"/>
    <col min="14335" max="14335" width="65.140625" style="86" customWidth="1"/>
    <col min="14336" max="14337" width="11.140625" style="86" bestFit="1" customWidth="1"/>
    <col min="14338" max="14584" width="9.140625" style="86"/>
    <col min="14585" max="14585" width="9.28515625" style="86" customWidth="1"/>
    <col min="14586" max="14586" width="38" style="86" customWidth="1"/>
    <col min="14587" max="14587" width="12" style="86" customWidth="1"/>
    <col min="14588" max="14588" width="12.7109375" style="86" customWidth="1"/>
    <col min="14589" max="14589" width="10.28515625" style="86" customWidth="1"/>
    <col min="14590" max="14590" width="22.5703125" style="86" customWidth="1"/>
    <col min="14591" max="14591" width="65.140625" style="86" customWidth="1"/>
    <col min="14592" max="14593" width="11.140625" style="86" bestFit="1" customWidth="1"/>
    <col min="14594" max="14840" width="9.140625" style="86"/>
    <col min="14841" max="14841" width="9.28515625" style="86" customWidth="1"/>
    <col min="14842" max="14842" width="38" style="86" customWidth="1"/>
    <col min="14843" max="14843" width="12" style="86" customWidth="1"/>
    <col min="14844" max="14844" width="12.7109375" style="86" customWidth="1"/>
    <col min="14845" max="14845" width="10.28515625" style="86" customWidth="1"/>
    <col min="14846" max="14846" width="22.5703125" style="86" customWidth="1"/>
    <col min="14847" max="14847" width="65.140625" style="86" customWidth="1"/>
    <col min="14848" max="14849" width="11.140625" style="86" bestFit="1" customWidth="1"/>
    <col min="14850" max="15096" width="9.140625" style="86"/>
    <col min="15097" max="15097" width="9.28515625" style="86" customWidth="1"/>
    <col min="15098" max="15098" width="38" style="86" customWidth="1"/>
    <col min="15099" max="15099" width="12" style="86" customWidth="1"/>
    <col min="15100" max="15100" width="12.7109375" style="86" customWidth="1"/>
    <col min="15101" max="15101" width="10.28515625" style="86" customWidth="1"/>
    <col min="15102" max="15102" width="22.5703125" style="86" customWidth="1"/>
    <col min="15103" max="15103" width="65.140625" style="86" customWidth="1"/>
    <col min="15104" max="15105" width="11.140625" style="86" bestFit="1" customWidth="1"/>
    <col min="15106" max="15352" width="9.140625" style="86"/>
    <col min="15353" max="15353" width="9.28515625" style="86" customWidth="1"/>
    <col min="15354" max="15354" width="38" style="86" customWidth="1"/>
    <col min="15355" max="15355" width="12" style="86" customWidth="1"/>
    <col min="15356" max="15356" width="12.7109375" style="86" customWidth="1"/>
    <col min="15357" max="15357" width="10.28515625" style="86" customWidth="1"/>
    <col min="15358" max="15358" width="22.5703125" style="86" customWidth="1"/>
    <col min="15359" max="15359" width="65.140625" style="86" customWidth="1"/>
    <col min="15360" max="15361" width="11.140625" style="86" bestFit="1" customWidth="1"/>
    <col min="15362" max="15608" width="9.140625" style="86"/>
    <col min="15609" max="15609" width="9.28515625" style="86" customWidth="1"/>
    <col min="15610" max="15610" width="38" style="86" customWidth="1"/>
    <col min="15611" max="15611" width="12" style="86" customWidth="1"/>
    <col min="15612" max="15612" width="12.7109375" style="86" customWidth="1"/>
    <col min="15613" max="15613" width="10.28515625" style="86" customWidth="1"/>
    <col min="15614" max="15614" width="22.5703125" style="86" customWidth="1"/>
    <col min="15615" max="15615" width="65.140625" style="86" customWidth="1"/>
    <col min="15616" max="15617" width="11.140625" style="86" bestFit="1" customWidth="1"/>
    <col min="15618" max="15864" width="9.140625" style="86"/>
    <col min="15865" max="15865" width="9.28515625" style="86" customWidth="1"/>
    <col min="15866" max="15866" width="38" style="86" customWidth="1"/>
    <col min="15867" max="15867" width="12" style="86" customWidth="1"/>
    <col min="15868" max="15868" width="12.7109375" style="86" customWidth="1"/>
    <col min="15869" max="15869" width="10.28515625" style="86" customWidth="1"/>
    <col min="15870" max="15870" width="22.5703125" style="86" customWidth="1"/>
    <col min="15871" max="15871" width="65.140625" style="86" customWidth="1"/>
    <col min="15872" max="15873" width="11.140625" style="86" bestFit="1" customWidth="1"/>
    <col min="15874" max="16120" width="9.140625" style="86"/>
    <col min="16121" max="16121" width="9.28515625" style="86" customWidth="1"/>
    <col min="16122" max="16122" width="38" style="86" customWidth="1"/>
    <col min="16123" max="16123" width="12" style="86" customWidth="1"/>
    <col min="16124" max="16124" width="12.7109375" style="86" customWidth="1"/>
    <col min="16125" max="16125" width="10.28515625" style="86" customWidth="1"/>
    <col min="16126" max="16126" width="22.5703125" style="86" customWidth="1"/>
    <col min="16127" max="16127" width="65.140625" style="86" customWidth="1"/>
    <col min="16128" max="16129" width="11.140625" style="86" bestFit="1" customWidth="1"/>
    <col min="16130" max="16384" width="9.140625" style="86"/>
  </cols>
  <sheetData>
    <row r="1" spans="1:6" s="73" customFormat="1" ht="12.75"/>
    <row r="2" spans="1:6" s="73" customFormat="1" ht="15.75">
      <c r="A2" s="288"/>
      <c r="B2" s="289" t="s">
        <v>0</v>
      </c>
      <c r="C2" s="290"/>
      <c r="D2" s="291"/>
      <c r="E2" s="292"/>
      <c r="F2" s="293"/>
    </row>
    <row r="3" spans="1:6" s="73" customFormat="1" ht="12.75">
      <c r="A3" s="285"/>
      <c r="B3" s="286"/>
      <c r="C3" s="287"/>
      <c r="D3" s="70"/>
      <c r="E3" s="71"/>
      <c r="F3" s="66"/>
    </row>
    <row r="4" spans="1:6" s="73" customFormat="1" ht="12.75">
      <c r="A4" s="2292" t="s">
        <v>2</v>
      </c>
      <c r="B4" s="2293"/>
      <c r="C4" s="2294"/>
      <c r="D4" s="2294"/>
      <c r="E4" s="2294"/>
      <c r="F4" s="2295"/>
    </row>
    <row r="5" spans="1:6" s="73" customFormat="1" ht="12.75">
      <c r="A5" s="2296" t="s">
        <v>3</v>
      </c>
      <c r="B5" s="2297"/>
      <c r="C5" s="2298"/>
      <c r="D5" s="2299"/>
      <c r="E5" s="2299"/>
      <c r="F5" s="2298"/>
    </row>
    <row r="6" spans="1:6" s="73" customFormat="1" ht="12.75">
      <c r="A6" s="2292" t="s">
        <v>4</v>
      </c>
      <c r="B6" s="2293"/>
      <c r="C6" s="2294"/>
      <c r="D6" s="2294"/>
      <c r="E6" s="2294"/>
      <c r="F6" s="2295"/>
    </row>
    <row r="7" spans="1:6" s="73" customFormat="1" ht="12.75">
      <c r="A7" s="2296" t="s">
        <v>5</v>
      </c>
      <c r="B7" s="2297"/>
      <c r="C7" s="2299"/>
      <c r="D7" s="2299"/>
      <c r="E7" s="2299"/>
      <c r="F7" s="2298"/>
    </row>
    <row r="8" spans="1:6" s="73" customFormat="1" ht="12.75">
      <c r="A8" s="89"/>
      <c r="B8" s="90"/>
      <c r="C8" s="91"/>
      <c r="D8" s="92"/>
      <c r="E8" s="93"/>
      <c r="F8" s="94"/>
    </row>
    <row r="9" spans="1:6" s="73" customFormat="1" ht="28.35" customHeight="1">
      <c r="A9" s="302"/>
      <c r="B9" s="303" t="s">
        <v>6</v>
      </c>
      <c r="C9" s="304"/>
      <c r="D9" s="305"/>
      <c r="E9" s="306"/>
      <c r="F9" s="2283" t="s">
        <v>10</v>
      </c>
    </row>
    <row r="10" spans="1:6" s="73" customFormat="1" ht="28.35" customHeight="1">
      <c r="A10" s="1538" t="s">
        <v>7</v>
      </c>
      <c r="B10" s="35" t="s">
        <v>8</v>
      </c>
      <c r="C10" s="1534"/>
      <c r="D10" s="1534"/>
      <c r="E10" s="1535"/>
      <c r="F10" s="1539" t="s">
        <v>2268</v>
      </c>
    </row>
    <row r="11" spans="1:6" s="73" customFormat="1" ht="28.35" customHeight="1">
      <c r="A11" s="1538"/>
      <c r="B11" s="35" t="s">
        <v>2012</v>
      </c>
      <c r="C11" s="1534"/>
      <c r="D11" s="1534"/>
      <c r="E11" s="1535"/>
      <c r="F11" s="1539"/>
    </row>
    <row r="12" spans="1:6" s="73" customFormat="1" ht="28.35" customHeight="1">
      <c r="A12" s="38" t="s">
        <v>11</v>
      </c>
      <c r="B12" s="39" t="s">
        <v>236</v>
      </c>
      <c r="C12" s="40"/>
      <c r="D12" s="41"/>
      <c r="E12" s="42"/>
      <c r="F12" s="1556">
        <f>Puconci_VPL!G18</f>
        <v>0</v>
      </c>
    </row>
    <row r="13" spans="1:6" s="73" customFormat="1" ht="28.35" customHeight="1">
      <c r="A13" s="38" t="s">
        <v>13</v>
      </c>
      <c r="B13" s="39" t="s">
        <v>239</v>
      </c>
      <c r="C13" s="40"/>
      <c r="D13" s="41"/>
      <c r="E13" s="42"/>
      <c r="F13" s="1556">
        <f>Puconci_VPUS!G17</f>
        <v>0</v>
      </c>
    </row>
    <row r="14" spans="1:6" s="73" customFormat="1" ht="28.35" customHeight="1">
      <c r="A14" s="38" t="s">
        <v>15</v>
      </c>
      <c r="B14" s="39" t="s">
        <v>238</v>
      </c>
      <c r="C14" s="40"/>
      <c r="D14" s="41"/>
      <c r="E14" s="42"/>
      <c r="F14" s="1556">
        <f>Puconci_VPV!G17</f>
        <v>0</v>
      </c>
    </row>
    <row r="15" spans="1:6" s="73" customFormat="1" ht="28.35" customHeight="1">
      <c r="A15" s="38" t="s">
        <v>17</v>
      </c>
      <c r="B15" s="39" t="s">
        <v>2265</v>
      </c>
      <c r="C15" s="40"/>
      <c r="D15" s="41"/>
      <c r="E15" s="42"/>
      <c r="F15" s="1556">
        <f>'Puconci_RT-4'!G19</f>
        <v>0</v>
      </c>
    </row>
    <row r="16" spans="1:6" s="73" customFormat="1" ht="28.35" customHeight="1">
      <c r="A16" s="38" t="s">
        <v>19</v>
      </c>
      <c r="B16" s="39" t="s">
        <v>1943</v>
      </c>
      <c r="C16" s="40"/>
      <c r="D16" s="41"/>
      <c r="E16" s="42"/>
      <c r="F16" s="1556">
        <f>'Puconci_VH Vaneča'!G17</f>
        <v>0</v>
      </c>
    </row>
    <row r="17" spans="1:6" s="73" customFormat="1" ht="28.35" customHeight="1">
      <c r="A17" s="38" t="s">
        <v>21</v>
      </c>
      <c r="B17" s="39" t="s">
        <v>1933</v>
      </c>
      <c r="C17" s="40"/>
      <c r="D17" s="41"/>
      <c r="E17" s="42"/>
      <c r="F17" s="1556">
        <f>+'Puconci_ČRP Mačkovci'!G19</f>
        <v>0</v>
      </c>
    </row>
    <row r="18" spans="1:6" s="73" customFormat="1" ht="28.35" customHeight="1">
      <c r="A18" s="1538"/>
      <c r="B18" s="2393" t="s">
        <v>2025</v>
      </c>
      <c r="C18" s="2394"/>
      <c r="D18" s="2394"/>
      <c r="E18" s="2395"/>
      <c r="F18" s="1557">
        <f>SUM(F12:F17)</f>
        <v>0</v>
      </c>
    </row>
    <row r="19" spans="1:6" s="73" customFormat="1" ht="28.35" customHeight="1">
      <c r="A19" s="1538"/>
      <c r="B19" s="35" t="s">
        <v>2013</v>
      </c>
      <c r="C19" s="1534"/>
      <c r="D19" s="1534"/>
      <c r="E19" s="1535"/>
      <c r="F19" s="2279"/>
    </row>
    <row r="20" spans="1:6" s="73" customFormat="1" ht="28.35" customHeight="1">
      <c r="A20" s="38" t="s">
        <v>11</v>
      </c>
      <c r="B20" s="39" t="s">
        <v>237</v>
      </c>
      <c r="C20" s="40"/>
      <c r="D20" s="41"/>
      <c r="E20" s="42"/>
      <c r="F20" s="1556">
        <f>Puconci_Mačkovci_Marof_Prosečka!G19</f>
        <v>0</v>
      </c>
    </row>
    <row r="21" spans="1:6" s="73" customFormat="1" ht="28.35" customHeight="1">
      <c r="A21" s="38" t="s">
        <v>13</v>
      </c>
      <c r="B21" s="39" t="s">
        <v>1880</v>
      </c>
      <c r="C21" s="40"/>
      <c r="D21" s="41"/>
      <c r="E21" s="42"/>
      <c r="F21" s="1556">
        <f>+'Puconci_ČRP Bodonci'!G16</f>
        <v>0</v>
      </c>
    </row>
    <row r="22" spans="1:6" s="73" customFormat="1" ht="28.35" customHeight="1">
      <c r="A22" s="38" t="s">
        <v>15</v>
      </c>
      <c r="B22" s="39" t="s">
        <v>1881</v>
      </c>
      <c r="C22" s="40"/>
      <c r="D22" s="41"/>
      <c r="E22" s="42"/>
      <c r="F22" s="1556">
        <f>+'Puconci_ČRP Bokrači'!G16</f>
        <v>0</v>
      </c>
    </row>
    <row r="23" spans="1:6" s="73" customFormat="1" ht="28.35" customHeight="1">
      <c r="A23" s="38" t="s">
        <v>17</v>
      </c>
      <c r="B23" s="39" t="s">
        <v>1882</v>
      </c>
      <c r="C23" s="40"/>
      <c r="D23" s="41"/>
      <c r="E23" s="42"/>
      <c r="F23" s="1556">
        <f>'Puconci_ČRP Kuštanovci (spodaj)'!G16</f>
        <v>0</v>
      </c>
    </row>
    <row r="24" spans="1:6" s="73" customFormat="1" ht="28.35" customHeight="1">
      <c r="A24" s="38" t="s">
        <v>19</v>
      </c>
      <c r="B24" s="39" t="s">
        <v>1883</v>
      </c>
      <c r="C24" s="40"/>
      <c r="D24" s="41"/>
      <c r="E24" s="42"/>
      <c r="F24" s="1556">
        <f>'Puconci_ČRP Pečarovci'!G16</f>
        <v>0</v>
      </c>
    </row>
    <row r="25" spans="1:6" s="73" customFormat="1" ht="28.35" customHeight="1">
      <c r="A25" s="38" t="s">
        <v>21</v>
      </c>
      <c r="B25" s="39" t="s">
        <v>1887</v>
      </c>
      <c r="C25" s="40"/>
      <c r="D25" s="41"/>
      <c r="E25" s="42"/>
      <c r="F25" s="1556">
        <f>'Puconci_ČRP Poznanovci'!G16</f>
        <v>0</v>
      </c>
    </row>
    <row r="26" spans="1:6" s="73" customFormat="1" ht="28.35" customHeight="1">
      <c r="A26" s="38" t="s">
        <v>23</v>
      </c>
      <c r="B26" s="39" t="s">
        <v>1884</v>
      </c>
      <c r="C26" s="40"/>
      <c r="D26" s="41"/>
      <c r="E26" s="42"/>
      <c r="F26" s="1556">
        <f>'Puconci_ČRP Šalamenci'!G16</f>
        <v>0</v>
      </c>
    </row>
    <row r="27" spans="1:6" s="73" customFormat="1" ht="28.35" customHeight="1">
      <c r="A27" s="38" t="s">
        <v>25</v>
      </c>
      <c r="B27" s="39" t="s">
        <v>1885</v>
      </c>
      <c r="C27" s="40"/>
      <c r="D27" s="41"/>
      <c r="E27" s="42"/>
      <c r="F27" s="1556">
        <f>'Puconci_ČRP Vaneča (dom borcev)'!G16</f>
        <v>0</v>
      </c>
    </row>
    <row r="28" spans="1:6" s="73" customFormat="1" ht="28.35" customHeight="1">
      <c r="A28" s="38" t="s">
        <v>864</v>
      </c>
      <c r="B28" s="39" t="s">
        <v>1886</v>
      </c>
      <c r="C28" s="40"/>
      <c r="D28" s="41"/>
      <c r="E28" s="42"/>
      <c r="F28" s="1556">
        <f>'Puconci_ČRP Zenkovci'!G16</f>
        <v>0</v>
      </c>
    </row>
    <row r="29" spans="1:6" s="73" customFormat="1" ht="28.35" customHeight="1">
      <c r="A29" s="1538"/>
      <c r="B29" s="2393" t="s">
        <v>2026</v>
      </c>
      <c r="C29" s="2394"/>
      <c r="D29" s="2394"/>
      <c r="E29" s="2395"/>
      <c r="F29" s="1557">
        <f>SUM(F20:F28)</f>
        <v>0</v>
      </c>
    </row>
    <row r="30" spans="1:6" s="73" customFormat="1" ht="28.35" customHeight="1">
      <c r="A30" s="1538"/>
      <c r="B30" s="35" t="s">
        <v>2011</v>
      </c>
      <c r="C30" s="1534"/>
      <c r="D30" s="1534"/>
      <c r="E30" s="1535"/>
      <c r="F30" s="2279"/>
    </row>
    <row r="31" spans="1:6" s="73" customFormat="1" ht="28.35" customHeight="1">
      <c r="A31" s="38" t="s">
        <v>11</v>
      </c>
      <c r="B31" s="39" t="s">
        <v>240</v>
      </c>
      <c r="C31" s="40"/>
      <c r="D31" s="41"/>
      <c r="E31" s="42"/>
      <c r="F31" s="1556">
        <f>'Puconci_SP-6'!G19</f>
        <v>0</v>
      </c>
    </row>
    <row r="32" spans="1:6" s="73" customFormat="1" ht="28.35" customHeight="1">
      <c r="A32" s="1538"/>
      <c r="B32" s="2393" t="s">
        <v>2027</v>
      </c>
      <c r="C32" s="2394"/>
      <c r="D32" s="2394"/>
      <c r="E32" s="2395"/>
      <c r="F32" s="1557">
        <f>F31</f>
        <v>0</v>
      </c>
    </row>
    <row r="33" spans="1:6" ht="28.35" customHeight="1">
      <c r="A33" s="2273"/>
      <c r="B33" s="2274" t="s">
        <v>27</v>
      </c>
      <c r="C33" s="2275"/>
      <c r="D33" s="2276"/>
      <c r="E33" s="2277"/>
      <c r="F33" s="2278">
        <f>+F32+F29+F18</f>
        <v>0</v>
      </c>
    </row>
    <row r="34" spans="1:6">
      <c r="B34" s="308"/>
      <c r="C34" s="86"/>
      <c r="D34" s="86"/>
      <c r="E34" s="86"/>
      <c r="F34" s="308"/>
    </row>
    <row r="35" spans="1:6">
      <c r="B35" s="308"/>
      <c r="C35" s="86"/>
      <c r="D35" s="86"/>
      <c r="E35" s="86"/>
      <c r="F35" s="308"/>
    </row>
    <row r="36" spans="1:6">
      <c r="B36" s="308"/>
      <c r="C36" s="86"/>
      <c r="D36" s="86"/>
      <c r="E36" s="86"/>
      <c r="F36" s="308"/>
    </row>
    <row r="37" spans="1:6">
      <c r="B37" s="308"/>
      <c r="C37" s="86"/>
      <c r="D37" s="86"/>
      <c r="E37" s="86"/>
      <c r="F37" s="308"/>
    </row>
    <row r="38" spans="1:6">
      <c r="B38" s="308"/>
      <c r="C38" s="86"/>
      <c r="D38" s="86"/>
      <c r="E38" s="86"/>
      <c r="F38" s="308"/>
    </row>
    <row r="39" spans="1:6">
      <c r="B39" s="308"/>
      <c r="C39" s="86"/>
      <c r="D39" s="86"/>
      <c r="E39" s="86"/>
      <c r="F39" s="308"/>
    </row>
    <row r="40" spans="1:6">
      <c r="B40" s="308"/>
      <c r="C40" s="86"/>
      <c r="D40" s="86"/>
      <c r="E40" s="86"/>
      <c r="F40" s="308"/>
    </row>
    <row r="41" spans="1:6">
      <c r="B41" s="308"/>
      <c r="C41" s="86"/>
      <c r="D41" s="86"/>
      <c r="E41" s="86"/>
      <c r="F41" s="308"/>
    </row>
    <row r="42" spans="1:6">
      <c r="B42" s="308"/>
      <c r="C42" s="86"/>
      <c r="D42" s="86"/>
      <c r="E42" s="86"/>
      <c r="F42" s="308"/>
    </row>
    <row r="43" spans="1:6">
      <c r="B43" s="308"/>
      <c r="C43" s="86"/>
      <c r="D43" s="86"/>
      <c r="E43" s="86"/>
      <c r="F43" s="308"/>
    </row>
    <row r="44" spans="1:6">
      <c r="B44" s="308"/>
      <c r="C44" s="86"/>
      <c r="D44" s="86"/>
      <c r="E44" s="86"/>
      <c r="F44" s="308"/>
    </row>
    <row r="45" spans="1:6">
      <c r="B45" s="308"/>
      <c r="C45" s="86"/>
      <c r="D45" s="86"/>
      <c r="E45" s="86"/>
      <c r="F45" s="308"/>
    </row>
    <row r="46" spans="1:6">
      <c r="B46" s="308"/>
      <c r="C46" s="86"/>
      <c r="D46" s="86"/>
      <c r="E46" s="86"/>
      <c r="F46" s="308"/>
    </row>
    <row r="47" spans="1:6">
      <c r="B47" s="308"/>
      <c r="C47" s="86"/>
      <c r="D47" s="86"/>
      <c r="E47" s="86"/>
      <c r="F47" s="308"/>
    </row>
    <row r="48" spans="1:6">
      <c r="B48" s="308"/>
      <c r="C48" s="86"/>
      <c r="D48" s="86"/>
      <c r="E48" s="86"/>
      <c r="F48" s="308"/>
    </row>
    <row r="49" spans="2:6">
      <c r="B49" s="308"/>
      <c r="C49" s="86"/>
      <c r="D49" s="86"/>
      <c r="E49" s="86"/>
      <c r="F49" s="308"/>
    </row>
    <row r="50" spans="2:6">
      <c r="B50" s="308"/>
      <c r="C50" s="86"/>
      <c r="D50" s="86"/>
      <c r="E50" s="86"/>
      <c r="F50" s="308"/>
    </row>
    <row r="51" spans="2:6">
      <c r="B51" s="308"/>
      <c r="C51" s="86"/>
      <c r="D51" s="86"/>
      <c r="E51" s="86"/>
      <c r="F51" s="308"/>
    </row>
    <row r="52" spans="2:6">
      <c r="B52" s="308"/>
      <c r="C52" s="86"/>
      <c r="D52" s="86"/>
      <c r="E52" s="86"/>
      <c r="F52" s="308"/>
    </row>
    <row r="53" spans="2:6">
      <c r="B53" s="308"/>
      <c r="C53" s="86"/>
      <c r="D53" s="86"/>
      <c r="E53" s="86"/>
      <c r="F53" s="308"/>
    </row>
    <row r="54" spans="2:6">
      <c r="B54" s="308"/>
      <c r="C54" s="86"/>
      <c r="D54" s="86"/>
      <c r="E54" s="86"/>
      <c r="F54" s="308"/>
    </row>
    <row r="55" spans="2:6">
      <c r="B55" s="308"/>
      <c r="C55" s="86"/>
      <c r="D55" s="86"/>
      <c r="E55" s="86"/>
      <c r="F55" s="308"/>
    </row>
    <row r="56" spans="2:6">
      <c r="B56" s="308"/>
      <c r="C56" s="86"/>
      <c r="D56" s="86"/>
      <c r="E56" s="86"/>
      <c r="F56" s="308"/>
    </row>
    <row r="57" spans="2:6">
      <c r="B57" s="308"/>
      <c r="C57" s="86"/>
      <c r="D57" s="86"/>
      <c r="E57" s="86"/>
      <c r="F57" s="308"/>
    </row>
    <row r="58" spans="2:6">
      <c r="B58" s="308"/>
      <c r="C58" s="86"/>
      <c r="D58" s="86"/>
      <c r="E58" s="86"/>
      <c r="F58" s="308"/>
    </row>
    <row r="59" spans="2:6">
      <c r="B59" s="308"/>
      <c r="C59" s="86"/>
      <c r="D59" s="86"/>
      <c r="E59" s="86"/>
      <c r="F59" s="308"/>
    </row>
    <row r="60" spans="2:6">
      <c r="B60" s="308"/>
      <c r="C60" s="86"/>
      <c r="D60" s="86"/>
      <c r="E60" s="86"/>
      <c r="F60" s="308"/>
    </row>
    <row r="61" spans="2:6">
      <c r="B61" s="308"/>
      <c r="C61" s="86"/>
      <c r="D61" s="86"/>
      <c r="E61" s="86"/>
      <c r="F61" s="308"/>
    </row>
    <row r="62" spans="2:6">
      <c r="B62" s="308"/>
      <c r="C62" s="86"/>
      <c r="D62" s="86"/>
      <c r="E62" s="86"/>
      <c r="F62" s="308"/>
    </row>
    <row r="63" spans="2:6">
      <c r="B63" s="308"/>
      <c r="C63" s="86"/>
      <c r="D63" s="86"/>
      <c r="E63" s="86"/>
      <c r="F63" s="308"/>
    </row>
    <row r="64" spans="2:6">
      <c r="B64" s="308"/>
      <c r="C64" s="86"/>
      <c r="D64" s="86"/>
      <c r="E64" s="86"/>
      <c r="F64" s="308"/>
    </row>
    <row r="65" spans="2:6">
      <c r="B65" s="308"/>
      <c r="C65" s="86"/>
      <c r="D65" s="86"/>
      <c r="E65" s="86"/>
      <c r="F65" s="308"/>
    </row>
    <row r="66" spans="2:6">
      <c r="B66" s="308"/>
      <c r="C66" s="86"/>
      <c r="D66" s="86"/>
      <c r="E66" s="86"/>
      <c r="F66" s="308"/>
    </row>
    <row r="67" spans="2:6">
      <c r="B67" s="308"/>
      <c r="C67" s="86"/>
      <c r="D67" s="86"/>
      <c r="E67" s="86"/>
      <c r="F67" s="308"/>
    </row>
    <row r="68" spans="2:6">
      <c r="B68" s="308"/>
      <c r="C68" s="86"/>
      <c r="D68" s="86"/>
      <c r="E68" s="86"/>
      <c r="F68" s="308"/>
    </row>
    <row r="69" spans="2:6">
      <c r="B69" s="308"/>
      <c r="C69" s="86"/>
      <c r="D69" s="86"/>
      <c r="E69" s="86"/>
      <c r="F69" s="308"/>
    </row>
    <row r="70" spans="2:6">
      <c r="B70" s="308"/>
      <c r="C70" s="86"/>
      <c r="D70" s="86"/>
      <c r="E70" s="86"/>
      <c r="F70" s="308"/>
    </row>
    <row r="71" spans="2:6">
      <c r="B71" s="308"/>
      <c r="C71" s="86"/>
      <c r="D71" s="86"/>
      <c r="E71" s="86"/>
      <c r="F71" s="308"/>
    </row>
    <row r="72" spans="2:6">
      <c r="B72" s="308"/>
      <c r="C72" s="86"/>
      <c r="D72" s="86"/>
      <c r="E72" s="86"/>
      <c r="F72" s="308"/>
    </row>
    <row r="73" spans="2:6">
      <c r="B73" s="308"/>
      <c r="C73" s="86"/>
      <c r="D73" s="86"/>
      <c r="E73" s="86"/>
      <c r="F73" s="308"/>
    </row>
    <row r="74" spans="2:6">
      <c r="B74" s="308"/>
      <c r="C74" s="86"/>
      <c r="D74" s="86"/>
      <c r="E74" s="86"/>
      <c r="F74" s="308"/>
    </row>
    <row r="75" spans="2:6">
      <c r="B75" s="308"/>
      <c r="C75" s="86"/>
      <c r="D75" s="86"/>
      <c r="E75" s="86"/>
      <c r="F75" s="308"/>
    </row>
    <row r="76" spans="2:6">
      <c r="B76" s="308"/>
      <c r="C76" s="86"/>
      <c r="D76" s="86"/>
      <c r="E76" s="86"/>
      <c r="F76" s="308"/>
    </row>
    <row r="77" spans="2:6">
      <c r="B77" s="308"/>
      <c r="C77" s="86"/>
      <c r="D77" s="86"/>
      <c r="E77" s="86"/>
      <c r="F77" s="308"/>
    </row>
    <row r="78" spans="2:6">
      <c r="B78" s="308"/>
      <c r="C78" s="86"/>
      <c r="D78" s="86"/>
      <c r="E78" s="86"/>
      <c r="F78" s="308"/>
    </row>
    <row r="79" spans="2:6">
      <c r="B79" s="308"/>
      <c r="C79" s="86"/>
      <c r="D79" s="86"/>
      <c r="E79" s="86"/>
      <c r="F79" s="308"/>
    </row>
    <row r="80" spans="2:6">
      <c r="B80" s="308"/>
      <c r="C80" s="86"/>
      <c r="D80" s="86"/>
      <c r="E80" s="86"/>
      <c r="F80" s="308"/>
    </row>
    <row r="81" spans="2:6">
      <c r="B81" s="308"/>
      <c r="C81" s="86"/>
      <c r="D81" s="86"/>
      <c r="E81" s="86"/>
      <c r="F81" s="308"/>
    </row>
    <row r="82" spans="2:6">
      <c r="B82" s="308"/>
      <c r="C82" s="86"/>
      <c r="D82" s="86"/>
      <c r="E82" s="86"/>
      <c r="F82" s="308"/>
    </row>
    <row r="83" spans="2:6">
      <c r="B83" s="308"/>
      <c r="C83" s="86"/>
      <c r="D83" s="86"/>
      <c r="E83" s="86"/>
      <c r="F83" s="308"/>
    </row>
    <row r="84" spans="2:6">
      <c r="B84" s="308"/>
      <c r="C84" s="86"/>
      <c r="D84" s="86"/>
      <c r="E84" s="86"/>
      <c r="F84" s="308"/>
    </row>
    <row r="85" spans="2:6">
      <c r="B85" s="308"/>
      <c r="C85" s="86"/>
      <c r="D85" s="86"/>
      <c r="E85" s="86"/>
      <c r="F85" s="308"/>
    </row>
    <row r="86" spans="2:6">
      <c r="B86" s="308"/>
      <c r="C86" s="86"/>
      <c r="D86" s="86"/>
      <c r="E86" s="86"/>
      <c r="F86" s="308"/>
    </row>
    <row r="87" spans="2:6">
      <c r="B87" s="308"/>
      <c r="C87" s="86"/>
      <c r="D87" s="86"/>
      <c r="E87" s="86"/>
      <c r="F87" s="308"/>
    </row>
    <row r="88" spans="2:6">
      <c r="B88" s="308"/>
      <c r="C88" s="86"/>
      <c r="D88" s="86"/>
      <c r="E88" s="86"/>
      <c r="F88" s="308"/>
    </row>
    <row r="89" spans="2:6">
      <c r="B89" s="308"/>
      <c r="C89" s="86"/>
      <c r="D89" s="86"/>
      <c r="E89" s="86"/>
      <c r="F89" s="308"/>
    </row>
    <row r="90" spans="2:6">
      <c r="B90" s="308"/>
      <c r="C90" s="86"/>
      <c r="D90" s="86"/>
      <c r="E90" s="86"/>
      <c r="F90" s="308"/>
    </row>
    <row r="91" spans="2:6">
      <c r="B91" s="308"/>
      <c r="C91" s="86"/>
      <c r="D91" s="86"/>
      <c r="E91" s="86"/>
      <c r="F91" s="308"/>
    </row>
    <row r="92" spans="2:6">
      <c r="B92" s="308"/>
      <c r="C92" s="86"/>
      <c r="D92" s="86"/>
      <c r="E92" s="86"/>
      <c r="F92" s="308"/>
    </row>
    <row r="93" spans="2:6">
      <c r="B93" s="308"/>
      <c r="C93" s="86"/>
      <c r="D93" s="86"/>
      <c r="E93" s="86"/>
      <c r="F93" s="308"/>
    </row>
    <row r="94" spans="2:6">
      <c r="B94" s="308"/>
      <c r="C94" s="86"/>
      <c r="D94" s="86"/>
      <c r="E94" s="86"/>
      <c r="F94" s="308"/>
    </row>
    <row r="95" spans="2:6">
      <c r="B95" s="308"/>
      <c r="C95" s="86"/>
      <c r="D95" s="86"/>
      <c r="E95" s="86"/>
      <c r="F95" s="308"/>
    </row>
    <row r="96" spans="2:6">
      <c r="B96" s="308"/>
      <c r="C96" s="86"/>
      <c r="D96" s="86"/>
      <c r="E96" s="86"/>
      <c r="F96" s="308"/>
    </row>
    <row r="97" spans="2:6">
      <c r="B97" s="308"/>
      <c r="C97" s="86"/>
      <c r="D97" s="86"/>
      <c r="E97" s="86"/>
      <c r="F97" s="308"/>
    </row>
    <row r="98" spans="2:6">
      <c r="B98" s="308"/>
      <c r="C98" s="86"/>
      <c r="D98" s="86"/>
      <c r="E98" s="86"/>
      <c r="F98" s="308"/>
    </row>
    <row r="99" spans="2:6">
      <c r="B99" s="308"/>
      <c r="C99" s="86"/>
      <c r="D99" s="86"/>
      <c r="E99" s="86"/>
      <c r="F99" s="308"/>
    </row>
    <row r="100" spans="2:6">
      <c r="B100" s="308"/>
      <c r="C100" s="86"/>
      <c r="D100" s="86"/>
      <c r="E100" s="86"/>
      <c r="F100" s="308"/>
    </row>
    <row r="101" spans="2:6">
      <c r="B101" s="308"/>
      <c r="C101" s="86"/>
      <c r="D101" s="86"/>
      <c r="E101" s="86"/>
      <c r="F101" s="308"/>
    </row>
    <row r="102" spans="2:6">
      <c r="B102" s="308"/>
      <c r="C102" s="86"/>
      <c r="D102" s="86"/>
      <c r="E102" s="86"/>
      <c r="F102" s="308"/>
    </row>
    <row r="103" spans="2:6">
      <c r="B103" s="308"/>
      <c r="C103" s="86"/>
      <c r="D103" s="86"/>
      <c r="E103" s="86"/>
      <c r="F103" s="308"/>
    </row>
    <row r="104" spans="2:6">
      <c r="B104" s="308"/>
      <c r="C104" s="86"/>
      <c r="D104" s="86"/>
      <c r="E104" s="86"/>
      <c r="F104" s="308"/>
    </row>
    <row r="105" spans="2:6">
      <c r="B105" s="308"/>
      <c r="C105" s="86"/>
      <c r="D105" s="86"/>
      <c r="E105" s="86"/>
      <c r="F105" s="308"/>
    </row>
    <row r="106" spans="2:6">
      <c r="B106" s="308"/>
      <c r="C106" s="86"/>
      <c r="D106" s="86"/>
      <c r="E106" s="86"/>
      <c r="F106" s="308"/>
    </row>
    <row r="107" spans="2:6">
      <c r="B107" s="308"/>
      <c r="C107" s="86"/>
      <c r="D107" s="86"/>
      <c r="E107" s="86"/>
      <c r="F107" s="308"/>
    </row>
    <row r="108" spans="2:6">
      <c r="B108" s="308"/>
      <c r="C108" s="86"/>
      <c r="D108" s="86"/>
      <c r="E108" s="86"/>
      <c r="F108" s="308"/>
    </row>
    <row r="109" spans="2:6">
      <c r="B109" s="308"/>
      <c r="C109" s="86"/>
      <c r="D109" s="86"/>
      <c r="E109" s="86"/>
      <c r="F109" s="308"/>
    </row>
    <row r="110" spans="2:6">
      <c r="B110" s="308"/>
      <c r="C110" s="86"/>
      <c r="D110" s="86"/>
      <c r="E110" s="86"/>
      <c r="F110" s="308"/>
    </row>
    <row r="111" spans="2:6">
      <c r="B111" s="308"/>
      <c r="C111" s="86"/>
      <c r="D111" s="86"/>
      <c r="E111" s="86"/>
      <c r="F111" s="308"/>
    </row>
    <row r="112" spans="2:6">
      <c r="B112" s="308"/>
      <c r="C112" s="86"/>
      <c r="D112" s="86"/>
      <c r="E112" s="86"/>
      <c r="F112" s="308"/>
    </row>
    <row r="113" spans="2:6">
      <c r="B113" s="308"/>
      <c r="C113" s="86"/>
      <c r="D113" s="86"/>
      <c r="E113" s="86"/>
      <c r="F113" s="308"/>
    </row>
    <row r="114" spans="2:6">
      <c r="B114" s="308"/>
      <c r="C114" s="86"/>
      <c r="D114" s="86"/>
      <c r="E114" s="86"/>
      <c r="F114" s="308"/>
    </row>
    <row r="115" spans="2:6">
      <c r="B115" s="308"/>
      <c r="C115" s="86"/>
      <c r="D115" s="86"/>
      <c r="E115" s="86"/>
      <c r="F115" s="308"/>
    </row>
    <row r="116" spans="2:6">
      <c r="B116" s="308"/>
      <c r="C116" s="86"/>
      <c r="D116" s="86"/>
      <c r="E116" s="86"/>
      <c r="F116" s="308"/>
    </row>
    <row r="117" spans="2:6">
      <c r="B117" s="308"/>
      <c r="C117" s="86"/>
      <c r="D117" s="86"/>
      <c r="E117" s="86"/>
      <c r="F117" s="308"/>
    </row>
    <row r="118" spans="2:6">
      <c r="B118" s="308"/>
      <c r="C118" s="86"/>
      <c r="D118" s="86"/>
      <c r="E118" s="86"/>
      <c r="F118" s="308"/>
    </row>
    <row r="119" spans="2:6">
      <c r="B119" s="308"/>
      <c r="C119" s="86"/>
      <c r="D119" s="86"/>
      <c r="E119" s="86"/>
      <c r="F119" s="308"/>
    </row>
    <row r="120" spans="2:6">
      <c r="B120" s="308"/>
      <c r="C120" s="86"/>
      <c r="D120" s="86"/>
      <c r="E120" s="86"/>
      <c r="F120" s="308"/>
    </row>
    <row r="121" spans="2:6">
      <c r="B121" s="308"/>
      <c r="C121" s="86"/>
      <c r="D121" s="86"/>
      <c r="E121" s="86"/>
      <c r="F121" s="308"/>
    </row>
    <row r="122" spans="2:6">
      <c r="B122" s="308"/>
      <c r="C122" s="86"/>
      <c r="D122" s="86"/>
      <c r="E122" s="86"/>
      <c r="F122" s="308"/>
    </row>
    <row r="123" spans="2:6">
      <c r="B123" s="308"/>
      <c r="C123" s="86"/>
      <c r="D123" s="86"/>
      <c r="E123" s="86"/>
      <c r="F123" s="308"/>
    </row>
    <row r="124" spans="2:6">
      <c r="B124" s="308"/>
      <c r="C124" s="86"/>
      <c r="D124" s="86"/>
      <c r="E124" s="86"/>
      <c r="F124" s="308"/>
    </row>
    <row r="125" spans="2:6">
      <c r="B125" s="308"/>
      <c r="C125" s="86"/>
      <c r="D125" s="86"/>
      <c r="E125" s="86"/>
      <c r="F125" s="308"/>
    </row>
    <row r="126" spans="2:6">
      <c r="B126" s="308"/>
      <c r="C126" s="86"/>
      <c r="D126" s="86"/>
      <c r="E126" s="86"/>
      <c r="F126" s="308"/>
    </row>
    <row r="127" spans="2:6">
      <c r="B127" s="308"/>
      <c r="C127" s="86"/>
      <c r="D127" s="86"/>
      <c r="E127" s="86"/>
      <c r="F127" s="308"/>
    </row>
    <row r="128" spans="2:6">
      <c r="B128" s="308"/>
      <c r="C128" s="86"/>
      <c r="D128" s="86"/>
      <c r="E128" s="86"/>
      <c r="F128" s="308"/>
    </row>
    <row r="129" spans="2:6">
      <c r="B129" s="308"/>
      <c r="C129" s="86"/>
      <c r="D129" s="86"/>
      <c r="E129" s="86"/>
      <c r="F129" s="308"/>
    </row>
    <row r="130" spans="2:6">
      <c r="B130" s="308"/>
      <c r="C130" s="86"/>
      <c r="D130" s="86"/>
      <c r="E130" s="86"/>
      <c r="F130" s="308"/>
    </row>
    <row r="131" spans="2:6">
      <c r="B131" s="308"/>
      <c r="C131" s="86"/>
      <c r="D131" s="86"/>
      <c r="E131" s="86"/>
      <c r="F131" s="308"/>
    </row>
    <row r="132" spans="2:6">
      <c r="B132" s="308"/>
      <c r="C132" s="86"/>
      <c r="D132" s="86"/>
      <c r="E132" s="86"/>
      <c r="F132" s="308"/>
    </row>
    <row r="133" spans="2:6">
      <c r="B133" s="308"/>
      <c r="C133" s="86"/>
      <c r="D133" s="86"/>
      <c r="E133" s="86"/>
      <c r="F133" s="308"/>
    </row>
    <row r="134" spans="2:6">
      <c r="B134" s="308"/>
      <c r="C134" s="86"/>
      <c r="D134" s="86"/>
      <c r="E134" s="86"/>
      <c r="F134" s="308"/>
    </row>
    <row r="135" spans="2:6">
      <c r="B135" s="308"/>
      <c r="C135" s="86"/>
      <c r="D135" s="86"/>
      <c r="E135" s="86"/>
      <c r="F135" s="308"/>
    </row>
    <row r="136" spans="2:6">
      <c r="B136" s="308"/>
      <c r="C136" s="86"/>
      <c r="D136" s="86"/>
      <c r="E136" s="86"/>
      <c r="F136" s="308"/>
    </row>
    <row r="137" spans="2:6">
      <c r="B137" s="308"/>
      <c r="C137" s="86"/>
      <c r="D137" s="86"/>
      <c r="E137" s="86"/>
      <c r="F137" s="308"/>
    </row>
    <row r="138" spans="2:6">
      <c r="B138" s="308"/>
      <c r="C138" s="86"/>
      <c r="D138" s="86"/>
      <c r="E138" s="86"/>
      <c r="F138" s="308"/>
    </row>
    <row r="139" spans="2:6">
      <c r="B139" s="308"/>
      <c r="C139" s="86"/>
      <c r="D139" s="86"/>
      <c r="E139" s="86"/>
      <c r="F139" s="308"/>
    </row>
    <row r="140" spans="2:6">
      <c r="B140" s="308"/>
      <c r="C140" s="86"/>
      <c r="D140" s="86"/>
      <c r="E140" s="86"/>
      <c r="F140" s="308"/>
    </row>
    <row r="141" spans="2:6">
      <c r="B141" s="308"/>
      <c r="C141" s="86"/>
      <c r="D141" s="86"/>
      <c r="E141" s="86"/>
      <c r="F141" s="308"/>
    </row>
    <row r="142" spans="2:6">
      <c r="B142" s="308"/>
      <c r="C142" s="86"/>
      <c r="D142" s="86"/>
      <c r="E142" s="86"/>
      <c r="F142" s="308"/>
    </row>
    <row r="143" spans="2:6">
      <c r="B143" s="308"/>
      <c r="C143" s="86"/>
      <c r="D143" s="86"/>
      <c r="E143" s="86"/>
      <c r="F143" s="308"/>
    </row>
    <row r="144" spans="2:6">
      <c r="B144" s="308"/>
      <c r="C144" s="86"/>
      <c r="D144" s="86"/>
      <c r="E144" s="86"/>
      <c r="F144" s="308"/>
    </row>
    <row r="145" spans="2:6">
      <c r="B145" s="308"/>
      <c r="C145" s="86"/>
      <c r="D145" s="86"/>
      <c r="E145" s="86"/>
      <c r="F145" s="308"/>
    </row>
    <row r="146" spans="2:6">
      <c r="B146" s="308"/>
      <c r="C146" s="86"/>
      <c r="D146" s="86"/>
      <c r="E146" s="86"/>
      <c r="F146" s="308"/>
    </row>
    <row r="147" spans="2:6">
      <c r="B147" s="308"/>
      <c r="C147" s="86"/>
      <c r="D147" s="86"/>
      <c r="E147" s="86"/>
      <c r="F147" s="308"/>
    </row>
    <row r="148" spans="2:6">
      <c r="B148" s="308"/>
      <c r="C148" s="86"/>
      <c r="D148" s="86"/>
      <c r="E148" s="86"/>
      <c r="F148" s="308"/>
    </row>
    <row r="149" spans="2:6">
      <c r="B149" s="308"/>
      <c r="C149" s="86"/>
      <c r="D149" s="86"/>
      <c r="E149" s="86"/>
      <c r="F149" s="308"/>
    </row>
    <row r="150" spans="2:6">
      <c r="B150" s="308"/>
      <c r="C150" s="86"/>
      <c r="D150" s="86"/>
      <c r="E150" s="86"/>
      <c r="F150" s="308"/>
    </row>
    <row r="151" spans="2:6">
      <c r="B151" s="308"/>
      <c r="C151" s="86"/>
      <c r="D151" s="86"/>
      <c r="E151" s="86"/>
      <c r="F151" s="308"/>
    </row>
    <row r="152" spans="2:6">
      <c r="B152" s="308"/>
      <c r="C152" s="86"/>
      <c r="D152" s="86"/>
      <c r="E152" s="86"/>
      <c r="F152" s="308"/>
    </row>
    <row r="153" spans="2:6">
      <c r="B153" s="308"/>
      <c r="C153" s="86"/>
      <c r="D153" s="86"/>
      <c r="E153" s="86"/>
      <c r="F153" s="308"/>
    </row>
    <row r="154" spans="2:6">
      <c r="B154" s="308"/>
      <c r="C154" s="86"/>
      <c r="D154" s="86"/>
      <c r="E154" s="86"/>
      <c r="F154" s="308"/>
    </row>
    <row r="155" spans="2:6">
      <c r="B155" s="308"/>
      <c r="C155" s="86"/>
      <c r="D155" s="86"/>
      <c r="E155" s="86"/>
      <c r="F155" s="308"/>
    </row>
    <row r="156" spans="2:6">
      <c r="B156" s="308"/>
      <c r="C156" s="86"/>
      <c r="D156" s="86"/>
      <c r="E156" s="86"/>
      <c r="F156" s="308"/>
    </row>
    <row r="157" spans="2:6">
      <c r="B157" s="308"/>
      <c r="C157" s="86"/>
      <c r="D157" s="86"/>
      <c r="E157" s="86"/>
      <c r="F157" s="308"/>
    </row>
    <row r="158" spans="2:6">
      <c r="B158" s="308"/>
      <c r="C158" s="86"/>
      <c r="D158" s="86"/>
      <c r="E158" s="86"/>
      <c r="F158" s="308"/>
    </row>
    <row r="159" spans="2:6">
      <c r="B159" s="308"/>
      <c r="C159" s="86"/>
      <c r="D159" s="86"/>
      <c r="E159" s="86"/>
      <c r="F159" s="308"/>
    </row>
    <row r="160" spans="2:6">
      <c r="B160" s="308"/>
      <c r="C160" s="86"/>
      <c r="D160" s="86"/>
      <c r="E160" s="86"/>
      <c r="F160" s="308"/>
    </row>
    <row r="161" spans="2:6">
      <c r="B161" s="308"/>
      <c r="C161" s="86"/>
      <c r="D161" s="86"/>
      <c r="E161" s="86"/>
      <c r="F161" s="308"/>
    </row>
    <row r="162" spans="2:6">
      <c r="B162" s="308"/>
      <c r="C162" s="86"/>
      <c r="D162" s="86"/>
      <c r="E162" s="86"/>
      <c r="F162" s="308"/>
    </row>
    <row r="163" spans="2:6">
      <c r="B163" s="308"/>
      <c r="C163" s="86"/>
      <c r="D163" s="86"/>
      <c r="E163" s="86"/>
      <c r="F163" s="308"/>
    </row>
    <row r="164" spans="2:6">
      <c r="B164" s="308"/>
      <c r="C164" s="86"/>
      <c r="D164" s="86"/>
      <c r="E164" s="86"/>
      <c r="F164" s="308"/>
    </row>
    <row r="165" spans="2:6">
      <c r="B165" s="308"/>
      <c r="C165" s="86"/>
      <c r="D165" s="86"/>
      <c r="E165" s="86"/>
      <c r="F165" s="308"/>
    </row>
    <row r="166" spans="2:6">
      <c r="B166" s="308"/>
      <c r="C166" s="86"/>
      <c r="D166" s="86"/>
      <c r="E166" s="86"/>
      <c r="F166" s="308"/>
    </row>
    <row r="167" spans="2:6">
      <c r="B167" s="308"/>
      <c r="C167" s="86"/>
      <c r="D167" s="86"/>
      <c r="E167" s="86"/>
      <c r="F167" s="308"/>
    </row>
    <row r="168" spans="2:6">
      <c r="B168" s="308"/>
      <c r="C168" s="86"/>
      <c r="D168" s="86"/>
      <c r="E168" s="86"/>
      <c r="F168" s="308"/>
    </row>
    <row r="169" spans="2:6">
      <c r="B169" s="308"/>
      <c r="C169" s="86"/>
      <c r="D169" s="86"/>
      <c r="E169" s="86"/>
      <c r="F169" s="308"/>
    </row>
    <row r="170" spans="2:6">
      <c r="B170" s="308"/>
      <c r="C170" s="86"/>
      <c r="D170" s="86"/>
      <c r="E170" s="86"/>
      <c r="F170" s="308"/>
    </row>
    <row r="171" spans="2:6">
      <c r="B171" s="308"/>
      <c r="C171" s="86"/>
      <c r="D171" s="86"/>
      <c r="E171" s="86"/>
      <c r="F171" s="308"/>
    </row>
    <row r="172" spans="2:6">
      <c r="B172" s="308"/>
      <c r="C172" s="86"/>
      <c r="D172" s="86"/>
      <c r="E172" s="86"/>
      <c r="F172" s="308"/>
    </row>
    <row r="173" spans="2:6">
      <c r="B173" s="308"/>
      <c r="C173" s="86"/>
      <c r="D173" s="86"/>
      <c r="E173" s="86"/>
      <c r="F173" s="308"/>
    </row>
    <row r="174" spans="2:6">
      <c r="B174" s="308"/>
      <c r="C174" s="86"/>
      <c r="D174" s="86"/>
      <c r="E174" s="86"/>
      <c r="F174" s="308"/>
    </row>
    <row r="175" spans="2:6">
      <c r="B175" s="308"/>
      <c r="C175" s="86"/>
      <c r="D175" s="86"/>
      <c r="E175" s="86"/>
      <c r="F175" s="308"/>
    </row>
    <row r="176" spans="2:6">
      <c r="B176" s="308"/>
      <c r="C176" s="86"/>
      <c r="D176" s="86"/>
      <c r="E176" s="86"/>
      <c r="F176" s="308"/>
    </row>
    <row r="177" spans="2:6">
      <c r="B177" s="308"/>
      <c r="C177" s="86"/>
      <c r="D177" s="86"/>
      <c r="E177" s="86"/>
      <c r="F177" s="308"/>
    </row>
    <row r="178" spans="2:6">
      <c r="B178" s="308"/>
      <c r="C178" s="86"/>
      <c r="D178" s="86"/>
      <c r="E178" s="86"/>
      <c r="F178" s="308"/>
    </row>
    <row r="179" spans="2:6">
      <c r="B179" s="308"/>
      <c r="C179" s="86"/>
      <c r="D179" s="86"/>
      <c r="E179" s="86"/>
      <c r="F179" s="308"/>
    </row>
    <row r="180" spans="2:6">
      <c r="B180" s="308"/>
      <c r="C180" s="86"/>
      <c r="D180" s="86"/>
      <c r="E180" s="86"/>
      <c r="F180" s="308"/>
    </row>
    <row r="181" spans="2:6">
      <c r="B181" s="308"/>
      <c r="C181" s="86"/>
      <c r="D181" s="86"/>
      <c r="E181" s="86"/>
      <c r="F181" s="308"/>
    </row>
    <row r="182" spans="2:6">
      <c r="B182" s="308"/>
      <c r="C182" s="86"/>
      <c r="D182" s="86"/>
      <c r="E182" s="86"/>
      <c r="F182" s="308"/>
    </row>
    <row r="183" spans="2:6">
      <c r="B183" s="308"/>
      <c r="C183" s="86"/>
      <c r="D183" s="86"/>
      <c r="E183" s="86"/>
      <c r="F183" s="308"/>
    </row>
    <row r="184" spans="2:6">
      <c r="B184" s="308"/>
      <c r="C184" s="86"/>
      <c r="D184" s="86"/>
      <c r="E184" s="86"/>
      <c r="F184" s="308"/>
    </row>
    <row r="185" spans="2:6">
      <c r="B185" s="308"/>
      <c r="C185" s="86"/>
      <c r="D185" s="86"/>
      <c r="E185" s="86"/>
      <c r="F185" s="308"/>
    </row>
    <row r="186" spans="2:6">
      <c r="B186" s="308"/>
      <c r="C186" s="86"/>
      <c r="D186" s="86"/>
      <c r="E186" s="86"/>
      <c r="F186" s="308"/>
    </row>
    <row r="187" spans="2:6">
      <c r="B187" s="308"/>
      <c r="C187" s="86"/>
      <c r="D187" s="86"/>
      <c r="E187" s="86"/>
      <c r="F187" s="308"/>
    </row>
    <row r="188" spans="2:6">
      <c r="B188" s="308"/>
      <c r="C188" s="86"/>
      <c r="D188" s="86"/>
      <c r="E188" s="86"/>
      <c r="F188" s="308"/>
    </row>
    <row r="189" spans="2:6">
      <c r="B189" s="308"/>
      <c r="C189" s="86"/>
      <c r="D189" s="86"/>
      <c r="E189" s="86"/>
      <c r="F189" s="308"/>
    </row>
    <row r="190" spans="2:6">
      <c r="B190" s="308"/>
      <c r="C190" s="86"/>
      <c r="D190" s="86"/>
      <c r="E190" s="86"/>
      <c r="F190" s="308"/>
    </row>
    <row r="191" spans="2:6">
      <c r="B191" s="308"/>
      <c r="C191" s="86"/>
      <c r="D191" s="86"/>
      <c r="E191" s="86"/>
      <c r="F191" s="308"/>
    </row>
    <row r="192" spans="2:6">
      <c r="B192" s="308"/>
      <c r="C192" s="86"/>
      <c r="D192" s="86"/>
      <c r="E192" s="86"/>
      <c r="F192" s="308"/>
    </row>
    <row r="193" spans="2:6">
      <c r="B193" s="308"/>
      <c r="C193" s="86"/>
      <c r="D193" s="86"/>
      <c r="E193" s="86"/>
      <c r="F193" s="308"/>
    </row>
    <row r="194" spans="2:6">
      <c r="B194" s="308"/>
      <c r="C194" s="86"/>
      <c r="D194" s="86"/>
      <c r="E194" s="86"/>
      <c r="F194" s="308"/>
    </row>
    <row r="195" spans="2:6">
      <c r="B195" s="308"/>
      <c r="C195" s="86"/>
      <c r="D195" s="86"/>
      <c r="E195" s="86"/>
      <c r="F195" s="308"/>
    </row>
    <row r="196" spans="2:6">
      <c r="B196" s="308"/>
      <c r="C196" s="86"/>
      <c r="D196" s="86"/>
      <c r="E196" s="86"/>
      <c r="F196" s="308"/>
    </row>
    <row r="197" spans="2:6">
      <c r="B197" s="308"/>
      <c r="C197" s="86"/>
      <c r="D197" s="86"/>
      <c r="E197" s="86"/>
      <c r="F197" s="308"/>
    </row>
    <row r="198" spans="2:6">
      <c r="B198" s="308"/>
      <c r="C198" s="86"/>
      <c r="D198" s="86"/>
      <c r="E198" s="86"/>
      <c r="F198" s="308"/>
    </row>
    <row r="199" spans="2:6">
      <c r="B199" s="308"/>
      <c r="C199" s="86"/>
      <c r="D199" s="86"/>
      <c r="E199" s="86"/>
      <c r="F199" s="308"/>
    </row>
    <row r="200" spans="2:6">
      <c r="B200" s="308"/>
      <c r="C200" s="86"/>
      <c r="D200" s="86"/>
      <c r="E200" s="86"/>
      <c r="F200" s="308"/>
    </row>
    <row r="201" spans="2:6">
      <c r="B201" s="308"/>
      <c r="C201" s="86"/>
      <c r="D201" s="86"/>
      <c r="E201" s="86"/>
      <c r="F201" s="308"/>
    </row>
    <row r="202" spans="2:6">
      <c r="B202" s="308"/>
      <c r="C202" s="86"/>
      <c r="D202" s="86"/>
      <c r="E202" s="86"/>
      <c r="F202" s="308"/>
    </row>
    <row r="203" spans="2:6">
      <c r="B203" s="308"/>
      <c r="C203" s="86"/>
      <c r="D203" s="86"/>
      <c r="E203" s="86"/>
      <c r="F203" s="308"/>
    </row>
    <row r="204" spans="2:6">
      <c r="B204" s="308"/>
      <c r="C204" s="86"/>
      <c r="D204" s="86"/>
      <c r="E204" s="86"/>
      <c r="F204" s="308"/>
    </row>
    <row r="205" spans="2:6">
      <c r="B205" s="308"/>
      <c r="C205" s="86"/>
      <c r="D205" s="86"/>
      <c r="E205" s="86"/>
      <c r="F205" s="308"/>
    </row>
    <row r="206" spans="2:6">
      <c r="B206" s="308"/>
      <c r="C206" s="86"/>
      <c r="D206" s="86"/>
      <c r="E206" s="86"/>
      <c r="F206" s="308"/>
    </row>
    <row r="207" spans="2:6">
      <c r="B207" s="308"/>
      <c r="C207" s="86"/>
      <c r="D207" s="86"/>
      <c r="E207" s="86"/>
      <c r="F207" s="308"/>
    </row>
    <row r="208" spans="2:6">
      <c r="B208" s="308"/>
      <c r="C208" s="86"/>
      <c r="D208" s="86"/>
      <c r="E208" s="86"/>
      <c r="F208" s="308"/>
    </row>
    <row r="209" spans="2:6">
      <c r="B209" s="308"/>
      <c r="C209" s="86"/>
      <c r="D209" s="86"/>
      <c r="E209" s="86"/>
      <c r="F209" s="308"/>
    </row>
    <row r="210" spans="2:6">
      <c r="B210" s="308"/>
      <c r="C210" s="86"/>
      <c r="D210" s="86"/>
      <c r="E210" s="86"/>
      <c r="F210" s="308"/>
    </row>
    <row r="211" spans="2:6">
      <c r="B211" s="308"/>
      <c r="C211" s="86"/>
      <c r="D211" s="86"/>
      <c r="E211" s="86"/>
      <c r="F211" s="308"/>
    </row>
    <row r="212" spans="2:6">
      <c r="B212" s="308"/>
      <c r="C212" s="86"/>
      <c r="D212" s="86"/>
      <c r="E212" s="86"/>
      <c r="F212" s="308"/>
    </row>
    <row r="213" spans="2:6">
      <c r="B213" s="308"/>
      <c r="C213" s="86"/>
      <c r="D213" s="86"/>
      <c r="E213" s="86"/>
      <c r="F213" s="308"/>
    </row>
    <row r="214" spans="2:6">
      <c r="B214" s="308"/>
      <c r="C214" s="86"/>
      <c r="D214" s="86"/>
      <c r="E214" s="86"/>
      <c r="F214" s="308"/>
    </row>
    <row r="215" spans="2:6">
      <c r="B215" s="308"/>
      <c r="C215" s="86"/>
      <c r="D215" s="86"/>
      <c r="E215" s="86"/>
      <c r="F215" s="308"/>
    </row>
    <row r="216" spans="2:6">
      <c r="B216" s="308"/>
      <c r="C216" s="86"/>
      <c r="D216" s="86"/>
      <c r="E216" s="86"/>
      <c r="F216" s="308"/>
    </row>
    <row r="217" spans="2:6">
      <c r="B217" s="308"/>
      <c r="C217" s="86"/>
      <c r="D217" s="86"/>
      <c r="E217" s="86"/>
      <c r="F217" s="308"/>
    </row>
    <row r="218" spans="2:6">
      <c r="B218" s="308"/>
      <c r="C218" s="86"/>
      <c r="D218" s="86"/>
      <c r="E218" s="86"/>
      <c r="F218" s="308"/>
    </row>
    <row r="219" spans="2:6">
      <c r="B219" s="308"/>
      <c r="C219" s="86"/>
      <c r="D219" s="86"/>
      <c r="E219" s="86"/>
      <c r="F219" s="308"/>
    </row>
    <row r="220" spans="2:6">
      <c r="B220" s="308"/>
      <c r="C220" s="86"/>
      <c r="D220" s="86"/>
      <c r="E220" s="86"/>
      <c r="F220" s="308"/>
    </row>
    <row r="221" spans="2:6">
      <c r="B221" s="308"/>
      <c r="C221" s="86"/>
      <c r="D221" s="86"/>
      <c r="E221" s="86"/>
      <c r="F221" s="308"/>
    </row>
    <row r="222" spans="2:6">
      <c r="B222" s="308"/>
      <c r="C222" s="86"/>
      <c r="D222" s="86"/>
      <c r="E222" s="86"/>
      <c r="F222" s="308"/>
    </row>
    <row r="223" spans="2:6">
      <c r="B223" s="308"/>
      <c r="C223" s="86"/>
      <c r="D223" s="86"/>
      <c r="E223" s="86"/>
      <c r="F223" s="308"/>
    </row>
    <row r="224" spans="2:6">
      <c r="B224" s="308"/>
      <c r="C224" s="86"/>
      <c r="D224" s="86"/>
      <c r="E224" s="86"/>
      <c r="F224" s="308"/>
    </row>
    <row r="225" spans="2:6">
      <c r="B225" s="308"/>
      <c r="C225" s="86"/>
      <c r="D225" s="86"/>
      <c r="E225" s="86"/>
      <c r="F225" s="308"/>
    </row>
    <row r="226" spans="2:6">
      <c r="B226" s="308"/>
      <c r="C226" s="86"/>
      <c r="D226" s="86"/>
      <c r="E226" s="86"/>
      <c r="F226" s="308"/>
    </row>
    <row r="227" spans="2:6">
      <c r="B227" s="308"/>
      <c r="C227" s="86"/>
      <c r="D227" s="86"/>
      <c r="E227" s="86"/>
      <c r="F227" s="308"/>
    </row>
    <row r="228" spans="2:6">
      <c r="B228" s="308"/>
      <c r="C228" s="86"/>
      <c r="D228" s="86"/>
      <c r="E228" s="86"/>
      <c r="F228" s="308"/>
    </row>
    <row r="229" spans="2:6">
      <c r="B229" s="308"/>
      <c r="C229" s="86"/>
      <c r="D229" s="86"/>
      <c r="E229" s="86"/>
      <c r="F229" s="308"/>
    </row>
    <row r="230" spans="2:6">
      <c r="B230" s="308"/>
      <c r="C230" s="86"/>
      <c r="D230" s="86"/>
      <c r="E230" s="86"/>
      <c r="F230" s="308"/>
    </row>
    <row r="231" spans="2:6">
      <c r="B231" s="308"/>
      <c r="C231" s="86"/>
      <c r="D231" s="86"/>
      <c r="E231" s="86"/>
      <c r="F231" s="308"/>
    </row>
    <row r="232" spans="2:6">
      <c r="B232" s="308"/>
      <c r="C232" s="86"/>
      <c r="D232" s="86"/>
      <c r="E232" s="86"/>
      <c r="F232" s="308"/>
    </row>
    <row r="233" spans="2:6">
      <c r="B233" s="308"/>
      <c r="C233" s="86"/>
      <c r="D233" s="86"/>
      <c r="E233" s="86"/>
      <c r="F233" s="308"/>
    </row>
    <row r="234" spans="2:6">
      <c r="B234" s="308"/>
      <c r="C234" s="86"/>
      <c r="D234" s="86"/>
      <c r="E234" s="86"/>
      <c r="F234" s="308"/>
    </row>
    <row r="235" spans="2:6">
      <c r="B235" s="308"/>
      <c r="C235" s="86"/>
      <c r="D235" s="86"/>
      <c r="E235" s="86"/>
      <c r="F235" s="308"/>
    </row>
    <row r="236" spans="2:6">
      <c r="B236" s="308"/>
      <c r="C236" s="86"/>
      <c r="D236" s="86"/>
      <c r="E236" s="86"/>
      <c r="F236" s="308"/>
    </row>
    <row r="237" spans="2:6">
      <c r="B237" s="308"/>
      <c r="C237" s="86"/>
      <c r="D237" s="86"/>
      <c r="E237" s="86"/>
      <c r="F237" s="308"/>
    </row>
    <row r="238" spans="2:6">
      <c r="B238" s="308"/>
      <c r="C238" s="86"/>
      <c r="D238" s="86"/>
      <c r="E238" s="86"/>
      <c r="F238" s="308"/>
    </row>
    <row r="239" spans="2:6">
      <c r="B239" s="308"/>
      <c r="C239" s="86"/>
      <c r="D239" s="86"/>
      <c r="E239" s="86"/>
      <c r="F239" s="308"/>
    </row>
    <row r="240" spans="2:6">
      <c r="B240" s="308"/>
      <c r="C240" s="86"/>
      <c r="D240" s="86"/>
      <c r="E240" s="86"/>
      <c r="F240" s="308"/>
    </row>
    <row r="241" spans="2:6">
      <c r="B241" s="308"/>
      <c r="C241" s="86"/>
      <c r="D241" s="86"/>
      <c r="E241" s="86"/>
      <c r="F241" s="308"/>
    </row>
    <row r="242" spans="2:6">
      <c r="B242" s="308"/>
      <c r="C242" s="86"/>
      <c r="D242" s="86"/>
      <c r="E242" s="86"/>
      <c r="F242" s="308"/>
    </row>
    <row r="243" spans="2:6">
      <c r="B243" s="308"/>
      <c r="C243" s="86"/>
      <c r="D243" s="86"/>
      <c r="E243" s="86"/>
      <c r="F243" s="308"/>
    </row>
    <row r="244" spans="2:6">
      <c r="B244" s="308"/>
      <c r="C244" s="86"/>
      <c r="D244" s="86"/>
      <c r="E244" s="86"/>
      <c r="F244" s="308"/>
    </row>
    <row r="245" spans="2:6">
      <c r="B245" s="308"/>
      <c r="C245" s="86"/>
      <c r="D245" s="86"/>
      <c r="E245" s="86"/>
      <c r="F245" s="308"/>
    </row>
    <row r="246" spans="2:6">
      <c r="B246" s="308"/>
      <c r="C246" s="86"/>
      <c r="D246" s="86"/>
      <c r="E246" s="86"/>
      <c r="F246" s="308"/>
    </row>
    <row r="247" spans="2:6">
      <c r="B247" s="308"/>
      <c r="C247" s="86"/>
      <c r="D247" s="86"/>
      <c r="E247" s="86"/>
      <c r="F247" s="308"/>
    </row>
    <row r="248" spans="2:6">
      <c r="B248" s="308"/>
      <c r="C248" s="86"/>
      <c r="D248" s="86"/>
      <c r="E248" s="86"/>
      <c r="F248" s="308"/>
    </row>
    <row r="249" spans="2:6">
      <c r="B249" s="308"/>
      <c r="C249" s="86"/>
      <c r="D249" s="86"/>
      <c r="E249" s="86"/>
      <c r="F249" s="308"/>
    </row>
    <row r="250" spans="2:6">
      <c r="B250" s="308"/>
      <c r="C250" s="86"/>
      <c r="D250" s="86"/>
      <c r="E250" s="86"/>
      <c r="F250" s="308"/>
    </row>
    <row r="251" spans="2:6">
      <c r="B251" s="308"/>
      <c r="C251" s="86"/>
      <c r="D251" s="86"/>
      <c r="E251" s="86"/>
      <c r="F251" s="308"/>
    </row>
    <row r="252" spans="2:6">
      <c r="B252" s="308"/>
      <c r="C252" s="86"/>
      <c r="D252" s="86"/>
      <c r="E252" s="86"/>
      <c r="F252" s="308"/>
    </row>
    <row r="253" spans="2:6">
      <c r="B253" s="308"/>
      <c r="C253" s="86"/>
      <c r="D253" s="86"/>
      <c r="E253" s="86"/>
      <c r="F253" s="308"/>
    </row>
    <row r="254" spans="2:6">
      <c r="B254" s="308"/>
      <c r="C254" s="86"/>
      <c r="D254" s="86"/>
      <c r="E254" s="86"/>
      <c r="F254" s="308"/>
    </row>
    <row r="255" spans="2:6">
      <c r="B255" s="308"/>
      <c r="C255" s="86"/>
      <c r="D255" s="86"/>
      <c r="E255" s="86"/>
      <c r="F255" s="308"/>
    </row>
    <row r="256" spans="2:6">
      <c r="B256" s="308"/>
      <c r="C256" s="86"/>
      <c r="D256" s="86"/>
      <c r="E256" s="86"/>
      <c r="F256" s="308"/>
    </row>
    <row r="257" spans="2:6">
      <c r="B257" s="308"/>
      <c r="C257" s="86"/>
      <c r="D257" s="86"/>
      <c r="E257" s="86"/>
      <c r="F257" s="308"/>
    </row>
    <row r="258" spans="2:6">
      <c r="B258" s="308"/>
      <c r="C258" s="86"/>
      <c r="D258" s="86"/>
      <c r="E258" s="86"/>
      <c r="F258" s="308"/>
    </row>
    <row r="259" spans="2:6">
      <c r="B259" s="308"/>
      <c r="C259" s="86"/>
      <c r="D259" s="86"/>
      <c r="E259" s="86"/>
      <c r="F259" s="308"/>
    </row>
    <row r="260" spans="2:6">
      <c r="B260" s="308"/>
      <c r="C260" s="86"/>
      <c r="D260" s="86"/>
      <c r="E260" s="86"/>
      <c r="F260" s="308"/>
    </row>
    <row r="261" spans="2:6">
      <c r="B261" s="308"/>
      <c r="C261" s="86"/>
      <c r="D261" s="86"/>
      <c r="E261" s="86"/>
      <c r="F261" s="308"/>
    </row>
    <row r="262" spans="2:6">
      <c r="B262" s="308"/>
      <c r="C262" s="86"/>
      <c r="D262" s="86"/>
      <c r="E262" s="86"/>
      <c r="F262" s="308"/>
    </row>
    <row r="263" spans="2:6">
      <c r="B263" s="308"/>
      <c r="C263" s="86"/>
      <c r="D263" s="86"/>
      <c r="E263" s="86"/>
      <c r="F263" s="308"/>
    </row>
    <row r="264" spans="2:6">
      <c r="B264" s="308"/>
      <c r="C264" s="86"/>
      <c r="D264" s="86"/>
      <c r="E264" s="86"/>
      <c r="F264" s="308"/>
    </row>
    <row r="265" spans="2:6">
      <c r="B265" s="308"/>
      <c r="C265" s="86"/>
      <c r="D265" s="86"/>
      <c r="E265" s="86"/>
      <c r="F265" s="308"/>
    </row>
    <row r="266" spans="2:6">
      <c r="B266" s="308"/>
      <c r="C266" s="86"/>
      <c r="D266" s="86"/>
      <c r="E266" s="86"/>
      <c r="F266" s="308"/>
    </row>
    <row r="267" spans="2:6">
      <c r="B267" s="308"/>
      <c r="C267" s="86"/>
      <c r="D267" s="86"/>
      <c r="E267" s="86"/>
      <c r="F267" s="308"/>
    </row>
    <row r="268" spans="2:6">
      <c r="B268" s="308"/>
      <c r="C268" s="86"/>
      <c r="D268" s="86"/>
      <c r="E268" s="86"/>
      <c r="F268" s="308"/>
    </row>
    <row r="269" spans="2:6">
      <c r="B269" s="308"/>
      <c r="C269" s="86"/>
      <c r="D269" s="86"/>
      <c r="E269" s="86"/>
      <c r="F269" s="308"/>
    </row>
    <row r="270" spans="2:6">
      <c r="B270" s="308"/>
      <c r="C270" s="86"/>
      <c r="D270" s="86"/>
      <c r="E270" s="86"/>
      <c r="F270" s="308"/>
    </row>
    <row r="271" spans="2:6">
      <c r="B271" s="308"/>
      <c r="C271" s="86"/>
      <c r="D271" s="86"/>
      <c r="E271" s="86"/>
      <c r="F271" s="308"/>
    </row>
    <row r="272" spans="2:6">
      <c r="B272" s="308"/>
      <c r="C272" s="86"/>
      <c r="D272" s="86"/>
      <c r="E272" s="86"/>
      <c r="F272" s="308"/>
    </row>
    <row r="273" spans="2:6">
      <c r="B273" s="308"/>
      <c r="C273" s="86"/>
      <c r="D273" s="86"/>
      <c r="E273" s="86"/>
      <c r="F273" s="308"/>
    </row>
    <row r="274" spans="2:6">
      <c r="B274" s="308"/>
      <c r="C274" s="86"/>
      <c r="D274" s="86"/>
      <c r="E274" s="86"/>
      <c r="F274" s="308"/>
    </row>
    <row r="275" spans="2:6">
      <c r="B275" s="308"/>
      <c r="C275" s="86"/>
      <c r="D275" s="86"/>
      <c r="E275" s="86"/>
      <c r="F275" s="308"/>
    </row>
    <row r="276" spans="2:6">
      <c r="B276" s="308"/>
      <c r="C276" s="86"/>
      <c r="D276" s="86"/>
      <c r="E276" s="86"/>
      <c r="F276" s="308"/>
    </row>
    <row r="277" spans="2:6">
      <c r="B277" s="308"/>
      <c r="C277" s="86"/>
      <c r="D277" s="86"/>
      <c r="E277" s="86"/>
      <c r="F277" s="308"/>
    </row>
    <row r="278" spans="2:6">
      <c r="B278" s="308"/>
      <c r="C278" s="86"/>
      <c r="D278" s="86"/>
      <c r="E278" s="86"/>
      <c r="F278" s="308"/>
    </row>
    <row r="279" spans="2:6">
      <c r="B279" s="308"/>
      <c r="C279" s="86"/>
      <c r="D279" s="86"/>
      <c r="E279" s="86"/>
      <c r="F279" s="308"/>
    </row>
    <row r="280" spans="2:6">
      <c r="B280" s="308"/>
      <c r="C280" s="86"/>
      <c r="D280" s="86"/>
      <c r="E280" s="86"/>
      <c r="F280" s="308"/>
    </row>
    <row r="281" spans="2:6">
      <c r="B281" s="308"/>
      <c r="C281" s="86"/>
      <c r="D281" s="86"/>
      <c r="E281" s="86"/>
      <c r="F281" s="308"/>
    </row>
    <row r="282" spans="2:6">
      <c r="B282" s="308"/>
      <c r="C282" s="86"/>
      <c r="D282" s="86"/>
      <c r="E282" s="86"/>
      <c r="F282" s="308"/>
    </row>
    <row r="283" spans="2:6">
      <c r="B283" s="308"/>
      <c r="C283" s="86"/>
      <c r="D283" s="86"/>
      <c r="E283" s="86"/>
      <c r="F283" s="308"/>
    </row>
    <row r="284" spans="2:6">
      <c r="B284" s="308"/>
      <c r="C284" s="86"/>
      <c r="D284" s="86"/>
      <c r="E284" s="86"/>
      <c r="F284" s="308"/>
    </row>
    <row r="285" spans="2:6">
      <c r="B285" s="308"/>
      <c r="C285" s="86"/>
      <c r="D285" s="86"/>
      <c r="E285" s="86"/>
      <c r="F285" s="308"/>
    </row>
    <row r="286" spans="2:6">
      <c r="B286" s="308"/>
      <c r="C286" s="86"/>
      <c r="D286" s="86"/>
      <c r="E286" s="86"/>
      <c r="F286" s="308"/>
    </row>
    <row r="287" spans="2:6">
      <c r="B287" s="308"/>
      <c r="C287" s="86"/>
      <c r="D287" s="86"/>
      <c r="E287" s="86"/>
      <c r="F287" s="308"/>
    </row>
    <row r="288" spans="2:6">
      <c r="B288" s="308"/>
      <c r="C288" s="86"/>
      <c r="D288" s="86"/>
      <c r="E288" s="86"/>
      <c r="F288" s="308"/>
    </row>
    <row r="289" spans="2:6">
      <c r="B289" s="308"/>
      <c r="C289" s="86"/>
      <c r="D289" s="86"/>
      <c r="E289" s="86"/>
      <c r="F289" s="308"/>
    </row>
    <row r="290" spans="2:6">
      <c r="B290" s="308"/>
      <c r="C290" s="86"/>
      <c r="D290" s="86"/>
      <c r="E290" s="86"/>
      <c r="F290" s="308"/>
    </row>
    <row r="291" spans="2:6">
      <c r="B291" s="308"/>
      <c r="C291" s="86"/>
      <c r="D291" s="86"/>
      <c r="E291" s="86"/>
      <c r="F291" s="308"/>
    </row>
    <row r="292" spans="2:6">
      <c r="B292" s="308"/>
      <c r="C292" s="86"/>
      <c r="D292" s="86"/>
      <c r="E292" s="86"/>
      <c r="F292" s="308"/>
    </row>
    <row r="293" spans="2:6">
      <c r="B293" s="308"/>
      <c r="C293" s="86"/>
      <c r="D293" s="86"/>
      <c r="E293" s="86"/>
      <c r="F293" s="308"/>
    </row>
    <row r="294" spans="2:6">
      <c r="B294" s="308"/>
      <c r="C294" s="86"/>
      <c r="D294" s="86"/>
      <c r="E294" s="86"/>
      <c r="F294" s="308"/>
    </row>
    <row r="295" spans="2:6">
      <c r="B295" s="308"/>
      <c r="C295" s="86"/>
      <c r="D295" s="86"/>
      <c r="E295" s="86"/>
      <c r="F295" s="308"/>
    </row>
    <row r="296" spans="2:6">
      <c r="B296" s="308"/>
      <c r="C296" s="86"/>
      <c r="D296" s="86"/>
      <c r="E296" s="86"/>
      <c r="F296" s="308"/>
    </row>
    <row r="297" spans="2:6">
      <c r="B297" s="308"/>
      <c r="C297" s="86"/>
      <c r="D297" s="86"/>
      <c r="E297" s="86"/>
      <c r="F297" s="308"/>
    </row>
    <row r="298" spans="2:6">
      <c r="B298" s="308"/>
      <c r="C298" s="86"/>
      <c r="D298" s="86"/>
      <c r="E298" s="86"/>
      <c r="F298" s="308"/>
    </row>
    <row r="299" spans="2:6">
      <c r="B299" s="308"/>
      <c r="C299" s="86"/>
      <c r="D299" s="86"/>
      <c r="E299" s="86"/>
      <c r="F299" s="308"/>
    </row>
    <row r="300" spans="2:6">
      <c r="B300" s="308"/>
      <c r="C300" s="86"/>
      <c r="D300" s="86"/>
      <c r="E300" s="86"/>
      <c r="F300" s="308"/>
    </row>
    <row r="301" spans="2:6">
      <c r="B301" s="308"/>
      <c r="C301" s="86"/>
      <c r="D301" s="86"/>
      <c r="E301" s="86"/>
      <c r="F301" s="308"/>
    </row>
    <row r="302" spans="2:6">
      <c r="B302" s="308"/>
      <c r="C302" s="86"/>
      <c r="D302" s="86"/>
      <c r="E302" s="86"/>
      <c r="F302" s="308"/>
    </row>
    <row r="303" spans="2:6">
      <c r="B303" s="308"/>
      <c r="C303" s="86"/>
      <c r="D303" s="86"/>
      <c r="E303" s="86"/>
      <c r="F303" s="308"/>
    </row>
    <row r="304" spans="2:6">
      <c r="B304" s="308"/>
      <c r="C304" s="86"/>
      <c r="D304" s="86"/>
      <c r="E304" s="86"/>
      <c r="F304" s="308"/>
    </row>
    <row r="305" spans="2:6">
      <c r="B305" s="308"/>
      <c r="C305" s="86"/>
      <c r="D305" s="86"/>
      <c r="E305" s="86"/>
      <c r="F305" s="308"/>
    </row>
    <row r="306" spans="2:6">
      <c r="B306" s="308"/>
      <c r="C306" s="86"/>
      <c r="D306" s="86"/>
      <c r="E306" s="86"/>
      <c r="F306" s="308"/>
    </row>
    <row r="307" spans="2:6">
      <c r="B307" s="308"/>
      <c r="C307" s="86"/>
      <c r="D307" s="86"/>
      <c r="E307" s="86"/>
      <c r="F307" s="308"/>
    </row>
    <row r="308" spans="2:6">
      <c r="B308" s="308"/>
      <c r="C308" s="86"/>
      <c r="D308" s="86"/>
      <c r="E308" s="86"/>
      <c r="F308" s="308"/>
    </row>
    <row r="309" spans="2:6">
      <c r="B309" s="308"/>
      <c r="C309" s="86"/>
      <c r="D309" s="86"/>
      <c r="E309" s="86"/>
      <c r="F309" s="308"/>
    </row>
    <row r="310" spans="2:6">
      <c r="B310" s="308"/>
      <c r="C310" s="86"/>
      <c r="D310" s="86"/>
      <c r="E310" s="86"/>
      <c r="F310" s="308"/>
    </row>
    <row r="311" spans="2:6">
      <c r="B311" s="308"/>
      <c r="C311" s="86"/>
      <c r="D311" s="86"/>
      <c r="E311" s="86"/>
      <c r="F311" s="308"/>
    </row>
    <row r="312" spans="2:6">
      <c r="B312" s="308"/>
      <c r="C312" s="86"/>
      <c r="D312" s="86"/>
      <c r="E312" s="86"/>
      <c r="F312" s="308"/>
    </row>
    <row r="313" spans="2:6">
      <c r="B313" s="308"/>
      <c r="C313" s="86"/>
      <c r="D313" s="86"/>
      <c r="E313" s="86"/>
      <c r="F313" s="308"/>
    </row>
    <row r="314" spans="2:6">
      <c r="B314" s="308"/>
      <c r="C314" s="86"/>
      <c r="D314" s="86"/>
      <c r="E314" s="86"/>
      <c r="F314" s="308"/>
    </row>
    <row r="315" spans="2:6">
      <c r="B315" s="308"/>
      <c r="C315" s="86"/>
      <c r="D315" s="86"/>
      <c r="E315" s="86"/>
      <c r="F315" s="308"/>
    </row>
    <row r="316" spans="2:6">
      <c r="B316" s="308"/>
      <c r="C316" s="86"/>
      <c r="D316" s="86"/>
      <c r="E316" s="86"/>
      <c r="F316" s="308"/>
    </row>
    <row r="317" spans="2:6">
      <c r="B317" s="308"/>
      <c r="C317" s="86"/>
      <c r="D317" s="86"/>
      <c r="E317" s="86"/>
      <c r="F317" s="308"/>
    </row>
    <row r="318" spans="2:6">
      <c r="B318" s="308"/>
      <c r="C318" s="86"/>
      <c r="D318" s="86"/>
      <c r="E318" s="86"/>
      <c r="F318" s="308"/>
    </row>
    <row r="319" spans="2:6">
      <c r="B319" s="308"/>
      <c r="C319" s="86"/>
      <c r="D319" s="86"/>
      <c r="E319" s="86"/>
      <c r="F319" s="308"/>
    </row>
    <row r="320" spans="2:6">
      <c r="B320" s="308"/>
      <c r="C320" s="86"/>
      <c r="D320" s="86"/>
      <c r="E320" s="86"/>
      <c r="F320" s="308"/>
    </row>
    <row r="321" spans="2:6">
      <c r="B321" s="308"/>
      <c r="C321" s="86"/>
      <c r="D321" s="86"/>
      <c r="E321" s="86"/>
      <c r="F321" s="308"/>
    </row>
    <row r="322" spans="2:6">
      <c r="B322" s="308"/>
      <c r="C322" s="86"/>
      <c r="D322" s="86"/>
      <c r="E322" s="86"/>
      <c r="F322" s="308"/>
    </row>
    <row r="323" spans="2:6">
      <c r="B323" s="308"/>
      <c r="C323" s="86"/>
      <c r="D323" s="86"/>
      <c r="E323" s="86"/>
      <c r="F323" s="308"/>
    </row>
    <row r="324" spans="2:6">
      <c r="B324" s="308"/>
      <c r="C324" s="86"/>
      <c r="D324" s="86"/>
      <c r="E324" s="86"/>
      <c r="F324" s="308"/>
    </row>
    <row r="325" spans="2:6">
      <c r="B325" s="308"/>
      <c r="C325" s="86"/>
      <c r="D325" s="86"/>
      <c r="E325" s="86"/>
      <c r="F325" s="308"/>
    </row>
    <row r="326" spans="2:6">
      <c r="B326" s="308"/>
      <c r="C326" s="86"/>
      <c r="D326" s="86"/>
      <c r="E326" s="86"/>
      <c r="F326" s="308"/>
    </row>
    <row r="327" spans="2:6">
      <c r="B327" s="308"/>
      <c r="C327" s="86"/>
      <c r="D327" s="86"/>
      <c r="E327" s="86"/>
      <c r="F327" s="308"/>
    </row>
    <row r="328" spans="2:6">
      <c r="B328" s="308"/>
      <c r="C328" s="86"/>
      <c r="D328" s="86"/>
      <c r="E328" s="86"/>
      <c r="F328" s="308"/>
    </row>
    <row r="329" spans="2:6">
      <c r="B329" s="308"/>
      <c r="C329" s="86"/>
      <c r="D329" s="86"/>
      <c r="E329" s="86"/>
      <c r="F329" s="308"/>
    </row>
    <row r="330" spans="2:6">
      <c r="B330" s="308"/>
      <c r="C330" s="86"/>
      <c r="D330" s="86"/>
      <c r="E330" s="86"/>
      <c r="F330" s="308"/>
    </row>
    <row r="331" spans="2:6">
      <c r="B331" s="308"/>
      <c r="C331" s="86"/>
      <c r="D331" s="86"/>
      <c r="E331" s="86"/>
      <c r="F331" s="308"/>
    </row>
    <row r="332" spans="2:6">
      <c r="B332" s="308"/>
      <c r="C332" s="86"/>
      <c r="D332" s="86"/>
      <c r="E332" s="86"/>
      <c r="F332" s="308"/>
    </row>
    <row r="333" spans="2:6">
      <c r="B333" s="308"/>
      <c r="C333" s="86"/>
      <c r="D333" s="86"/>
      <c r="E333" s="86"/>
      <c r="F333" s="308"/>
    </row>
    <row r="334" spans="2:6">
      <c r="B334" s="308"/>
      <c r="C334" s="86"/>
      <c r="D334" s="86"/>
      <c r="E334" s="86"/>
      <c r="F334" s="308"/>
    </row>
    <row r="335" spans="2:6">
      <c r="B335" s="308"/>
      <c r="C335" s="86"/>
      <c r="D335" s="86"/>
      <c r="E335" s="86"/>
      <c r="F335" s="308"/>
    </row>
    <row r="336" spans="2:6">
      <c r="B336" s="308"/>
      <c r="C336" s="86"/>
      <c r="D336" s="86"/>
      <c r="E336" s="86"/>
      <c r="F336" s="308"/>
    </row>
    <row r="337" spans="2:6">
      <c r="B337" s="308"/>
      <c r="C337" s="86"/>
      <c r="D337" s="86"/>
      <c r="E337" s="86"/>
      <c r="F337" s="308"/>
    </row>
    <row r="338" spans="2:6">
      <c r="B338" s="308"/>
      <c r="C338" s="86"/>
      <c r="D338" s="86"/>
      <c r="E338" s="86"/>
      <c r="F338" s="308"/>
    </row>
    <row r="339" spans="2:6">
      <c r="B339" s="308"/>
      <c r="C339" s="86"/>
      <c r="D339" s="86"/>
      <c r="E339" s="86"/>
      <c r="F339" s="308"/>
    </row>
    <row r="340" spans="2:6">
      <c r="B340" s="308"/>
      <c r="C340" s="86"/>
      <c r="D340" s="86"/>
      <c r="E340" s="86"/>
      <c r="F340" s="308"/>
    </row>
    <row r="341" spans="2:6">
      <c r="B341" s="308"/>
      <c r="C341" s="86"/>
      <c r="D341" s="86"/>
      <c r="E341" s="86"/>
      <c r="F341" s="308"/>
    </row>
    <row r="342" spans="2:6">
      <c r="B342" s="308"/>
      <c r="C342" s="86"/>
      <c r="D342" s="86"/>
      <c r="E342" s="86"/>
      <c r="F342" s="308"/>
    </row>
    <row r="343" spans="2:6">
      <c r="B343" s="308"/>
      <c r="C343" s="86"/>
      <c r="D343" s="86"/>
      <c r="E343" s="86"/>
      <c r="F343" s="308"/>
    </row>
    <row r="344" spans="2:6">
      <c r="B344" s="308"/>
      <c r="C344" s="86"/>
      <c r="D344" s="86"/>
      <c r="E344" s="86"/>
      <c r="F344" s="308"/>
    </row>
    <row r="345" spans="2:6">
      <c r="B345" s="308"/>
      <c r="C345" s="86"/>
      <c r="D345" s="86"/>
      <c r="E345" s="86"/>
      <c r="F345" s="308"/>
    </row>
    <row r="346" spans="2:6">
      <c r="B346" s="308"/>
      <c r="C346" s="86"/>
      <c r="D346" s="86"/>
      <c r="E346" s="86"/>
      <c r="F346" s="308"/>
    </row>
    <row r="347" spans="2:6">
      <c r="B347" s="308"/>
      <c r="C347" s="86"/>
      <c r="D347" s="86"/>
      <c r="E347" s="86"/>
      <c r="F347" s="308"/>
    </row>
    <row r="348" spans="2:6">
      <c r="B348" s="308"/>
      <c r="C348" s="86"/>
      <c r="D348" s="86"/>
      <c r="E348" s="86"/>
      <c r="F348" s="308"/>
    </row>
    <row r="349" spans="2:6">
      <c r="B349" s="308"/>
      <c r="C349" s="86"/>
      <c r="D349" s="86"/>
      <c r="E349" s="86"/>
      <c r="F349" s="308"/>
    </row>
    <row r="350" spans="2:6">
      <c r="B350" s="308"/>
      <c r="C350" s="86"/>
      <c r="D350" s="86"/>
      <c r="E350" s="86"/>
      <c r="F350" s="308"/>
    </row>
    <row r="351" spans="2:6">
      <c r="B351" s="308"/>
      <c r="C351" s="86"/>
      <c r="D351" s="86"/>
      <c r="E351" s="86"/>
      <c r="F351" s="308"/>
    </row>
    <row r="352" spans="2:6">
      <c r="B352" s="308"/>
      <c r="C352" s="86"/>
      <c r="D352" s="86"/>
      <c r="E352" s="86"/>
      <c r="F352" s="308"/>
    </row>
    <row r="353" spans="2:6">
      <c r="B353" s="308"/>
      <c r="C353" s="86"/>
      <c r="D353" s="86"/>
      <c r="E353" s="86"/>
      <c r="F353" s="308"/>
    </row>
    <row r="354" spans="2:6">
      <c r="B354" s="308"/>
      <c r="C354" s="86"/>
      <c r="D354" s="86"/>
      <c r="E354" s="86"/>
      <c r="F354" s="308"/>
    </row>
    <row r="355" spans="2:6">
      <c r="B355" s="308"/>
      <c r="C355" s="86"/>
      <c r="D355" s="86"/>
      <c r="E355" s="86"/>
      <c r="F355" s="308"/>
    </row>
    <row r="356" spans="2:6">
      <c r="B356" s="308"/>
      <c r="C356" s="86"/>
      <c r="D356" s="86"/>
      <c r="E356" s="86"/>
      <c r="F356" s="308"/>
    </row>
    <row r="357" spans="2:6">
      <c r="B357" s="308"/>
      <c r="C357" s="86"/>
      <c r="D357" s="86"/>
      <c r="E357" s="86"/>
      <c r="F357" s="308"/>
    </row>
    <row r="358" spans="2:6">
      <c r="B358" s="308"/>
      <c r="C358" s="86"/>
      <c r="D358" s="86"/>
      <c r="E358" s="86"/>
      <c r="F358" s="308"/>
    </row>
    <row r="359" spans="2:6">
      <c r="B359" s="308"/>
      <c r="C359" s="86"/>
      <c r="D359" s="86"/>
      <c r="E359" s="86"/>
      <c r="F359" s="308"/>
    </row>
    <row r="360" spans="2:6">
      <c r="B360" s="308"/>
      <c r="C360" s="86"/>
      <c r="D360" s="86"/>
      <c r="E360" s="86"/>
      <c r="F360" s="308"/>
    </row>
    <row r="361" spans="2:6">
      <c r="B361" s="308"/>
      <c r="C361" s="86"/>
      <c r="D361" s="86"/>
      <c r="E361" s="86"/>
      <c r="F361" s="308"/>
    </row>
    <row r="362" spans="2:6">
      <c r="B362" s="308"/>
      <c r="C362" s="86"/>
      <c r="D362" s="86"/>
      <c r="E362" s="86"/>
      <c r="F362" s="308"/>
    </row>
    <row r="363" spans="2:6">
      <c r="B363" s="308"/>
      <c r="C363" s="86"/>
      <c r="D363" s="86"/>
      <c r="E363" s="86"/>
      <c r="F363" s="308"/>
    </row>
    <row r="364" spans="2:6">
      <c r="B364" s="308"/>
      <c r="C364" s="86"/>
      <c r="D364" s="86"/>
      <c r="E364" s="86"/>
      <c r="F364" s="308"/>
    </row>
    <row r="365" spans="2:6">
      <c r="B365" s="308"/>
      <c r="C365" s="86"/>
      <c r="D365" s="86"/>
      <c r="E365" s="86"/>
      <c r="F365" s="308"/>
    </row>
    <row r="366" spans="2:6">
      <c r="B366" s="308"/>
      <c r="C366" s="86"/>
      <c r="D366" s="86"/>
      <c r="E366" s="86"/>
      <c r="F366" s="308"/>
    </row>
    <row r="367" spans="2:6">
      <c r="B367" s="308"/>
      <c r="C367" s="86"/>
      <c r="D367" s="86"/>
      <c r="E367" s="86"/>
      <c r="F367" s="308"/>
    </row>
    <row r="368" spans="2:6">
      <c r="B368" s="308"/>
      <c r="C368" s="86"/>
      <c r="D368" s="86"/>
      <c r="E368" s="86"/>
      <c r="F368" s="308"/>
    </row>
    <row r="369" spans="2:6">
      <c r="B369" s="308"/>
      <c r="C369" s="86"/>
      <c r="D369" s="86"/>
      <c r="E369" s="86"/>
      <c r="F369" s="308"/>
    </row>
    <row r="370" spans="2:6">
      <c r="B370" s="308"/>
      <c r="C370" s="86"/>
      <c r="D370" s="86"/>
      <c r="E370" s="86"/>
      <c r="F370" s="308"/>
    </row>
    <row r="371" spans="2:6">
      <c r="B371" s="308"/>
      <c r="C371" s="86"/>
      <c r="D371" s="86"/>
      <c r="E371" s="86"/>
      <c r="F371" s="308"/>
    </row>
    <row r="372" spans="2:6">
      <c r="B372" s="308"/>
      <c r="C372" s="86"/>
      <c r="D372" s="86"/>
      <c r="E372" s="86"/>
      <c r="F372" s="308"/>
    </row>
    <row r="373" spans="2:6">
      <c r="B373" s="308"/>
      <c r="C373" s="86"/>
      <c r="D373" s="86"/>
      <c r="E373" s="86"/>
      <c r="F373" s="308"/>
    </row>
    <row r="374" spans="2:6">
      <c r="B374" s="308"/>
      <c r="C374" s="86"/>
      <c r="D374" s="86"/>
      <c r="E374" s="86"/>
      <c r="F374" s="308"/>
    </row>
    <row r="375" spans="2:6">
      <c r="B375" s="308"/>
      <c r="C375" s="86"/>
      <c r="D375" s="86"/>
      <c r="E375" s="86"/>
      <c r="F375" s="308"/>
    </row>
    <row r="376" spans="2:6">
      <c r="B376" s="308"/>
      <c r="C376" s="86"/>
      <c r="D376" s="86"/>
      <c r="E376" s="86"/>
      <c r="F376" s="308"/>
    </row>
    <row r="377" spans="2:6">
      <c r="B377" s="308"/>
      <c r="C377" s="86"/>
      <c r="D377" s="86"/>
      <c r="E377" s="86"/>
      <c r="F377" s="308"/>
    </row>
    <row r="378" spans="2:6">
      <c r="B378" s="308"/>
      <c r="C378" s="86"/>
      <c r="D378" s="86"/>
      <c r="E378" s="86"/>
      <c r="F378" s="308"/>
    </row>
    <row r="379" spans="2:6">
      <c r="B379" s="308"/>
      <c r="C379" s="86"/>
      <c r="D379" s="86"/>
      <c r="E379" s="86"/>
      <c r="F379" s="308"/>
    </row>
    <row r="380" spans="2:6">
      <c r="B380" s="308"/>
      <c r="C380" s="86"/>
      <c r="D380" s="86"/>
      <c r="E380" s="86"/>
      <c r="F380" s="308"/>
    </row>
    <row r="381" spans="2:6">
      <c r="B381" s="308"/>
      <c r="C381" s="86"/>
      <c r="D381" s="86"/>
      <c r="E381" s="86"/>
      <c r="F381" s="308"/>
    </row>
    <row r="382" spans="2:6">
      <c r="B382" s="308"/>
      <c r="C382" s="86"/>
      <c r="D382" s="86"/>
      <c r="E382" s="86"/>
      <c r="F382" s="308"/>
    </row>
    <row r="383" spans="2:6">
      <c r="B383" s="308"/>
      <c r="C383" s="86"/>
      <c r="D383" s="86"/>
      <c r="E383" s="86"/>
      <c r="F383" s="308"/>
    </row>
    <row r="384" spans="2:6">
      <c r="B384" s="308"/>
      <c r="C384" s="86"/>
      <c r="D384" s="86"/>
      <c r="E384" s="86"/>
      <c r="F384" s="308"/>
    </row>
    <row r="385" spans="2:6">
      <c r="B385" s="308"/>
      <c r="C385" s="86"/>
      <c r="D385" s="86"/>
      <c r="E385" s="86"/>
      <c r="F385" s="308"/>
    </row>
    <row r="386" spans="2:6">
      <c r="B386" s="308"/>
      <c r="C386" s="86"/>
      <c r="D386" s="86"/>
      <c r="E386" s="86"/>
      <c r="F386" s="308"/>
    </row>
    <row r="387" spans="2:6">
      <c r="B387" s="308"/>
      <c r="C387" s="86"/>
      <c r="D387" s="86"/>
      <c r="E387" s="86"/>
      <c r="F387" s="308"/>
    </row>
    <row r="388" spans="2:6">
      <c r="B388" s="308"/>
      <c r="C388" s="86"/>
      <c r="D388" s="86"/>
      <c r="E388" s="86"/>
      <c r="F388" s="308"/>
    </row>
    <row r="389" spans="2:6">
      <c r="B389" s="308"/>
      <c r="C389" s="86"/>
      <c r="D389" s="86"/>
      <c r="E389" s="86"/>
      <c r="F389" s="308"/>
    </row>
    <row r="390" spans="2:6">
      <c r="B390" s="308"/>
      <c r="C390" s="86"/>
      <c r="D390" s="86"/>
      <c r="E390" s="86"/>
      <c r="F390" s="308"/>
    </row>
    <row r="391" spans="2:6">
      <c r="B391" s="308"/>
      <c r="C391" s="86"/>
      <c r="D391" s="86"/>
      <c r="E391" s="86"/>
      <c r="F391" s="308"/>
    </row>
    <row r="392" spans="2:6">
      <c r="B392" s="308"/>
      <c r="C392" s="86"/>
      <c r="D392" s="86"/>
      <c r="E392" s="86"/>
      <c r="F392" s="308"/>
    </row>
    <row r="393" spans="2:6">
      <c r="B393" s="308"/>
      <c r="C393" s="86"/>
      <c r="D393" s="86"/>
      <c r="E393" s="86"/>
      <c r="F393" s="308"/>
    </row>
    <row r="394" spans="2:6">
      <c r="B394" s="308"/>
      <c r="C394" s="86"/>
      <c r="D394" s="86"/>
      <c r="E394" s="86"/>
      <c r="F394" s="308"/>
    </row>
    <row r="395" spans="2:6">
      <c r="B395" s="308"/>
      <c r="C395" s="86"/>
      <c r="D395" s="86"/>
      <c r="E395" s="86"/>
      <c r="F395" s="308"/>
    </row>
    <row r="396" spans="2:6">
      <c r="B396" s="308"/>
      <c r="C396" s="86"/>
      <c r="D396" s="86"/>
      <c r="E396" s="86"/>
      <c r="F396" s="308"/>
    </row>
    <row r="397" spans="2:6">
      <c r="B397" s="308"/>
      <c r="C397" s="86"/>
      <c r="D397" s="86"/>
      <c r="E397" s="86"/>
      <c r="F397" s="308"/>
    </row>
    <row r="398" spans="2:6">
      <c r="B398" s="308"/>
      <c r="C398" s="86"/>
      <c r="D398" s="86"/>
      <c r="E398" s="86"/>
      <c r="F398" s="308"/>
    </row>
    <row r="399" spans="2:6">
      <c r="B399" s="308"/>
      <c r="C399" s="86"/>
      <c r="D399" s="86"/>
      <c r="E399" s="86"/>
      <c r="F399" s="308"/>
    </row>
    <row r="400" spans="2:6">
      <c r="B400" s="308"/>
      <c r="C400" s="86"/>
      <c r="D400" s="86"/>
      <c r="E400" s="86"/>
      <c r="F400" s="308"/>
    </row>
    <row r="401" spans="2:6">
      <c r="B401" s="308"/>
      <c r="C401" s="86"/>
      <c r="D401" s="86"/>
      <c r="E401" s="86"/>
      <c r="F401" s="308"/>
    </row>
    <row r="402" spans="2:6">
      <c r="B402" s="308"/>
      <c r="C402" s="86"/>
      <c r="D402" s="86"/>
      <c r="E402" s="86"/>
      <c r="F402" s="308"/>
    </row>
    <row r="403" spans="2:6">
      <c r="B403" s="308"/>
      <c r="C403" s="86"/>
      <c r="D403" s="86"/>
      <c r="E403" s="86"/>
      <c r="F403" s="308"/>
    </row>
    <row r="404" spans="2:6">
      <c r="B404" s="308"/>
      <c r="C404" s="86"/>
      <c r="D404" s="86"/>
      <c r="E404" s="86"/>
      <c r="F404" s="308"/>
    </row>
    <row r="405" spans="2:6">
      <c r="B405" s="308"/>
      <c r="C405" s="86"/>
      <c r="D405" s="86"/>
      <c r="E405" s="86"/>
      <c r="F405" s="308"/>
    </row>
    <row r="406" spans="2:6">
      <c r="B406" s="308"/>
      <c r="C406" s="86"/>
      <c r="D406" s="86"/>
      <c r="E406" s="86"/>
      <c r="F406" s="308"/>
    </row>
    <row r="407" spans="2:6">
      <c r="B407" s="308"/>
      <c r="C407" s="86"/>
      <c r="D407" s="86"/>
      <c r="E407" s="86"/>
      <c r="F407" s="308"/>
    </row>
    <row r="408" spans="2:6">
      <c r="B408" s="308"/>
      <c r="C408" s="86"/>
      <c r="D408" s="86"/>
      <c r="E408" s="86"/>
      <c r="F408" s="308"/>
    </row>
    <row r="409" spans="2:6">
      <c r="B409" s="308"/>
      <c r="C409" s="86"/>
      <c r="D409" s="86"/>
      <c r="E409" s="86"/>
      <c r="F409" s="308"/>
    </row>
    <row r="410" spans="2:6">
      <c r="B410" s="308"/>
      <c r="C410" s="86"/>
      <c r="D410" s="86"/>
      <c r="E410" s="86"/>
      <c r="F410" s="308"/>
    </row>
    <row r="411" spans="2:6">
      <c r="B411" s="308"/>
      <c r="C411" s="86"/>
      <c r="D411" s="86"/>
      <c r="E411" s="86"/>
      <c r="F411" s="308"/>
    </row>
    <row r="412" spans="2:6">
      <c r="B412" s="308"/>
      <c r="C412" s="86"/>
      <c r="D412" s="86"/>
      <c r="E412" s="86"/>
      <c r="F412" s="308"/>
    </row>
    <row r="413" spans="2:6">
      <c r="B413" s="308"/>
      <c r="C413" s="86"/>
      <c r="D413" s="86"/>
      <c r="E413" s="86"/>
      <c r="F413" s="308"/>
    </row>
    <row r="414" spans="2:6">
      <c r="B414" s="308"/>
      <c r="C414" s="86"/>
      <c r="D414" s="86"/>
      <c r="E414" s="86"/>
      <c r="F414" s="308"/>
    </row>
    <row r="415" spans="2:6">
      <c r="B415" s="308"/>
      <c r="C415" s="86"/>
      <c r="D415" s="86"/>
      <c r="E415" s="86"/>
      <c r="F415" s="308"/>
    </row>
    <row r="416" spans="2:6">
      <c r="B416" s="308"/>
      <c r="C416" s="86"/>
      <c r="D416" s="86"/>
      <c r="E416" s="86"/>
      <c r="F416" s="308"/>
    </row>
    <row r="417" spans="2:6">
      <c r="B417" s="308"/>
      <c r="C417" s="86"/>
      <c r="D417" s="86"/>
      <c r="E417" s="86"/>
      <c r="F417" s="308"/>
    </row>
    <row r="418" spans="2:6">
      <c r="B418" s="308"/>
      <c r="C418" s="86"/>
      <c r="D418" s="86"/>
      <c r="E418" s="86"/>
      <c r="F418" s="308"/>
    </row>
    <row r="419" spans="2:6">
      <c r="B419" s="308"/>
      <c r="C419" s="86"/>
      <c r="D419" s="86"/>
      <c r="E419" s="86"/>
      <c r="F419" s="308"/>
    </row>
    <row r="420" spans="2:6">
      <c r="B420" s="308"/>
      <c r="C420" s="86"/>
      <c r="D420" s="86"/>
      <c r="E420" s="86"/>
      <c r="F420" s="308"/>
    </row>
    <row r="421" spans="2:6">
      <c r="B421" s="308"/>
      <c r="C421" s="86"/>
      <c r="D421" s="86"/>
      <c r="E421" s="86"/>
      <c r="F421" s="308"/>
    </row>
    <row r="422" spans="2:6">
      <c r="B422" s="308"/>
      <c r="C422" s="86"/>
      <c r="D422" s="86"/>
      <c r="E422" s="86"/>
      <c r="F422" s="308"/>
    </row>
    <row r="423" spans="2:6">
      <c r="B423" s="308"/>
      <c r="C423" s="86"/>
      <c r="D423" s="86"/>
      <c r="E423" s="86"/>
      <c r="F423" s="308"/>
    </row>
    <row r="424" spans="2:6">
      <c r="B424" s="308"/>
      <c r="C424" s="86"/>
      <c r="D424" s="86"/>
      <c r="E424" s="86"/>
      <c r="F424" s="308"/>
    </row>
    <row r="425" spans="2:6">
      <c r="B425" s="308"/>
      <c r="C425" s="86"/>
      <c r="D425" s="86"/>
      <c r="E425" s="86"/>
      <c r="F425" s="308"/>
    </row>
    <row r="426" spans="2:6">
      <c r="B426" s="308"/>
      <c r="C426" s="86"/>
      <c r="D426" s="86"/>
      <c r="E426" s="86"/>
      <c r="F426" s="308"/>
    </row>
    <row r="427" spans="2:6">
      <c r="B427" s="308"/>
      <c r="C427" s="86"/>
      <c r="D427" s="86"/>
      <c r="E427" s="86"/>
      <c r="F427" s="308"/>
    </row>
    <row r="428" spans="2:6">
      <c r="B428" s="308"/>
      <c r="C428" s="86"/>
      <c r="D428" s="86"/>
      <c r="E428" s="86"/>
      <c r="F428" s="308"/>
    </row>
    <row r="429" spans="2:6">
      <c r="B429" s="308"/>
      <c r="C429" s="86"/>
      <c r="D429" s="86"/>
      <c r="E429" s="86"/>
      <c r="F429" s="308"/>
    </row>
    <row r="430" spans="2:6">
      <c r="B430" s="308"/>
      <c r="C430" s="86"/>
      <c r="D430" s="86"/>
      <c r="E430" s="86"/>
      <c r="F430" s="308"/>
    </row>
    <row r="431" spans="2:6">
      <c r="B431" s="308"/>
      <c r="C431" s="86"/>
      <c r="D431" s="86"/>
      <c r="E431" s="86"/>
      <c r="F431" s="308"/>
    </row>
    <row r="432" spans="2:6">
      <c r="B432" s="308"/>
      <c r="C432" s="86"/>
      <c r="D432" s="86"/>
      <c r="E432" s="86"/>
      <c r="F432" s="308"/>
    </row>
    <row r="433" spans="2:6">
      <c r="B433" s="308"/>
      <c r="C433" s="86"/>
      <c r="D433" s="86"/>
      <c r="E433" s="86"/>
      <c r="F433" s="308"/>
    </row>
    <row r="434" spans="2:6">
      <c r="B434" s="308"/>
      <c r="C434" s="86"/>
      <c r="D434" s="86"/>
      <c r="E434" s="86"/>
      <c r="F434" s="308"/>
    </row>
    <row r="435" spans="2:6">
      <c r="B435" s="308"/>
      <c r="C435" s="86"/>
      <c r="D435" s="86"/>
      <c r="E435" s="86"/>
      <c r="F435" s="308"/>
    </row>
    <row r="436" spans="2:6">
      <c r="B436" s="308"/>
      <c r="C436" s="86"/>
      <c r="D436" s="86"/>
      <c r="E436" s="86"/>
      <c r="F436" s="308"/>
    </row>
    <row r="437" spans="2:6">
      <c r="B437" s="308"/>
      <c r="C437" s="86"/>
      <c r="D437" s="86"/>
      <c r="E437" s="86"/>
      <c r="F437" s="308"/>
    </row>
    <row r="438" spans="2:6">
      <c r="B438" s="308"/>
      <c r="C438" s="86"/>
      <c r="D438" s="86"/>
      <c r="E438" s="86"/>
      <c r="F438" s="308"/>
    </row>
    <row r="439" spans="2:6">
      <c r="B439" s="308"/>
      <c r="C439" s="86"/>
      <c r="D439" s="86"/>
      <c r="E439" s="86"/>
      <c r="F439" s="308"/>
    </row>
    <row r="440" spans="2:6">
      <c r="B440" s="308"/>
      <c r="C440" s="86"/>
      <c r="D440" s="86"/>
      <c r="E440" s="86"/>
      <c r="F440" s="308"/>
    </row>
    <row r="441" spans="2:6">
      <c r="B441" s="308"/>
      <c r="C441" s="86"/>
      <c r="D441" s="86"/>
      <c r="E441" s="86"/>
      <c r="F441" s="308"/>
    </row>
    <row r="442" spans="2:6">
      <c r="B442" s="308"/>
      <c r="C442" s="86"/>
      <c r="D442" s="86"/>
      <c r="E442" s="86"/>
      <c r="F442" s="308"/>
    </row>
    <row r="443" spans="2:6">
      <c r="B443" s="308"/>
      <c r="C443" s="86"/>
      <c r="D443" s="86"/>
      <c r="E443" s="86"/>
      <c r="F443" s="308"/>
    </row>
    <row r="444" spans="2:6">
      <c r="B444" s="308"/>
      <c r="C444" s="86"/>
      <c r="D444" s="86"/>
      <c r="E444" s="86"/>
      <c r="F444" s="308"/>
    </row>
    <row r="445" spans="2:6">
      <c r="B445" s="308"/>
      <c r="C445" s="86"/>
      <c r="D445" s="86"/>
      <c r="E445" s="86"/>
      <c r="F445" s="308"/>
    </row>
    <row r="446" spans="2:6">
      <c r="B446" s="308"/>
      <c r="C446" s="86"/>
      <c r="D446" s="86"/>
      <c r="E446" s="86"/>
      <c r="F446" s="308"/>
    </row>
    <row r="447" spans="2:6">
      <c r="B447" s="308"/>
      <c r="C447" s="86"/>
      <c r="D447" s="86"/>
      <c r="E447" s="86"/>
      <c r="F447" s="308"/>
    </row>
    <row r="448" spans="2:6">
      <c r="B448" s="308"/>
      <c r="C448" s="86"/>
      <c r="D448" s="86"/>
      <c r="E448" s="86"/>
      <c r="F448" s="308"/>
    </row>
    <row r="449" spans="2:6">
      <c r="B449" s="308"/>
      <c r="C449" s="86"/>
      <c r="D449" s="86"/>
      <c r="E449" s="86"/>
      <c r="F449" s="308"/>
    </row>
    <row r="450" spans="2:6">
      <c r="B450" s="308"/>
      <c r="C450" s="86"/>
      <c r="D450" s="86"/>
      <c r="E450" s="86"/>
      <c r="F450" s="308"/>
    </row>
    <row r="451" spans="2:6">
      <c r="B451" s="308"/>
      <c r="C451" s="86"/>
      <c r="D451" s="86"/>
      <c r="E451" s="86"/>
      <c r="F451" s="308"/>
    </row>
    <row r="452" spans="2:6">
      <c r="B452" s="308"/>
      <c r="C452" s="86"/>
      <c r="D452" s="86"/>
      <c r="E452" s="86"/>
      <c r="F452" s="308"/>
    </row>
    <row r="453" spans="2:6">
      <c r="B453" s="308"/>
      <c r="C453" s="86"/>
      <c r="D453" s="86"/>
      <c r="E453" s="86"/>
      <c r="F453" s="308"/>
    </row>
    <row r="454" spans="2:6">
      <c r="B454" s="308"/>
      <c r="C454" s="86"/>
      <c r="D454" s="86"/>
      <c r="E454" s="86"/>
      <c r="F454" s="308"/>
    </row>
    <row r="455" spans="2:6">
      <c r="B455" s="308"/>
      <c r="C455" s="86"/>
      <c r="D455" s="86"/>
      <c r="E455" s="86"/>
      <c r="F455" s="308"/>
    </row>
    <row r="456" spans="2:6">
      <c r="B456" s="308"/>
      <c r="C456" s="86"/>
      <c r="D456" s="86"/>
      <c r="E456" s="86"/>
      <c r="F456" s="308"/>
    </row>
    <row r="457" spans="2:6">
      <c r="B457" s="308"/>
      <c r="C457" s="86"/>
      <c r="D457" s="86"/>
      <c r="E457" s="86"/>
      <c r="F457" s="308"/>
    </row>
    <row r="458" spans="2:6">
      <c r="B458" s="308"/>
      <c r="C458" s="86"/>
      <c r="D458" s="86"/>
      <c r="E458" s="86"/>
      <c r="F458" s="308"/>
    </row>
    <row r="459" spans="2:6">
      <c r="B459" s="308"/>
      <c r="C459" s="86"/>
      <c r="D459" s="86"/>
      <c r="E459" s="86"/>
      <c r="F459" s="308"/>
    </row>
    <row r="460" spans="2:6">
      <c r="B460" s="308"/>
      <c r="C460" s="86"/>
      <c r="D460" s="86"/>
      <c r="E460" s="86"/>
      <c r="F460" s="308"/>
    </row>
    <row r="461" spans="2:6">
      <c r="B461" s="308"/>
      <c r="C461" s="86"/>
      <c r="D461" s="86"/>
      <c r="E461" s="86"/>
      <c r="F461" s="308"/>
    </row>
    <row r="462" spans="2:6">
      <c r="B462" s="308"/>
      <c r="C462" s="86"/>
      <c r="D462" s="86"/>
      <c r="E462" s="86"/>
      <c r="F462" s="308"/>
    </row>
    <row r="463" spans="2:6">
      <c r="B463" s="308"/>
      <c r="C463" s="86"/>
      <c r="D463" s="86"/>
      <c r="E463" s="86"/>
      <c r="F463" s="308"/>
    </row>
    <row r="464" spans="2:6">
      <c r="B464" s="308"/>
      <c r="C464" s="86"/>
      <c r="D464" s="86"/>
      <c r="E464" s="86"/>
      <c r="F464" s="308"/>
    </row>
    <row r="465" spans="2:6">
      <c r="B465" s="308"/>
      <c r="C465" s="86"/>
      <c r="D465" s="86"/>
      <c r="E465" s="86"/>
      <c r="F465" s="308"/>
    </row>
    <row r="466" spans="2:6">
      <c r="B466" s="308"/>
      <c r="C466" s="86"/>
      <c r="D466" s="86"/>
      <c r="E466" s="86"/>
      <c r="F466" s="308"/>
    </row>
    <row r="467" spans="2:6">
      <c r="B467" s="308"/>
      <c r="C467" s="86"/>
      <c r="D467" s="86"/>
      <c r="E467" s="86"/>
      <c r="F467" s="308"/>
    </row>
    <row r="468" spans="2:6">
      <c r="B468" s="308"/>
      <c r="C468" s="86"/>
      <c r="D468" s="86"/>
      <c r="E468" s="86"/>
      <c r="F468" s="308"/>
    </row>
    <row r="469" spans="2:6">
      <c r="B469" s="308"/>
      <c r="C469" s="86"/>
      <c r="D469" s="86"/>
      <c r="E469" s="86"/>
      <c r="F469" s="308"/>
    </row>
    <row r="470" spans="2:6">
      <c r="B470" s="308"/>
      <c r="C470" s="86"/>
      <c r="D470" s="86"/>
      <c r="E470" s="86"/>
      <c r="F470" s="308"/>
    </row>
    <row r="471" spans="2:6">
      <c r="B471" s="308"/>
      <c r="C471" s="86"/>
      <c r="D471" s="86"/>
      <c r="E471" s="86"/>
      <c r="F471" s="308"/>
    </row>
    <row r="472" spans="2:6">
      <c r="B472" s="308"/>
      <c r="C472" s="86"/>
      <c r="D472" s="86"/>
      <c r="E472" s="86"/>
      <c r="F472" s="308"/>
    </row>
    <row r="473" spans="2:6">
      <c r="B473" s="308"/>
      <c r="C473" s="86"/>
      <c r="D473" s="86"/>
      <c r="E473" s="86"/>
      <c r="F473" s="308"/>
    </row>
    <row r="474" spans="2:6">
      <c r="B474" s="308"/>
      <c r="C474" s="86"/>
      <c r="D474" s="86"/>
      <c r="E474" s="86"/>
      <c r="F474" s="308"/>
    </row>
    <row r="475" spans="2:6">
      <c r="B475" s="308"/>
      <c r="C475" s="86"/>
      <c r="D475" s="86"/>
      <c r="E475" s="86"/>
      <c r="F475" s="308"/>
    </row>
    <row r="476" spans="2:6">
      <c r="B476" s="308"/>
      <c r="C476" s="86"/>
      <c r="D476" s="86"/>
      <c r="E476" s="86"/>
      <c r="F476" s="308"/>
    </row>
    <row r="477" spans="2:6">
      <c r="B477" s="308"/>
      <c r="C477" s="86"/>
      <c r="D477" s="86"/>
      <c r="E477" s="86"/>
      <c r="F477" s="308"/>
    </row>
    <row r="478" spans="2:6">
      <c r="B478" s="308"/>
      <c r="C478" s="86"/>
      <c r="D478" s="86"/>
      <c r="E478" s="86"/>
      <c r="F478" s="308"/>
    </row>
    <row r="479" spans="2:6">
      <c r="B479" s="308"/>
      <c r="C479" s="86"/>
      <c r="D479" s="86"/>
      <c r="E479" s="86"/>
      <c r="F479" s="308"/>
    </row>
    <row r="480" spans="2:6">
      <c r="B480" s="308"/>
      <c r="C480" s="86"/>
      <c r="D480" s="86"/>
      <c r="E480" s="86"/>
      <c r="F480" s="308"/>
    </row>
    <row r="481" spans="2:6">
      <c r="B481" s="308"/>
      <c r="C481" s="86"/>
      <c r="D481" s="86"/>
      <c r="E481" s="86"/>
      <c r="F481" s="308"/>
    </row>
    <row r="482" spans="2:6">
      <c r="B482" s="308"/>
      <c r="C482" s="86"/>
      <c r="D482" s="86"/>
      <c r="E482" s="86"/>
      <c r="F482" s="308"/>
    </row>
    <row r="483" spans="2:6">
      <c r="B483" s="308"/>
      <c r="C483" s="86"/>
      <c r="D483" s="86"/>
      <c r="E483" s="86"/>
      <c r="F483" s="308"/>
    </row>
    <row r="484" spans="2:6">
      <c r="B484" s="308"/>
      <c r="C484" s="86"/>
      <c r="D484" s="86"/>
      <c r="E484" s="86"/>
      <c r="F484" s="308"/>
    </row>
    <row r="485" spans="2:6">
      <c r="B485" s="308"/>
      <c r="C485" s="86"/>
      <c r="D485" s="86"/>
      <c r="E485" s="86"/>
      <c r="F485" s="308"/>
    </row>
    <row r="486" spans="2:6">
      <c r="B486" s="308"/>
      <c r="C486" s="86"/>
      <c r="D486" s="86"/>
      <c r="E486" s="86"/>
      <c r="F486" s="308"/>
    </row>
    <row r="487" spans="2:6">
      <c r="B487" s="308"/>
      <c r="C487" s="86"/>
      <c r="D487" s="86"/>
      <c r="E487" s="86"/>
      <c r="F487" s="308"/>
    </row>
    <row r="488" spans="2:6">
      <c r="B488" s="308"/>
      <c r="C488" s="86"/>
      <c r="D488" s="86"/>
      <c r="E488" s="86"/>
      <c r="F488" s="308"/>
    </row>
    <row r="489" spans="2:6">
      <c r="B489" s="308"/>
      <c r="C489" s="86"/>
      <c r="D489" s="86"/>
      <c r="E489" s="86"/>
      <c r="F489" s="308"/>
    </row>
    <row r="490" spans="2:6">
      <c r="B490" s="308"/>
      <c r="C490" s="86"/>
      <c r="D490" s="86"/>
      <c r="E490" s="86"/>
      <c r="F490" s="308"/>
    </row>
    <row r="491" spans="2:6">
      <c r="B491" s="308"/>
      <c r="C491" s="86"/>
      <c r="D491" s="86"/>
      <c r="E491" s="86"/>
      <c r="F491" s="308"/>
    </row>
    <row r="492" spans="2:6">
      <c r="B492" s="308"/>
      <c r="C492" s="86"/>
      <c r="D492" s="86"/>
      <c r="E492" s="86"/>
      <c r="F492" s="308"/>
    </row>
    <row r="493" spans="2:6">
      <c r="B493" s="308"/>
      <c r="C493" s="86"/>
      <c r="D493" s="86"/>
      <c r="E493" s="86"/>
      <c r="F493" s="308"/>
    </row>
    <row r="494" spans="2:6">
      <c r="B494" s="308"/>
      <c r="C494" s="86"/>
      <c r="D494" s="86"/>
      <c r="E494" s="86"/>
      <c r="F494" s="308"/>
    </row>
    <row r="495" spans="2:6">
      <c r="B495" s="308"/>
      <c r="C495" s="86"/>
      <c r="D495" s="86"/>
      <c r="E495" s="86"/>
      <c r="F495" s="308"/>
    </row>
    <row r="496" spans="2:6">
      <c r="B496" s="308"/>
      <c r="C496" s="86"/>
      <c r="D496" s="86"/>
      <c r="E496" s="86"/>
      <c r="F496" s="308"/>
    </row>
    <row r="497" spans="2:6">
      <c r="B497" s="308"/>
      <c r="C497" s="86"/>
      <c r="D497" s="86"/>
      <c r="E497" s="86"/>
      <c r="F497" s="308"/>
    </row>
    <row r="498" spans="2:6">
      <c r="B498" s="308"/>
      <c r="C498" s="86"/>
      <c r="D498" s="86"/>
      <c r="E498" s="86"/>
      <c r="F498" s="308"/>
    </row>
    <row r="499" spans="2:6">
      <c r="B499" s="308"/>
      <c r="C499" s="86"/>
      <c r="D499" s="86"/>
      <c r="E499" s="86"/>
      <c r="F499" s="308"/>
    </row>
    <row r="500" spans="2:6">
      <c r="B500" s="308"/>
      <c r="C500" s="86"/>
      <c r="D500" s="86"/>
      <c r="E500" s="86"/>
      <c r="F500" s="308"/>
    </row>
    <row r="501" spans="2:6">
      <c r="B501" s="308"/>
      <c r="C501" s="86"/>
      <c r="D501" s="86"/>
      <c r="E501" s="86"/>
      <c r="F501" s="308"/>
    </row>
    <row r="502" spans="2:6">
      <c r="B502" s="308"/>
      <c r="C502" s="86"/>
      <c r="D502" s="86"/>
      <c r="E502" s="86"/>
      <c r="F502" s="308"/>
    </row>
    <row r="503" spans="2:6">
      <c r="B503" s="308"/>
      <c r="C503" s="86"/>
      <c r="D503" s="86"/>
      <c r="E503" s="86"/>
      <c r="F503" s="308"/>
    </row>
    <row r="504" spans="2:6">
      <c r="B504" s="308"/>
      <c r="C504" s="86"/>
      <c r="D504" s="86"/>
      <c r="E504" s="86"/>
      <c r="F504" s="308"/>
    </row>
    <row r="505" spans="2:6">
      <c r="B505" s="308"/>
      <c r="C505" s="86"/>
      <c r="D505" s="86"/>
      <c r="E505" s="86"/>
      <c r="F505" s="308"/>
    </row>
    <row r="506" spans="2:6">
      <c r="B506" s="308"/>
      <c r="C506" s="86"/>
      <c r="D506" s="86"/>
      <c r="E506" s="86"/>
      <c r="F506" s="308"/>
    </row>
    <row r="507" spans="2:6">
      <c r="B507" s="308"/>
      <c r="C507" s="86"/>
      <c r="D507" s="86"/>
      <c r="E507" s="86"/>
      <c r="F507" s="308"/>
    </row>
    <row r="508" spans="2:6">
      <c r="B508" s="308"/>
      <c r="C508" s="86"/>
      <c r="D508" s="86"/>
      <c r="E508" s="86"/>
      <c r="F508" s="308"/>
    </row>
    <row r="509" spans="2:6">
      <c r="B509" s="308"/>
      <c r="C509" s="86"/>
      <c r="D509" s="86"/>
      <c r="E509" s="86"/>
      <c r="F509" s="308"/>
    </row>
    <row r="510" spans="2:6">
      <c r="B510" s="308"/>
      <c r="C510" s="86"/>
      <c r="D510" s="86"/>
      <c r="E510" s="86"/>
      <c r="F510" s="308"/>
    </row>
    <row r="511" spans="2:6">
      <c r="B511" s="308"/>
      <c r="C511" s="86"/>
      <c r="D511" s="86"/>
      <c r="E511" s="86"/>
      <c r="F511" s="308"/>
    </row>
    <row r="512" spans="2:6">
      <c r="B512" s="308"/>
      <c r="C512" s="86"/>
      <c r="D512" s="86"/>
      <c r="E512" s="86"/>
      <c r="F512" s="308"/>
    </row>
    <row r="513" spans="2:6">
      <c r="B513" s="308"/>
      <c r="C513" s="86"/>
      <c r="D513" s="86"/>
      <c r="E513" s="86"/>
      <c r="F513" s="308"/>
    </row>
    <row r="514" spans="2:6">
      <c r="B514" s="308"/>
      <c r="C514" s="86"/>
      <c r="D514" s="86"/>
      <c r="E514" s="86"/>
      <c r="F514" s="308"/>
    </row>
    <row r="515" spans="2:6">
      <c r="B515" s="308"/>
      <c r="C515" s="86"/>
      <c r="D515" s="86"/>
      <c r="E515" s="86"/>
      <c r="F515" s="308"/>
    </row>
    <row r="516" spans="2:6">
      <c r="B516" s="308"/>
      <c r="C516" s="86"/>
      <c r="D516" s="86"/>
      <c r="E516" s="86"/>
      <c r="F516" s="308"/>
    </row>
    <row r="517" spans="2:6">
      <c r="B517" s="308"/>
      <c r="C517" s="86"/>
      <c r="D517" s="86"/>
      <c r="E517" s="86"/>
      <c r="F517" s="308"/>
    </row>
    <row r="518" spans="2:6">
      <c r="B518" s="308"/>
      <c r="C518" s="86"/>
      <c r="D518" s="86"/>
      <c r="E518" s="86"/>
      <c r="F518" s="308"/>
    </row>
    <row r="519" spans="2:6">
      <c r="B519" s="308"/>
      <c r="C519" s="86"/>
      <c r="D519" s="86"/>
      <c r="E519" s="86"/>
      <c r="F519" s="308"/>
    </row>
    <row r="520" spans="2:6">
      <c r="B520" s="308"/>
      <c r="C520" s="86"/>
      <c r="D520" s="86"/>
      <c r="E520" s="86"/>
      <c r="F520" s="308"/>
    </row>
    <row r="521" spans="2:6">
      <c r="B521" s="308"/>
      <c r="C521" s="86"/>
      <c r="D521" s="86"/>
      <c r="E521" s="86"/>
      <c r="F521" s="308"/>
    </row>
    <row r="522" spans="2:6">
      <c r="B522" s="308"/>
      <c r="C522" s="86"/>
      <c r="D522" s="86"/>
      <c r="E522" s="86"/>
      <c r="F522" s="308"/>
    </row>
    <row r="523" spans="2:6">
      <c r="B523" s="308"/>
      <c r="C523" s="86"/>
      <c r="D523" s="86"/>
      <c r="E523" s="86"/>
      <c r="F523" s="308"/>
    </row>
    <row r="524" spans="2:6">
      <c r="B524" s="308"/>
      <c r="C524" s="86"/>
      <c r="D524" s="86"/>
      <c r="E524" s="86"/>
      <c r="F524" s="308"/>
    </row>
    <row r="525" spans="2:6">
      <c r="B525" s="308"/>
      <c r="C525" s="86"/>
      <c r="D525" s="86"/>
      <c r="E525" s="86"/>
      <c r="F525" s="308"/>
    </row>
    <row r="526" spans="2:6">
      <c r="B526" s="308"/>
      <c r="C526" s="86"/>
      <c r="D526" s="86"/>
      <c r="E526" s="86"/>
      <c r="F526" s="308"/>
    </row>
    <row r="527" spans="2:6">
      <c r="B527" s="308"/>
      <c r="C527" s="86"/>
      <c r="D527" s="86"/>
      <c r="E527" s="86"/>
      <c r="F527" s="308"/>
    </row>
    <row r="528" spans="2:6">
      <c r="B528" s="308"/>
      <c r="C528" s="86"/>
      <c r="D528" s="86"/>
      <c r="E528" s="86"/>
      <c r="F528" s="308"/>
    </row>
    <row r="529" spans="2:6">
      <c r="B529" s="308"/>
      <c r="C529" s="86"/>
      <c r="D529" s="86"/>
      <c r="E529" s="86"/>
      <c r="F529" s="308"/>
    </row>
    <row r="530" spans="2:6">
      <c r="B530" s="308"/>
      <c r="C530" s="86"/>
      <c r="D530" s="86"/>
      <c r="E530" s="86"/>
      <c r="F530" s="308"/>
    </row>
    <row r="531" spans="2:6">
      <c r="B531" s="308"/>
      <c r="C531" s="86"/>
      <c r="D531" s="86"/>
      <c r="E531" s="86"/>
      <c r="F531" s="308"/>
    </row>
    <row r="532" spans="2:6">
      <c r="B532" s="308"/>
      <c r="C532" s="86"/>
      <c r="D532" s="86"/>
      <c r="E532" s="86"/>
      <c r="F532" s="308"/>
    </row>
    <row r="533" spans="2:6">
      <c r="B533" s="308"/>
      <c r="C533" s="86"/>
      <c r="D533" s="86"/>
      <c r="E533" s="86"/>
      <c r="F533" s="308"/>
    </row>
    <row r="534" spans="2:6">
      <c r="B534" s="308"/>
      <c r="C534" s="86"/>
      <c r="D534" s="86"/>
      <c r="E534" s="86"/>
      <c r="F534" s="308"/>
    </row>
    <row r="535" spans="2:6">
      <c r="B535" s="308"/>
      <c r="C535" s="86"/>
      <c r="D535" s="86"/>
      <c r="E535" s="86"/>
      <c r="F535" s="308"/>
    </row>
    <row r="536" spans="2:6">
      <c r="B536" s="308"/>
      <c r="C536" s="86"/>
      <c r="D536" s="86"/>
      <c r="E536" s="86"/>
      <c r="F536" s="308"/>
    </row>
    <row r="537" spans="2:6">
      <c r="B537" s="308"/>
      <c r="C537" s="86"/>
      <c r="D537" s="86"/>
      <c r="E537" s="86"/>
      <c r="F537" s="308"/>
    </row>
    <row r="538" spans="2:6">
      <c r="B538" s="308"/>
      <c r="C538" s="86"/>
      <c r="D538" s="86"/>
      <c r="E538" s="86"/>
      <c r="F538" s="308"/>
    </row>
    <row r="539" spans="2:6">
      <c r="B539" s="308"/>
      <c r="C539" s="86"/>
      <c r="D539" s="86"/>
      <c r="E539" s="86"/>
      <c r="F539" s="308"/>
    </row>
    <row r="540" spans="2:6">
      <c r="B540" s="308"/>
      <c r="C540" s="86"/>
      <c r="D540" s="86"/>
      <c r="E540" s="86"/>
      <c r="F540" s="308"/>
    </row>
    <row r="541" spans="2:6">
      <c r="B541" s="308"/>
      <c r="C541" s="86"/>
      <c r="D541" s="86"/>
      <c r="E541" s="86"/>
      <c r="F541" s="308"/>
    </row>
    <row r="542" spans="2:6">
      <c r="B542" s="308"/>
      <c r="C542" s="86"/>
      <c r="D542" s="86"/>
      <c r="E542" s="86"/>
      <c r="F542" s="308"/>
    </row>
    <row r="543" spans="2:6">
      <c r="B543" s="308"/>
      <c r="C543" s="86"/>
      <c r="D543" s="86"/>
      <c r="E543" s="86"/>
      <c r="F543" s="308"/>
    </row>
    <row r="544" spans="2:6">
      <c r="B544" s="308"/>
      <c r="C544" s="86"/>
      <c r="D544" s="86"/>
      <c r="E544" s="86"/>
      <c r="F544" s="308"/>
    </row>
    <row r="545" spans="2:6">
      <c r="B545" s="308"/>
      <c r="C545" s="86"/>
      <c r="D545" s="86"/>
      <c r="E545" s="86"/>
      <c r="F545" s="308"/>
    </row>
    <row r="546" spans="2:6">
      <c r="B546" s="308"/>
      <c r="C546" s="86"/>
      <c r="D546" s="86"/>
      <c r="E546" s="86"/>
      <c r="F546" s="308"/>
    </row>
    <row r="547" spans="2:6">
      <c r="B547" s="308"/>
      <c r="C547" s="86"/>
      <c r="D547" s="86"/>
      <c r="E547" s="86"/>
      <c r="F547" s="308"/>
    </row>
    <row r="548" spans="2:6">
      <c r="B548" s="308"/>
      <c r="C548" s="86"/>
      <c r="D548" s="86"/>
      <c r="E548" s="86"/>
      <c r="F548" s="308"/>
    </row>
    <row r="549" spans="2:6">
      <c r="B549" s="308"/>
      <c r="C549" s="86"/>
      <c r="D549" s="86"/>
      <c r="E549" s="86"/>
      <c r="F549" s="308"/>
    </row>
    <row r="550" spans="2:6">
      <c r="B550" s="308"/>
      <c r="C550" s="86"/>
      <c r="D550" s="86"/>
      <c r="E550" s="86"/>
      <c r="F550" s="308"/>
    </row>
    <row r="551" spans="2:6">
      <c r="B551" s="308"/>
      <c r="C551" s="86"/>
      <c r="D551" s="86"/>
      <c r="E551" s="86"/>
      <c r="F551" s="308"/>
    </row>
    <row r="552" spans="2:6">
      <c r="B552" s="308"/>
      <c r="C552" s="86"/>
      <c r="D552" s="86"/>
      <c r="E552" s="86"/>
      <c r="F552" s="308"/>
    </row>
    <row r="553" spans="2:6">
      <c r="B553" s="308"/>
      <c r="C553" s="86"/>
      <c r="D553" s="86"/>
      <c r="E553" s="86"/>
      <c r="F553" s="308"/>
    </row>
    <row r="554" spans="2:6">
      <c r="B554" s="308"/>
      <c r="C554" s="86"/>
      <c r="D554" s="86"/>
      <c r="E554" s="86"/>
      <c r="F554" s="308"/>
    </row>
    <row r="555" spans="2:6">
      <c r="B555" s="308"/>
      <c r="C555" s="86"/>
      <c r="D555" s="86"/>
      <c r="E555" s="86"/>
      <c r="F555" s="308"/>
    </row>
    <row r="556" spans="2:6">
      <c r="B556" s="308"/>
      <c r="C556" s="86"/>
      <c r="D556" s="86"/>
      <c r="E556" s="86"/>
      <c r="F556" s="308"/>
    </row>
    <row r="557" spans="2:6">
      <c r="B557" s="308"/>
      <c r="C557" s="86"/>
      <c r="D557" s="86"/>
      <c r="E557" s="86"/>
      <c r="F557" s="308"/>
    </row>
    <row r="558" spans="2:6">
      <c r="B558" s="308"/>
      <c r="C558" s="86"/>
      <c r="D558" s="86"/>
      <c r="E558" s="86"/>
      <c r="F558" s="308"/>
    </row>
    <row r="559" spans="2:6">
      <c r="B559" s="308"/>
      <c r="C559" s="86"/>
      <c r="D559" s="86"/>
      <c r="E559" s="86"/>
      <c r="F559" s="308"/>
    </row>
    <row r="560" spans="2:6">
      <c r="B560" s="308"/>
      <c r="C560" s="86"/>
      <c r="D560" s="86"/>
      <c r="E560" s="86"/>
      <c r="F560" s="308"/>
    </row>
    <row r="561" spans="2:6">
      <c r="B561" s="308"/>
      <c r="C561" s="86"/>
      <c r="D561" s="86"/>
      <c r="E561" s="86"/>
      <c r="F561" s="308"/>
    </row>
    <row r="562" spans="2:6">
      <c r="B562" s="308"/>
      <c r="C562" s="86"/>
      <c r="D562" s="86"/>
      <c r="E562" s="86"/>
      <c r="F562" s="308"/>
    </row>
    <row r="563" spans="2:6">
      <c r="B563" s="308"/>
      <c r="C563" s="86"/>
      <c r="D563" s="86"/>
      <c r="E563" s="86"/>
      <c r="F563" s="308"/>
    </row>
    <row r="564" spans="2:6">
      <c r="B564" s="308"/>
      <c r="C564" s="86"/>
      <c r="D564" s="86"/>
      <c r="E564" s="86"/>
      <c r="F564" s="308"/>
    </row>
    <row r="565" spans="2:6">
      <c r="B565" s="308"/>
      <c r="C565" s="86"/>
      <c r="D565" s="86"/>
      <c r="E565" s="86"/>
      <c r="F565" s="308"/>
    </row>
    <row r="566" spans="2:6">
      <c r="B566" s="308"/>
      <c r="C566" s="86"/>
      <c r="D566" s="86"/>
      <c r="E566" s="86"/>
      <c r="F566" s="308"/>
    </row>
    <row r="567" spans="2:6">
      <c r="B567" s="308"/>
      <c r="C567" s="86"/>
      <c r="D567" s="86"/>
      <c r="E567" s="86"/>
      <c r="F567" s="308"/>
    </row>
    <row r="568" spans="2:6">
      <c r="B568" s="308"/>
      <c r="C568" s="86"/>
      <c r="D568" s="86"/>
      <c r="E568" s="86"/>
      <c r="F568" s="308"/>
    </row>
    <row r="569" spans="2:6">
      <c r="B569" s="308"/>
      <c r="C569" s="86"/>
      <c r="D569" s="86"/>
      <c r="E569" s="86"/>
      <c r="F569" s="308"/>
    </row>
    <row r="570" spans="2:6">
      <c r="B570" s="308"/>
      <c r="C570" s="86"/>
      <c r="D570" s="86"/>
      <c r="E570" s="86"/>
      <c r="F570" s="308"/>
    </row>
    <row r="571" spans="2:6">
      <c r="B571" s="308"/>
      <c r="C571" s="86"/>
      <c r="D571" s="86"/>
      <c r="E571" s="86"/>
      <c r="F571" s="308"/>
    </row>
    <row r="572" spans="2:6">
      <c r="B572" s="308"/>
      <c r="C572" s="86"/>
      <c r="D572" s="86"/>
      <c r="E572" s="86"/>
      <c r="F572" s="308"/>
    </row>
    <row r="573" spans="2:6">
      <c r="B573" s="308"/>
      <c r="C573" s="86"/>
      <c r="D573" s="86"/>
      <c r="E573" s="86"/>
      <c r="F573" s="308"/>
    </row>
    <row r="574" spans="2:6">
      <c r="B574" s="308"/>
      <c r="C574" s="86"/>
      <c r="D574" s="86"/>
      <c r="E574" s="86"/>
      <c r="F574" s="308"/>
    </row>
    <row r="575" spans="2:6">
      <c r="B575" s="308"/>
      <c r="C575" s="86"/>
      <c r="D575" s="86"/>
      <c r="E575" s="86"/>
      <c r="F575" s="308"/>
    </row>
    <row r="576" spans="2:6">
      <c r="B576" s="308"/>
      <c r="C576" s="86"/>
      <c r="D576" s="86"/>
      <c r="E576" s="86"/>
      <c r="F576" s="308"/>
    </row>
    <row r="577" spans="2:6">
      <c r="B577" s="308"/>
      <c r="C577" s="86"/>
      <c r="D577" s="86"/>
      <c r="E577" s="86"/>
      <c r="F577" s="308"/>
    </row>
    <row r="578" spans="2:6">
      <c r="B578" s="308"/>
      <c r="C578" s="86"/>
      <c r="D578" s="86"/>
      <c r="E578" s="86"/>
      <c r="F578" s="308"/>
    </row>
    <row r="579" spans="2:6">
      <c r="B579" s="308"/>
      <c r="C579" s="86"/>
      <c r="D579" s="86"/>
      <c r="E579" s="86"/>
      <c r="F579" s="308"/>
    </row>
    <row r="580" spans="2:6">
      <c r="B580" s="308"/>
      <c r="C580" s="86"/>
      <c r="D580" s="86"/>
      <c r="E580" s="86"/>
      <c r="F580" s="308"/>
    </row>
    <row r="581" spans="2:6">
      <c r="B581" s="308"/>
      <c r="C581" s="86"/>
      <c r="D581" s="86"/>
      <c r="E581" s="86"/>
      <c r="F581" s="308"/>
    </row>
    <row r="582" spans="2:6">
      <c r="B582" s="308"/>
      <c r="C582" s="86"/>
      <c r="D582" s="86"/>
      <c r="E582" s="86"/>
      <c r="F582" s="308"/>
    </row>
    <row r="583" spans="2:6">
      <c r="B583" s="308"/>
      <c r="C583" s="86"/>
      <c r="D583" s="86"/>
      <c r="E583" s="86"/>
      <c r="F583" s="308"/>
    </row>
    <row r="584" spans="2:6">
      <c r="B584" s="308"/>
      <c r="C584" s="86"/>
      <c r="D584" s="86"/>
      <c r="E584" s="86"/>
      <c r="F584" s="308"/>
    </row>
    <row r="585" spans="2:6">
      <c r="B585" s="308"/>
      <c r="C585" s="86"/>
      <c r="D585" s="86"/>
      <c r="E585" s="86"/>
      <c r="F585" s="308"/>
    </row>
    <row r="586" spans="2:6">
      <c r="B586" s="308"/>
      <c r="C586" s="86"/>
      <c r="D586" s="86"/>
      <c r="E586" s="86"/>
      <c r="F586" s="308"/>
    </row>
    <row r="587" spans="2:6">
      <c r="B587" s="308"/>
      <c r="C587" s="86"/>
      <c r="D587" s="86"/>
      <c r="E587" s="86"/>
      <c r="F587" s="308"/>
    </row>
    <row r="588" spans="2:6">
      <c r="B588" s="308"/>
      <c r="C588" s="86"/>
      <c r="D588" s="86"/>
      <c r="E588" s="86"/>
      <c r="F588" s="308"/>
    </row>
    <row r="589" spans="2:6">
      <c r="B589" s="308"/>
      <c r="C589" s="86"/>
      <c r="D589" s="86"/>
      <c r="E589" s="86"/>
      <c r="F589" s="308"/>
    </row>
    <row r="590" spans="2:6">
      <c r="B590" s="308"/>
      <c r="C590" s="86"/>
      <c r="D590" s="86"/>
      <c r="E590" s="86"/>
      <c r="F590" s="308"/>
    </row>
    <row r="591" spans="2:6">
      <c r="B591" s="308"/>
      <c r="C591" s="86"/>
      <c r="D591" s="86"/>
      <c r="E591" s="86"/>
      <c r="F591" s="308"/>
    </row>
    <row r="592" spans="2:6">
      <c r="B592" s="308"/>
      <c r="C592" s="86"/>
      <c r="D592" s="86"/>
      <c r="E592" s="86"/>
      <c r="F592" s="308"/>
    </row>
    <row r="593" spans="2:6">
      <c r="B593" s="308"/>
      <c r="C593" s="86"/>
      <c r="D593" s="86"/>
      <c r="E593" s="86"/>
      <c r="F593" s="308"/>
    </row>
    <row r="594" spans="2:6">
      <c r="B594" s="308"/>
      <c r="C594" s="86"/>
      <c r="D594" s="86"/>
      <c r="E594" s="86"/>
      <c r="F594" s="308"/>
    </row>
    <row r="595" spans="2:6">
      <c r="B595" s="308"/>
      <c r="C595" s="86"/>
      <c r="D595" s="86"/>
      <c r="E595" s="86"/>
      <c r="F595" s="308"/>
    </row>
    <row r="596" spans="2:6">
      <c r="B596" s="308"/>
      <c r="C596" s="86"/>
      <c r="D596" s="86"/>
      <c r="E596" s="86"/>
      <c r="F596" s="308"/>
    </row>
    <row r="597" spans="2:6">
      <c r="B597" s="308"/>
      <c r="C597" s="86"/>
      <c r="D597" s="86"/>
      <c r="E597" s="86"/>
      <c r="F597" s="308"/>
    </row>
    <row r="598" spans="2:6">
      <c r="B598" s="308"/>
      <c r="C598" s="86"/>
      <c r="D598" s="86"/>
      <c r="E598" s="86"/>
      <c r="F598" s="308"/>
    </row>
    <row r="599" spans="2:6">
      <c r="B599" s="308"/>
      <c r="C599" s="86"/>
      <c r="D599" s="86"/>
      <c r="E599" s="86"/>
      <c r="F599" s="308"/>
    </row>
    <row r="600" spans="2:6">
      <c r="B600" s="308"/>
      <c r="C600" s="86"/>
      <c r="D600" s="86"/>
      <c r="E600" s="86"/>
      <c r="F600" s="308"/>
    </row>
    <row r="601" spans="2:6">
      <c r="B601" s="308"/>
      <c r="C601" s="86"/>
      <c r="D601" s="86"/>
      <c r="E601" s="86"/>
      <c r="F601" s="308"/>
    </row>
    <row r="602" spans="2:6">
      <c r="B602" s="308"/>
      <c r="C602" s="86"/>
      <c r="D602" s="86"/>
      <c r="E602" s="86"/>
      <c r="F602" s="308"/>
    </row>
    <row r="603" spans="2:6">
      <c r="B603" s="308"/>
      <c r="C603" s="86"/>
      <c r="D603" s="86"/>
      <c r="E603" s="86"/>
      <c r="F603" s="308"/>
    </row>
    <row r="604" spans="2:6">
      <c r="B604" s="308"/>
      <c r="C604" s="86"/>
      <c r="D604" s="86"/>
      <c r="E604" s="86"/>
      <c r="F604" s="308"/>
    </row>
    <row r="605" spans="2:6">
      <c r="B605" s="308"/>
      <c r="C605" s="86"/>
      <c r="D605" s="86"/>
      <c r="E605" s="86"/>
      <c r="F605" s="308"/>
    </row>
    <row r="606" spans="2:6">
      <c r="B606" s="308"/>
      <c r="C606" s="86"/>
      <c r="D606" s="86"/>
      <c r="E606" s="86"/>
      <c r="F606" s="308"/>
    </row>
    <row r="607" spans="2:6">
      <c r="B607" s="308"/>
      <c r="C607" s="86"/>
      <c r="D607" s="86"/>
      <c r="E607" s="86"/>
      <c r="F607" s="308"/>
    </row>
    <row r="608" spans="2:6">
      <c r="B608" s="308"/>
      <c r="C608" s="86"/>
      <c r="D608" s="86"/>
      <c r="E608" s="86"/>
      <c r="F608" s="308"/>
    </row>
    <row r="609" spans="2:6">
      <c r="B609" s="308"/>
      <c r="C609" s="86"/>
      <c r="D609" s="86"/>
      <c r="E609" s="86"/>
      <c r="F609" s="308"/>
    </row>
    <row r="610" spans="2:6">
      <c r="B610" s="308"/>
      <c r="C610" s="86"/>
      <c r="D610" s="86"/>
      <c r="E610" s="86"/>
      <c r="F610" s="308"/>
    </row>
    <row r="611" spans="2:6">
      <c r="B611" s="308"/>
      <c r="C611" s="86"/>
      <c r="D611" s="86"/>
      <c r="E611" s="86"/>
      <c r="F611" s="308"/>
    </row>
    <row r="612" spans="2:6">
      <c r="B612" s="308"/>
      <c r="C612" s="86"/>
      <c r="D612" s="86"/>
      <c r="E612" s="86"/>
      <c r="F612" s="308"/>
    </row>
    <row r="613" spans="2:6">
      <c r="B613" s="308"/>
      <c r="C613" s="86"/>
      <c r="D613" s="86"/>
      <c r="E613" s="86"/>
      <c r="F613" s="308"/>
    </row>
    <row r="614" spans="2:6">
      <c r="B614" s="308"/>
      <c r="C614" s="86"/>
      <c r="D614" s="86"/>
      <c r="E614" s="86"/>
      <c r="F614" s="308"/>
    </row>
    <row r="615" spans="2:6">
      <c r="B615" s="308"/>
      <c r="C615" s="86"/>
      <c r="D615" s="86"/>
      <c r="E615" s="86"/>
      <c r="F615" s="308"/>
    </row>
    <row r="616" spans="2:6">
      <c r="B616" s="308"/>
      <c r="C616" s="86"/>
      <c r="D616" s="86"/>
      <c r="E616" s="86"/>
      <c r="F616" s="308"/>
    </row>
    <row r="617" spans="2:6">
      <c r="B617" s="308"/>
      <c r="C617" s="86"/>
      <c r="D617" s="86"/>
      <c r="E617" s="86"/>
      <c r="F617" s="308"/>
    </row>
    <row r="618" spans="2:6">
      <c r="B618" s="308"/>
      <c r="C618" s="86"/>
      <c r="D618" s="86"/>
      <c r="E618" s="86"/>
      <c r="F618" s="308"/>
    </row>
    <row r="619" spans="2:6">
      <c r="B619" s="308"/>
      <c r="C619" s="86"/>
      <c r="D619" s="86"/>
      <c r="E619" s="86"/>
      <c r="F619" s="308"/>
    </row>
    <row r="620" spans="2:6">
      <c r="B620" s="308"/>
      <c r="C620" s="86"/>
      <c r="D620" s="86"/>
      <c r="E620" s="86"/>
      <c r="F620" s="308"/>
    </row>
    <row r="621" spans="2:6">
      <c r="B621" s="308"/>
      <c r="C621" s="86"/>
      <c r="D621" s="86"/>
      <c r="E621" s="86"/>
      <c r="F621" s="308"/>
    </row>
    <row r="622" spans="2:6">
      <c r="B622" s="308"/>
      <c r="C622" s="86"/>
      <c r="D622" s="86"/>
      <c r="E622" s="86"/>
      <c r="F622" s="308"/>
    </row>
    <row r="623" spans="2:6">
      <c r="B623" s="308"/>
      <c r="C623" s="86"/>
      <c r="D623" s="86"/>
      <c r="E623" s="86"/>
      <c r="F623" s="308"/>
    </row>
    <row r="624" spans="2:6">
      <c r="B624" s="308"/>
      <c r="C624" s="86"/>
      <c r="D624" s="86"/>
      <c r="E624" s="86"/>
      <c r="F624" s="308"/>
    </row>
    <row r="625" spans="2:6">
      <c r="B625" s="308"/>
      <c r="C625" s="86"/>
      <c r="D625" s="86"/>
      <c r="E625" s="86"/>
      <c r="F625" s="308"/>
    </row>
    <row r="626" spans="2:6">
      <c r="B626" s="308"/>
      <c r="C626" s="86"/>
      <c r="D626" s="86"/>
      <c r="E626" s="86"/>
      <c r="F626" s="308"/>
    </row>
    <row r="627" spans="2:6">
      <c r="B627" s="308"/>
      <c r="C627" s="86"/>
      <c r="D627" s="86"/>
      <c r="E627" s="86"/>
      <c r="F627" s="308"/>
    </row>
    <row r="628" spans="2:6">
      <c r="B628" s="308"/>
      <c r="C628" s="86"/>
      <c r="D628" s="86"/>
      <c r="E628" s="86"/>
      <c r="F628" s="308"/>
    </row>
    <row r="629" spans="2:6">
      <c r="B629" s="308"/>
      <c r="C629" s="86"/>
      <c r="D629" s="86"/>
      <c r="E629" s="86"/>
      <c r="F629" s="308"/>
    </row>
    <row r="630" spans="2:6">
      <c r="B630" s="308"/>
      <c r="C630" s="86"/>
      <c r="D630" s="86"/>
      <c r="E630" s="86"/>
      <c r="F630" s="308"/>
    </row>
    <row r="631" spans="2:6">
      <c r="B631" s="308"/>
      <c r="C631" s="86"/>
      <c r="D631" s="86"/>
      <c r="E631" s="86"/>
      <c r="F631" s="308"/>
    </row>
    <row r="632" spans="2:6">
      <c r="B632" s="308"/>
      <c r="C632" s="86"/>
      <c r="D632" s="86"/>
      <c r="E632" s="86"/>
      <c r="F632" s="308"/>
    </row>
    <row r="633" spans="2:6">
      <c r="B633" s="308"/>
      <c r="C633" s="86"/>
      <c r="D633" s="86"/>
      <c r="E633" s="86"/>
      <c r="F633" s="308"/>
    </row>
    <row r="634" spans="2:6">
      <c r="B634" s="308"/>
      <c r="C634" s="86"/>
      <c r="D634" s="86"/>
      <c r="E634" s="86"/>
      <c r="F634" s="308"/>
    </row>
    <row r="635" spans="2:6">
      <c r="B635" s="308"/>
      <c r="C635" s="86"/>
      <c r="D635" s="86"/>
      <c r="E635" s="86"/>
      <c r="F635" s="308"/>
    </row>
    <row r="636" spans="2:6">
      <c r="B636" s="308"/>
      <c r="C636" s="86"/>
      <c r="D636" s="86"/>
      <c r="E636" s="86"/>
      <c r="F636" s="308"/>
    </row>
    <row r="637" spans="2:6">
      <c r="B637" s="308"/>
      <c r="C637" s="86"/>
      <c r="D637" s="86"/>
      <c r="E637" s="86"/>
      <c r="F637" s="308"/>
    </row>
    <row r="638" spans="2:6">
      <c r="B638" s="308"/>
      <c r="C638" s="86"/>
      <c r="D638" s="86"/>
      <c r="E638" s="86"/>
      <c r="F638" s="308"/>
    </row>
    <row r="639" spans="2:6">
      <c r="B639" s="308"/>
      <c r="C639" s="86"/>
      <c r="D639" s="86"/>
      <c r="E639" s="86"/>
      <c r="F639" s="308"/>
    </row>
    <row r="640" spans="2:6">
      <c r="B640" s="308"/>
      <c r="C640" s="86"/>
      <c r="D640" s="86"/>
      <c r="E640" s="86"/>
      <c r="F640" s="308"/>
    </row>
    <row r="641" spans="2:6">
      <c r="B641" s="308"/>
      <c r="C641" s="86"/>
      <c r="D641" s="86"/>
      <c r="E641" s="86"/>
      <c r="F641" s="308"/>
    </row>
    <row r="642" spans="2:6">
      <c r="B642" s="308"/>
      <c r="C642" s="86"/>
      <c r="D642" s="86"/>
      <c r="E642" s="86"/>
      <c r="F642" s="308"/>
    </row>
    <row r="643" spans="2:6">
      <c r="B643" s="308"/>
      <c r="C643" s="86"/>
      <c r="D643" s="86"/>
      <c r="E643" s="86"/>
      <c r="F643" s="308"/>
    </row>
    <row r="644" spans="2:6">
      <c r="B644" s="308"/>
      <c r="C644" s="86"/>
      <c r="D644" s="86"/>
      <c r="E644" s="86"/>
      <c r="F644" s="308"/>
    </row>
    <row r="645" spans="2:6">
      <c r="B645" s="308"/>
      <c r="C645" s="86"/>
      <c r="D645" s="86"/>
      <c r="E645" s="86"/>
      <c r="F645" s="308"/>
    </row>
    <row r="646" spans="2:6">
      <c r="B646" s="308"/>
      <c r="C646" s="86"/>
      <c r="D646" s="86"/>
      <c r="E646" s="86"/>
      <c r="F646" s="308"/>
    </row>
    <row r="647" spans="2:6">
      <c r="B647" s="308"/>
      <c r="C647" s="86"/>
      <c r="D647" s="86"/>
      <c r="E647" s="86"/>
      <c r="F647" s="308"/>
    </row>
    <row r="648" spans="2:6">
      <c r="B648" s="308"/>
      <c r="C648" s="86"/>
      <c r="D648" s="86"/>
      <c r="E648" s="86"/>
      <c r="F648" s="308"/>
    </row>
    <row r="649" spans="2:6">
      <c r="B649" s="308"/>
      <c r="C649" s="86"/>
      <c r="D649" s="86"/>
      <c r="E649" s="86"/>
      <c r="F649" s="308"/>
    </row>
    <row r="650" spans="2:6">
      <c r="B650" s="308"/>
      <c r="C650" s="86"/>
      <c r="D650" s="86"/>
      <c r="E650" s="86"/>
      <c r="F650" s="308"/>
    </row>
    <row r="651" spans="2:6">
      <c r="B651" s="308"/>
      <c r="C651" s="86"/>
      <c r="D651" s="86"/>
      <c r="E651" s="86"/>
      <c r="F651" s="308"/>
    </row>
    <row r="652" spans="2:6">
      <c r="B652" s="308"/>
      <c r="C652" s="86"/>
      <c r="D652" s="86"/>
      <c r="E652" s="86"/>
      <c r="F652" s="308"/>
    </row>
    <row r="653" spans="2:6">
      <c r="B653" s="308"/>
      <c r="C653" s="86"/>
      <c r="D653" s="86"/>
      <c r="E653" s="86"/>
      <c r="F653" s="308"/>
    </row>
    <row r="654" spans="2:6">
      <c r="B654" s="308"/>
      <c r="C654" s="86"/>
      <c r="D654" s="86"/>
      <c r="E654" s="86"/>
      <c r="F654" s="308"/>
    </row>
    <row r="655" spans="2:6">
      <c r="B655" s="308"/>
      <c r="C655" s="86"/>
      <c r="D655" s="86"/>
      <c r="E655" s="86"/>
      <c r="F655" s="308"/>
    </row>
    <row r="656" spans="2:6">
      <c r="B656" s="308"/>
      <c r="C656" s="86"/>
      <c r="D656" s="86"/>
      <c r="E656" s="86"/>
      <c r="F656" s="308"/>
    </row>
    <row r="657" spans="2:6">
      <c r="B657" s="308"/>
      <c r="C657" s="86"/>
      <c r="D657" s="86"/>
      <c r="E657" s="86"/>
      <c r="F657" s="308"/>
    </row>
    <row r="658" spans="2:6">
      <c r="B658" s="308"/>
      <c r="C658" s="86"/>
      <c r="D658" s="86"/>
      <c r="E658" s="86"/>
      <c r="F658" s="308"/>
    </row>
    <row r="659" spans="2:6">
      <c r="B659" s="308"/>
      <c r="C659" s="86"/>
      <c r="D659" s="86"/>
      <c r="E659" s="86"/>
      <c r="F659" s="308"/>
    </row>
    <row r="660" spans="2:6">
      <c r="B660" s="308"/>
      <c r="C660" s="86"/>
      <c r="D660" s="86"/>
      <c r="E660" s="86"/>
      <c r="F660" s="308"/>
    </row>
    <row r="661" spans="2:6">
      <c r="B661" s="308"/>
      <c r="C661" s="86"/>
      <c r="D661" s="86"/>
      <c r="E661" s="86"/>
      <c r="F661" s="308"/>
    </row>
    <row r="662" spans="2:6">
      <c r="B662" s="308"/>
      <c r="C662" s="86"/>
      <c r="D662" s="86"/>
      <c r="E662" s="86"/>
      <c r="F662" s="308"/>
    </row>
    <row r="663" spans="2:6">
      <c r="B663" s="308"/>
      <c r="C663" s="86"/>
      <c r="D663" s="86"/>
      <c r="E663" s="86"/>
      <c r="F663" s="308"/>
    </row>
    <row r="664" spans="2:6">
      <c r="B664" s="308"/>
      <c r="C664" s="86"/>
      <c r="D664" s="86"/>
      <c r="E664" s="86"/>
      <c r="F664" s="308"/>
    </row>
    <row r="665" spans="2:6">
      <c r="B665" s="308"/>
      <c r="C665" s="86"/>
      <c r="D665" s="86"/>
      <c r="E665" s="86"/>
      <c r="F665" s="308"/>
    </row>
    <row r="666" spans="2:6">
      <c r="B666" s="308"/>
      <c r="C666" s="86"/>
      <c r="D666" s="86"/>
      <c r="E666" s="86"/>
      <c r="F666" s="308"/>
    </row>
    <row r="667" spans="2:6">
      <c r="B667" s="308"/>
      <c r="C667" s="86"/>
      <c r="D667" s="86"/>
      <c r="E667" s="86"/>
      <c r="F667" s="308"/>
    </row>
    <row r="668" spans="2:6">
      <c r="B668" s="308"/>
      <c r="C668" s="86"/>
      <c r="D668" s="86"/>
      <c r="E668" s="86"/>
      <c r="F668" s="308"/>
    </row>
    <row r="669" spans="2:6">
      <c r="B669" s="308"/>
      <c r="C669" s="86"/>
      <c r="D669" s="86"/>
      <c r="E669" s="86"/>
      <c r="F669" s="308"/>
    </row>
    <row r="670" spans="2:6">
      <c r="B670" s="308"/>
      <c r="C670" s="86"/>
      <c r="D670" s="86"/>
      <c r="E670" s="86"/>
      <c r="F670" s="308"/>
    </row>
    <row r="671" spans="2:6">
      <c r="B671" s="308"/>
      <c r="C671" s="86"/>
      <c r="D671" s="86"/>
      <c r="E671" s="86"/>
      <c r="F671" s="308"/>
    </row>
    <row r="672" spans="2:6">
      <c r="B672" s="308"/>
      <c r="C672" s="86"/>
      <c r="D672" s="86"/>
      <c r="E672" s="86"/>
      <c r="F672" s="308"/>
    </row>
    <row r="673" spans="2:6">
      <c r="B673" s="308"/>
      <c r="C673" s="86"/>
      <c r="D673" s="86"/>
      <c r="E673" s="86"/>
      <c r="F673" s="308"/>
    </row>
    <row r="674" spans="2:6">
      <c r="B674" s="308"/>
      <c r="C674" s="86"/>
      <c r="D674" s="86"/>
      <c r="E674" s="86"/>
      <c r="F674" s="308"/>
    </row>
    <row r="675" spans="2:6">
      <c r="B675" s="308"/>
      <c r="C675" s="86"/>
      <c r="D675" s="86"/>
      <c r="E675" s="86"/>
      <c r="F675" s="308"/>
    </row>
    <row r="676" spans="2:6">
      <c r="B676" s="308"/>
      <c r="C676" s="86"/>
      <c r="D676" s="86"/>
      <c r="E676" s="86"/>
      <c r="F676" s="308"/>
    </row>
    <row r="677" spans="2:6">
      <c r="B677" s="308"/>
      <c r="C677" s="86"/>
      <c r="D677" s="86"/>
      <c r="E677" s="86"/>
      <c r="F677" s="308"/>
    </row>
    <row r="678" spans="2:6">
      <c r="B678" s="308"/>
      <c r="C678" s="86"/>
      <c r="D678" s="86"/>
      <c r="E678" s="86"/>
      <c r="F678" s="308"/>
    </row>
    <row r="679" spans="2:6">
      <c r="B679" s="308"/>
      <c r="C679" s="86"/>
      <c r="D679" s="86"/>
      <c r="E679" s="86"/>
      <c r="F679" s="308"/>
    </row>
    <row r="680" spans="2:6">
      <c r="B680" s="308"/>
      <c r="C680" s="86"/>
      <c r="D680" s="86"/>
      <c r="E680" s="86"/>
      <c r="F680" s="308"/>
    </row>
    <row r="681" spans="2:6">
      <c r="B681" s="308"/>
      <c r="C681" s="86"/>
      <c r="D681" s="86"/>
      <c r="E681" s="86"/>
      <c r="F681" s="308"/>
    </row>
    <row r="682" spans="2:6">
      <c r="B682" s="308"/>
      <c r="C682" s="86"/>
      <c r="D682" s="86"/>
      <c r="E682" s="86"/>
      <c r="F682" s="308"/>
    </row>
    <row r="683" spans="2:6">
      <c r="B683" s="308"/>
      <c r="C683" s="86"/>
      <c r="D683" s="86"/>
      <c r="E683" s="86"/>
      <c r="F683" s="308"/>
    </row>
    <row r="684" spans="2:6">
      <c r="B684" s="308"/>
      <c r="C684" s="86"/>
      <c r="D684" s="86"/>
      <c r="E684" s="86"/>
      <c r="F684" s="308"/>
    </row>
    <row r="685" spans="2:6">
      <c r="B685" s="308"/>
      <c r="C685" s="86"/>
      <c r="D685" s="86"/>
      <c r="E685" s="86"/>
      <c r="F685" s="308"/>
    </row>
    <row r="686" spans="2:6">
      <c r="B686" s="308"/>
      <c r="C686" s="86"/>
      <c r="D686" s="86"/>
      <c r="E686" s="86"/>
      <c r="F686" s="308"/>
    </row>
    <row r="687" spans="2:6">
      <c r="B687" s="308"/>
      <c r="C687" s="86"/>
      <c r="D687" s="86"/>
      <c r="E687" s="86"/>
      <c r="F687" s="308"/>
    </row>
    <row r="688" spans="2:6">
      <c r="B688" s="308"/>
      <c r="C688" s="86"/>
      <c r="D688" s="86"/>
      <c r="E688" s="86"/>
      <c r="F688" s="308"/>
    </row>
    <row r="689" spans="2:6">
      <c r="B689" s="308"/>
      <c r="C689" s="86"/>
      <c r="D689" s="86"/>
      <c r="E689" s="86"/>
      <c r="F689" s="308"/>
    </row>
    <row r="690" spans="2:6">
      <c r="B690" s="308"/>
      <c r="C690" s="86"/>
      <c r="D690" s="86"/>
      <c r="E690" s="86"/>
      <c r="F690" s="308"/>
    </row>
    <row r="691" spans="2:6">
      <c r="B691" s="308"/>
      <c r="C691" s="86"/>
      <c r="D691" s="86"/>
      <c r="E691" s="86"/>
      <c r="F691" s="308"/>
    </row>
    <row r="692" spans="2:6">
      <c r="B692" s="308"/>
      <c r="C692" s="86"/>
      <c r="D692" s="86"/>
      <c r="E692" s="86"/>
      <c r="F692" s="308"/>
    </row>
    <row r="693" spans="2:6">
      <c r="B693" s="308"/>
      <c r="C693" s="86"/>
      <c r="D693" s="86"/>
      <c r="E693" s="86"/>
      <c r="F693" s="308"/>
    </row>
    <row r="694" spans="2:6">
      <c r="B694" s="308"/>
      <c r="C694" s="86"/>
      <c r="D694" s="86"/>
      <c r="E694" s="86"/>
      <c r="F694" s="308"/>
    </row>
    <row r="695" spans="2:6">
      <c r="B695" s="308"/>
      <c r="C695" s="86"/>
      <c r="D695" s="86"/>
      <c r="E695" s="86"/>
      <c r="F695" s="308"/>
    </row>
    <row r="696" spans="2:6">
      <c r="B696" s="308"/>
      <c r="C696" s="86"/>
      <c r="D696" s="86"/>
      <c r="E696" s="86"/>
      <c r="F696" s="308"/>
    </row>
    <row r="697" spans="2:6">
      <c r="B697" s="308"/>
      <c r="C697" s="86"/>
      <c r="D697" s="86"/>
      <c r="E697" s="86"/>
      <c r="F697" s="308"/>
    </row>
    <row r="698" spans="2:6">
      <c r="B698" s="308"/>
      <c r="C698" s="86"/>
      <c r="D698" s="86"/>
      <c r="E698" s="86"/>
      <c r="F698" s="308"/>
    </row>
    <row r="699" spans="2:6">
      <c r="B699" s="308"/>
      <c r="C699" s="86"/>
      <c r="D699" s="86"/>
      <c r="E699" s="86"/>
      <c r="F699" s="308"/>
    </row>
    <row r="700" spans="2:6">
      <c r="B700" s="308"/>
      <c r="C700" s="86"/>
      <c r="D700" s="86"/>
      <c r="E700" s="86"/>
      <c r="F700" s="308"/>
    </row>
    <row r="701" spans="2:6">
      <c r="B701" s="308"/>
      <c r="C701" s="86"/>
      <c r="D701" s="86"/>
      <c r="E701" s="86"/>
      <c r="F701" s="308"/>
    </row>
    <row r="702" spans="2:6">
      <c r="B702" s="308"/>
      <c r="C702" s="86"/>
      <c r="D702" s="86"/>
      <c r="E702" s="86"/>
      <c r="F702" s="308"/>
    </row>
    <row r="703" spans="2:6">
      <c r="B703" s="308"/>
      <c r="C703" s="86"/>
      <c r="D703" s="86"/>
      <c r="E703" s="86"/>
      <c r="F703" s="308"/>
    </row>
    <row r="704" spans="2:6">
      <c r="B704" s="308"/>
      <c r="C704" s="86"/>
      <c r="D704" s="86"/>
      <c r="E704" s="86"/>
      <c r="F704" s="308"/>
    </row>
    <row r="705" spans="2:6">
      <c r="B705" s="308"/>
      <c r="C705" s="86"/>
      <c r="D705" s="86"/>
      <c r="E705" s="86"/>
      <c r="F705" s="308"/>
    </row>
    <row r="706" spans="2:6">
      <c r="B706" s="308"/>
      <c r="C706" s="86"/>
      <c r="D706" s="86"/>
      <c r="E706" s="86"/>
      <c r="F706" s="308"/>
    </row>
    <row r="707" spans="2:6">
      <c r="B707" s="308"/>
      <c r="C707" s="86"/>
      <c r="D707" s="86"/>
      <c r="E707" s="86"/>
      <c r="F707" s="308"/>
    </row>
    <row r="708" spans="2:6">
      <c r="B708" s="308"/>
      <c r="C708" s="86"/>
      <c r="D708" s="86"/>
      <c r="E708" s="86"/>
      <c r="F708" s="308"/>
    </row>
    <row r="709" spans="2:6">
      <c r="B709" s="308"/>
      <c r="C709" s="86"/>
      <c r="D709" s="86"/>
      <c r="E709" s="86"/>
      <c r="F709" s="308"/>
    </row>
    <row r="710" spans="2:6">
      <c r="B710" s="308"/>
      <c r="C710" s="86"/>
      <c r="D710" s="86"/>
      <c r="E710" s="86"/>
      <c r="F710" s="308"/>
    </row>
    <row r="711" spans="2:6">
      <c r="B711" s="308"/>
      <c r="C711" s="86"/>
      <c r="D711" s="86"/>
      <c r="E711" s="86"/>
      <c r="F711" s="308"/>
    </row>
    <row r="712" spans="2:6">
      <c r="B712" s="308"/>
      <c r="C712" s="86"/>
      <c r="D712" s="86"/>
      <c r="E712" s="86"/>
      <c r="F712" s="308"/>
    </row>
    <row r="713" spans="2:6">
      <c r="B713" s="308"/>
      <c r="C713" s="86"/>
      <c r="D713" s="86"/>
      <c r="E713" s="86"/>
      <c r="F713" s="308"/>
    </row>
    <row r="714" spans="2:6">
      <c r="B714" s="308"/>
      <c r="C714" s="86"/>
      <c r="D714" s="86"/>
      <c r="E714" s="86"/>
      <c r="F714" s="308"/>
    </row>
    <row r="715" spans="2:6">
      <c r="B715" s="308"/>
      <c r="C715" s="86"/>
      <c r="D715" s="86"/>
      <c r="E715" s="86"/>
      <c r="F715" s="308"/>
    </row>
    <row r="716" spans="2:6">
      <c r="B716" s="308"/>
      <c r="C716" s="86"/>
      <c r="D716" s="86"/>
      <c r="E716" s="86"/>
      <c r="F716" s="308"/>
    </row>
    <row r="717" spans="2:6">
      <c r="B717" s="308"/>
      <c r="C717" s="86"/>
      <c r="D717" s="86"/>
      <c r="E717" s="86"/>
      <c r="F717" s="308"/>
    </row>
    <row r="718" spans="2:6">
      <c r="B718" s="308"/>
      <c r="C718" s="86"/>
      <c r="D718" s="86"/>
      <c r="E718" s="86"/>
      <c r="F718" s="308"/>
    </row>
    <row r="719" spans="2:6">
      <c r="B719" s="308"/>
      <c r="C719" s="86"/>
      <c r="D719" s="86"/>
      <c r="E719" s="86"/>
      <c r="F719" s="308"/>
    </row>
    <row r="720" spans="2:6">
      <c r="B720" s="308"/>
      <c r="C720" s="86"/>
      <c r="D720" s="86"/>
      <c r="E720" s="86"/>
      <c r="F720" s="308"/>
    </row>
    <row r="721" spans="2:6">
      <c r="B721" s="308"/>
      <c r="C721" s="86"/>
      <c r="D721" s="86"/>
      <c r="E721" s="86"/>
      <c r="F721" s="308"/>
    </row>
    <row r="722" spans="2:6">
      <c r="B722" s="308"/>
      <c r="C722" s="86"/>
      <c r="D722" s="86"/>
      <c r="E722" s="86"/>
      <c r="F722" s="308"/>
    </row>
    <row r="723" spans="2:6">
      <c r="B723" s="308"/>
      <c r="C723" s="86"/>
      <c r="D723" s="86"/>
      <c r="E723" s="86"/>
      <c r="F723" s="308"/>
    </row>
    <row r="724" spans="2:6">
      <c r="B724" s="308"/>
      <c r="C724" s="86"/>
      <c r="D724" s="86"/>
      <c r="E724" s="86"/>
      <c r="F724" s="308"/>
    </row>
    <row r="725" spans="2:6">
      <c r="B725" s="308"/>
      <c r="C725" s="86"/>
      <c r="D725" s="86"/>
      <c r="E725" s="86"/>
      <c r="F725" s="308"/>
    </row>
    <row r="726" spans="2:6">
      <c r="B726" s="308"/>
      <c r="C726" s="86"/>
      <c r="D726" s="86"/>
      <c r="E726" s="86"/>
      <c r="F726" s="308"/>
    </row>
    <row r="727" spans="2:6">
      <c r="B727" s="308"/>
      <c r="C727" s="86"/>
      <c r="D727" s="86"/>
      <c r="E727" s="86"/>
      <c r="F727" s="308"/>
    </row>
    <row r="728" spans="2:6">
      <c r="B728" s="308"/>
      <c r="C728" s="86"/>
      <c r="D728" s="86"/>
      <c r="E728" s="86"/>
      <c r="F728" s="308"/>
    </row>
    <row r="729" spans="2:6">
      <c r="B729" s="308"/>
      <c r="C729" s="86"/>
      <c r="D729" s="86"/>
      <c r="E729" s="86"/>
      <c r="F729" s="308"/>
    </row>
    <row r="730" spans="2:6">
      <c r="B730" s="308"/>
      <c r="C730" s="86"/>
      <c r="D730" s="86"/>
      <c r="E730" s="86"/>
      <c r="F730" s="308"/>
    </row>
    <row r="731" spans="2:6">
      <c r="B731" s="308"/>
      <c r="C731" s="86"/>
      <c r="D731" s="86"/>
      <c r="E731" s="86"/>
      <c r="F731" s="308"/>
    </row>
    <row r="732" spans="2:6">
      <c r="B732" s="308"/>
      <c r="C732" s="86"/>
      <c r="D732" s="86"/>
      <c r="E732" s="86"/>
      <c r="F732" s="308"/>
    </row>
    <row r="733" spans="2:6">
      <c r="B733" s="308"/>
      <c r="C733" s="86"/>
      <c r="D733" s="86"/>
      <c r="E733" s="86"/>
      <c r="F733" s="308"/>
    </row>
    <row r="734" spans="2:6">
      <c r="B734" s="308"/>
      <c r="C734" s="86"/>
      <c r="D734" s="86"/>
      <c r="E734" s="86"/>
      <c r="F734" s="308"/>
    </row>
    <row r="735" spans="2:6">
      <c r="B735" s="308"/>
      <c r="C735" s="86"/>
      <c r="D735" s="86"/>
      <c r="E735" s="86"/>
      <c r="F735" s="308"/>
    </row>
    <row r="736" spans="2:6">
      <c r="B736" s="308"/>
      <c r="C736" s="86"/>
      <c r="D736" s="86"/>
      <c r="E736" s="86"/>
      <c r="F736" s="308"/>
    </row>
    <row r="737" spans="2:6">
      <c r="B737" s="308"/>
      <c r="C737" s="86"/>
      <c r="D737" s="86"/>
      <c r="E737" s="86"/>
      <c r="F737" s="308"/>
    </row>
    <row r="738" spans="2:6">
      <c r="B738" s="308"/>
      <c r="C738" s="86"/>
      <c r="D738" s="86"/>
      <c r="E738" s="86"/>
      <c r="F738" s="308"/>
    </row>
    <row r="739" spans="2:6">
      <c r="B739" s="308"/>
      <c r="C739" s="86"/>
      <c r="D739" s="86"/>
      <c r="E739" s="86"/>
      <c r="F739" s="308"/>
    </row>
    <row r="740" spans="2:6">
      <c r="B740" s="308"/>
      <c r="C740" s="86"/>
      <c r="D740" s="86"/>
      <c r="E740" s="86"/>
      <c r="F740" s="308"/>
    </row>
    <row r="741" spans="2:6">
      <c r="B741" s="308"/>
      <c r="C741" s="86"/>
      <c r="D741" s="86"/>
      <c r="E741" s="86"/>
      <c r="F741" s="308"/>
    </row>
    <row r="742" spans="2:6">
      <c r="B742" s="308"/>
      <c r="C742" s="86"/>
      <c r="D742" s="86"/>
      <c r="E742" s="86"/>
      <c r="F742" s="308"/>
    </row>
    <row r="743" spans="2:6">
      <c r="B743" s="308"/>
      <c r="C743" s="86"/>
      <c r="D743" s="86"/>
      <c r="E743" s="86"/>
      <c r="F743" s="308"/>
    </row>
    <row r="744" spans="2:6">
      <c r="B744" s="308"/>
      <c r="C744" s="86"/>
      <c r="D744" s="86"/>
      <c r="E744" s="86"/>
      <c r="F744" s="308"/>
    </row>
    <row r="745" spans="2:6">
      <c r="B745" s="308"/>
      <c r="C745" s="86"/>
      <c r="D745" s="86"/>
      <c r="E745" s="86"/>
      <c r="F745" s="308"/>
    </row>
    <row r="746" spans="2:6">
      <c r="B746" s="308"/>
      <c r="C746" s="86"/>
      <c r="D746" s="86"/>
      <c r="E746" s="86"/>
      <c r="F746" s="308"/>
    </row>
    <row r="747" spans="2:6">
      <c r="B747" s="308"/>
      <c r="C747" s="86"/>
      <c r="D747" s="86"/>
      <c r="E747" s="86"/>
      <c r="F747" s="308"/>
    </row>
    <row r="748" spans="2:6">
      <c r="B748" s="308"/>
      <c r="C748" s="86"/>
      <c r="D748" s="86"/>
      <c r="E748" s="86"/>
      <c r="F748" s="308"/>
    </row>
    <row r="749" spans="2:6">
      <c r="B749" s="308"/>
      <c r="C749" s="86"/>
      <c r="D749" s="86"/>
      <c r="E749" s="86"/>
      <c r="F749" s="308"/>
    </row>
    <row r="750" spans="2:6">
      <c r="B750" s="308"/>
      <c r="C750" s="86"/>
      <c r="D750" s="86"/>
      <c r="E750" s="86"/>
      <c r="F750" s="308"/>
    </row>
    <row r="751" spans="2:6">
      <c r="B751" s="308"/>
      <c r="C751" s="86"/>
      <c r="D751" s="86"/>
      <c r="E751" s="86"/>
      <c r="F751" s="308"/>
    </row>
    <row r="752" spans="2:6">
      <c r="B752" s="308"/>
      <c r="C752" s="86"/>
      <c r="D752" s="86"/>
      <c r="E752" s="86"/>
      <c r="F752" s="308"/>
    </row>
    <row r="753" spans="2:6">
      <c r="B753" s="308"/>
      <c r="C753" s="86"/>
      <c r="D753" s="86"/>
      <c r="E753" s="86"/>
      <c r="F753" s="308"/>
    </row>
    <row r="754" spans="2:6">
      <c r="B754" s="308"/>
      <c r="C754" s="86"/>
      <c r="D754" s="86"/>
      <c r="E754" s="86"/>
      <c r="F754" s="308"/>
    </row>
    <row r="755" spans="2:6">
      <c r="B755" s="308"/>
      <c r="C755" s="86"/>
      <c r="D755" s="86"/>
      <c r="E755" s="86"/>
      <c r="F755" s="308"/>
    </row>
    <row r="756" spans="2:6">
      <c r="B756" s="308"/>
      <c r="C756" s="86"/>
      <c r="D756" s="86"/>
      <c r="E756" s="86"/>
      <c r="F756" s="308"/>
    </row>
    <row r="757" spans="2:6">
      <c r="B757" s="308"/>
      <c r="C757" s="86"/>
      <c r="D757" s="86"/>
      <c r="E757" s="86"/>
      <c r="F757" s="308"/>
    </row>
    <row r="758" spans="2:6">
      <c r="B758" s="308"/>
      <c r="C758" s="86"/>
      <c r="D758" s="86"/>
      <c r="E758" s="86"/>
      <c r="F758" s="308"/>
    </row>
    <row r="759" spans="2:6">
      <c r="B759" s="308"/>
      <c r="C759" s="86"/>
      <c r="D759" s="86"/>
      <c r="E759" s="86"/>
      <c r="F759" s="308"/>
    </row>
    <row r="760" spans="2:6">
      <c r="B760" s="308"/>
      <c r="C760" s="86"/>
      <c r="D760" s="86"/>
      <c r="E760" s="86"/>
      <c r="F760" s="308"/>
    </row>
    <row r="761" spans="2:6">
      <c r="B761" s="308"/>
      <c r="C761" s="86"/>
      <c r="D761" s="86"/>
      <c r="E761" s="86"/>
      <c r="F761" s="308"/>
    </row>
    <row r="762" spans="2:6">
      <c r="B762" s="308"/>
      <c r="C762" s="86"/>
      <c r="D762" s="86"/>
      <c r="E762" s="86"/>
      <c r="F762" s="308"/>
    </row>
    <row r="763" spans="2:6">
      <c r="B763" s="308"/>
      <c r="C763" s="86"/>
      <c r="D763" s="86"/>
      <c r="E763" s="86"/>
      <c r="F763" s="308"/>
    </row>
    <row r="764" spans="2:6">
      <c r="B764" s="308"/>
      <c r="C764" s="86"/>
      <c r="D764" s="86"/>
      <c r="E764" s="86"/>
      <c r="F764" s="308"/>
    </row>
    <row r="765" spans="2:6">
      <c r="B765" s="308"/>
      <c r="C765" s="86"/>
      <c r="D765" s="86"/>
      <c r="E765" s="86"/>
      <c r="F765" s="308"/>
    </row>
    <row r="766" spans="2:6">
      <c r="B766" s="308"/>
      <c r="C766" s="86"/>
      <c r="D766" s="86"/>
      <c r="E766" s="86"/>
      <c r="F766" s="308"/>
    </row>
    <row r="767" spans="2:6">
      <c r="B767" s="308"/>
      <c r="C767" s="86"/>
      <c r="D767" s="86"/>
      <c r="E767" s="86"/>
      <c r="F767" s="308"/>
    </row>
    <row r="768" spans="2:6">
      <c r="B768" s="308"/>
      <c r="C768" s="86"/>
      <c r="D768" s="86"/>
      <c r="E768" s="86"/>
      <c r="F768" s="308"/>
    </row>
    <row r="769" spans="2:6">
      <c r="B769" s="308"/>
      <c r="C769" s="86"/>
      <c r="D769" s="86"/>
      <c r="E769" s="86"/>
      <c r="F769" s="308"/>
    </row>
    <row r="770" spans="2:6">
      <c r="B770" s="308"/>
      <c r="C770" s="86"/>
      <c r="D770" s="86"/>
      <c r="E770" s="86"/>
      <c r="F770" s="308"/>
    </row>
    <row r="771" spans="2:6">
      <c r="B771" s="308"/>
      <c r="C771" s="86"/>
      <c r="D771" s="86"/>
      <c r="E771" s="86"/>
      <c r="F771" s="308"/>
    </row>
    <row r="772" spans="2:6">
      <c r="B772" s="308"/>
      <c r="C772" s="86"/>
      <c r="D772" s="86"/>
      <c r="E772" s="86"/>
      <c r="F772" s="308"/>
    </row>
    <row r="773" spans="2:6">
      <c r="B773" s="308"/>
      <c r="C773" s="86"/>
      <c r="D773" s="86"/>
      <c r="E773" s="86"/>
      <c r="F773" s="308"/>
    </row>
    <row r="774" spans="2:6">
      <c r="B774" s="308"/>
      <c r="C774" s="86"/>
      <c r="D774" s="86"/>
      <c r="E774" s="86"/>
      <c r="F774" s="308"/>
    </row>
    <row r="775" spans="2:6">
      <c r="B775" s="308"/>
      <c r="C775" s="86"/>
      <c r="D775" s="86"/>
      <c r="E775" s="86"/>
      <c r="F775" s="308"/>
    </row>
    <row r="776" spans="2:6">
      <c r="B776" s="308"/>
      <c r="C776" s="86"/>
      <c r="D776" s="86"/>
      <c r="E776" s="86"/>
      <c r="F776" s="308"/>
    </row>
    <row r="777" spans="2:6">
      <c r="B777" s="308"/>
      <c r="C777" s="86"/>
      <c r="D777" s="86"/>
      <c r="E777" s="86"/>
      <c r="F777" s="308"/>
    </row>
    <row r="778" spans="2:6">
      <c r="B778" s="308"/>
      <c r="C778" s="86"/>
      <c r="D778" s="86"/>
      <c r="E778" s="86"/>
      <c r="F778" s="308"/>
    </row>
    <row r="779" spans="2:6">
      <c r="B779" s="308"/>
      <c r="C779" s="86"/>
      <c r="D779" s="86"/>
      <c r="E779" s="86"/>
      <c r="F779" s="308"/>
    </row>
    <row r="780" spans="2:6">
      <c r="B780" s="308"/>
      <c r="C780" s="86"/>
      <c r="D780" s="86"/>
      <c r="E780" s="86"/>
      <c r="F780" s="308"/>
    </row>
    <row r="781" spans="2:6">
      <c r="B781" s="308"/>
      <c r="C781" s="86"/>
      <c r="D781" s="86"/>
      <c r="E781" s="86"/>
      <c r="F781" s="308"/>
    </row>
    <row r="782" spans="2:6">
      <c r="B782" s="308"/>
      <c r="C782" s="86"/>
      <c r="D782" s="86"/>
      <c r="E782" s="86"/>
      <c r="F782" s="308"/>
    </row>
    <row r="783" spans="2:6">
      <c r="B783" s="308"/>
      <c r="C783" s="86"/>
      <c r="D783" s="86"/>
      <c r="E783" s="86"/>
      <c r="F783" s="308"/>
    </row>
    <row r="784" spans="2:6">
      <c r="B784" s="308"/>
      <c r="C784" s="86"/>
      <c r="D784" s="86"/>
      <c r="E784" s="86"/>
      <c r="F784" s="308"/>
    </row>
    <row r="785" spans="2:6">
      <c r="B785" s="308"/>
      <c r="C785" s="86"/>
      <c r="D785" s="86"/>
      <c r="E785" s="86"/>
      <c r="F785" s="308"/>
    </row>
    <row r="786" spans="2:6">
      <c r="B786" s="308"/>
      <c r="C786" s="86"/>
      <c r="D786" s="86"/>
      <c r="E786" s="86"/>
      <c r="F786" s="308"/>
    </row>
    <row r="787" spans="2:6">
      <c r="B787" s="308"/>
      <c r="C787" s="86"/>
      <c r="D787" s="86"/>
      <c r="E787" s="86"/>
      <c r="F787" s="308"/>
    </row>
    <row r="788" spans="2:6">
      <c r="B788" s="308"/>
      <c r="C788" s="86"/>
      <c r="D788" s="86"/>
      <c r="E788" s="86"/>
      <c r="F788" s="308"/>
    </row>
    <row r="789" spans="2:6">
      <c r="B789" s="308"/>
      <c r="C789" s="86"/>
      <c r="D789" s="86"/>
      <c r="E789" s="86"/>
      <c r="F789" s="308"/>
    </row>
    <row r="790" spans="2:6">
      <c r="B790" s="308"/>
      <c r="C790" s="86"/>
      <c r="D790" s="86"/>
      <c r="E790" s="86"/>
      <c r="F790" s="308"/>
    </row>
    <row r="791" spans="2:6">
      <c r="B791" s="308"/>
      <c r="C791" s="86"/>
      <c r="D791" s="86"/>
      <c r="E791" s="86"/>
      <c r="F791" s="308"/>
    </row>
    <row r="792" spans="2:6">
      <c r="B792" s="308"/>
      <c r="C792" s="86"/>
      <c r="D792" s="86"/>
      <c r="E792" s="86"/>
      <c r="F792" s="308"/>
    </row>
    <row r="793" spans="2:6">
      <c r="B793" s="308"/>
      <c r="C793" s="86"/>
      <c r="D793" s="86"/>
      <c r="E793" s="86"/>
      <c r="F793" s="308"/>
    </row>
    <row r="794" spans="2:6">
      <c r="B794" s="308"/>
      <c r="C794" s="86"/>
      <c r="D794" s="86"/>
      <c r="E794" s="86"/>
      <c r="F794" s="308"/>
    </row>
    <row r="795" spans="2:6">
      <c r="B795" s="308"/>
      <c r="C795" s="86"/>
      <c r="D795" s="86"/>
      <c r="E795" s="86"/>
      <c r="F795" s="308"/>
    </row>
    <row r="796" spans="2:6">
      <c r="B796" s="308"/>
      <c r="C796" s="86"/>
      <c r="D796" s="86"/>
      <c r="E796" s="86"/>
      <c r="F796" s="308"/>
    </row>
    <row r="797" spans="2:6">
      <c r="B797" s="308"/>
      <c r="C797" s="86"/>
      <c r="D797" s="86"/>
      <c r="E797" s="86"/>
      <c r="F797" s="308"/>
    </row>
    <row r="798" spans="2:6">
      <c r="B798" s="308"/>
      <c r="C798" s="86"/>
      <c r="D798" s="86"/>
      <c r="E798" s="86"/>
      <c r="F798" s="308"/>
    </row>
    <row r="799" spans="2:6">
      <c r="B799" s="308"/>
      <c r="C799" s="86"/>
      <c r="D799" s="86"/>
      <c r="E799" s="86"/>
      <c r="F799" s="308"/>
    </row>
    <row r="800" spans="2:6">
      <c r="B800" s="308"/>
      <c r="C800" s="86"/>
      <c r="D800" s="86"/>
      <c r="E800" s="86"/>
      <c r="F800" s="308"/>
    </row>
    <row r="801" spans="2:6">
      <c r="B801" s="308"/>
      <c r="C801" s="86"/>
      <c r="D801" s="86"/>
      <c r="E801" s="86"/>
      <c r="F801" s="308"/>
    </row>
    <row r="802" spans="2:6">
      <c r="B802" s="308"/>
      <c r="C802" s="86"/>
      <c r="D802" s="86"/>
      <c r="E802" s="86"/>
      <c r="F802" s="308"/>
    </row>
    <row r="803" spans="2:6">
      <c r="B803" s="308"/>
      <c r="C803" s="86"/>
      <c r="D803" s="86"/>
      <c r="E803" s="86"/>
      <c r="F803" s="308"/>
    </row>
    <row r="804" spans="2:6">
      <c r="B804" s="308"/>
      <c r="C804" s="86"/>
      <c r="D804" s="86"/>
      <c r="E804" s="86"/>
      <c r="F804" s="308"/>
    </row>
    <row r="805" spans="2:6">
      <c r="B805" s="308"/>
      <c r="C805" s="86"/>
      <c r="D805" s="86"/>
      <c r="E805" s="86"/>
      <c r="F805" s="308"/>
    </row>
    <row r="806" spans="2:6">
      <c r="B806" s="308"/>
      <c r="C806" s="86"/>
      <c r="D806" s="86"/>
      <c r="E806" s="86"/>
      <c r="F806" s="308"/>
    </row>
    <row r="807" spans="2:6">
      <c r="B807" s="308"/>
      <c r="C807" s="86"/>
      <c r="D807" s="86"/>
      <c r="E807" s="86"/>
      <c r="F807" s="308"/>
    </row>
    <row r="808" spans="2:6">
      <c r="B808" s="308"/>
      <c r="C808" s="86"/>
      <c r="D808" s="86"/>
      <c r="E808" s="86"/>
      <c r="F808" s="308"/>
    </row>
    <row r="809" spans="2:6">
      <c r="B809" s="308"/>
      <c r="C809" s="86"/>
      <c r="D809" s="86"/>
      <c r="E809" s="86"/>
      <c r="F809" s="308"/>
    </row>
    <row r="810" spans="2:6">
      <c r="B810" s="308"/>
      <c r="C810" s="86"/>
      <c r="D810" s="86"/>
      <c r="E810" s="86"/>
      <c r="F810" s="308"/>
    </row>
    <row r="811" spans="2:6">
      <c r="B811" s="308"/>
      <c r="C811" s="86"/>
      <c r="D811" s="86"/>
      <c r="E811" s="86"/>
      <c r="F811" s="308"/>
    </row>
    <row r="812" spans="2:6">
      <c r="B812" s="308"/>
      <c r="C812" s="86"/>
      <c r="D812" s="86"/>
      <c r="E812" s="86"/>
      <c r="F812" s="308"/>
    </row>
    <row r="813" spans="2:6">
      <c r="B813" s="308"/>
      <c r="C813" s="86"/>
      <c r="D813" s="86"/>
      <c r="E813" s="86"/>
      <c r="F813" s="308"/>
    </row>
    <row r="814" spans="2:6">
      <c r="B814" s="308"/>
      <c r="C814" s="86"/>
      <c r="D814" s="86"/>
      <c r="E814" s="86"/>
      <c r="F814" s="308"/>
    </row>
    <row r="815" spans="2:6">
      <c r="B815" s="308"/>
      <c r="C815" s="86"/>
      <c r="D815" s="86"/>
      <c r="E815" s="86"/>
      <c r="F815" s="308"/>
    </row>
    <row r="816" spans="2:6">
      <c r="B816" s="308"/>
      <c r="C816" s="86"/>
      <c r="D816" s="86"/>
      <c r="E816" s="86"/>
      <c r="F816" s="308"/>
    </row>
    <row r="817" spans="2:6">
      <c r="B817" s="308"/>
      <c r="C817" s="86"/>
      <c r="D817" s="86"/>
      <c r="E817" s="86"/>
      <c r="F817" s="308"/>
    </row>
    <row r="818" spans="2:6">
      <c r="B818" s="308"/>
      <c r="C818" s="86"/>
      <c r="D818" s="86"/>
      <c r="E818" s="86"/>
      <c r="F818" s="308"/>
    </row>
    <row r="819" spans="2:6">
      <c r="B819" s="308"/>
      <c r="C819" s="86"/>
      <c r="D819" s="86"/>
      <c r="E819" s="86"/>
      <c r="F819" s="308"/>
    </row>
    <row r="820" spans="2:6">
      <c r="B820" s="308"/>
      <c r="C820" s="86"/>
      <c r="D820" s="86"/>
      <c r="E820" s="86"/>
      <c r="F820" s="308"/>
    </row>
    <row r="821" spans="2:6">
      <c r="B821" s="308"/>
      <c r="C821" s="86"/>
      <c r="D821" s="86"/>
      <c r="E821" s="86"/>
      <c r="F821" s="308"/>
    </row>
    <row r="822" spans="2:6">
      <c r="B822" s="308"/>
      <c r="C822" s="86"/>
      <c r="D822" s="86"/>
      <c r="E822" s="86"/>
      <c r="F822" s="308"/>
    </row>
    <row r="823" spans="2:6">
      <c r="B823" s="308"/>
      <c r="C823" s="86"/>
      <c r="D823" s="86"/>
      <c r="E823" s="86"/>
      <c r="F823" s="308"/>
    </row>
    <row r="824" spans="2:6">
      <c r="B824" s="308"/>
      <c r="C824" s="86"/>
      <c r="D824" s="86"/>
      <c r="E824" s="86"/>
      <c r="F824" s="308"/>
    </row>
    <row r="825" spans="2:6">
      <c r="B825" s="308"/>
      <c r="C825" s="86"/>
      <c r="D825" s="86"/>
      <c r="E825" s="86"/>
      <c r="F825" s="308"/>
    </row>
    <row r="826" spans="2:6">
      <c r="B826" s="308"/>
      <c r="C826" s="86"/>
      <c r="D826" s="86"/>
      <c r="E826" s="86"/>
      <c r="F826" s="308"/>
    </row>
    <row r="827" spans="2:6">
      <c r="B827" s="308"/>
      <c r="C827" s="86"/>
      <c r="D827" s="86"/>
      <c r="E827" s="86"/>
      <c r="F827" s="308"/>
    </row>
    <row r="828" spans="2:6">
      <c r="B828" s="308"/>
      <c r="C828" s="86"/>
      <c r="D828" s="86"/>
      <c r="E828" s="86"/>
      <c r="F828" s="308"/>
    </row>
    <row r="829" spans="2:6">
      <c r="B829" s="308"/>
      <c r="C829" s="86"/>
      <c r="D829" s="86"/>
      <c r="E829" s="86"/>
      <c r="F829" s="308"/>
    </row>
    <row r="830" spans="2:6">
      <c r="B830" s="308"/>
      <c r="C830" s="86"/>
      <c r="D830" s="86"/>
      <c r="E830" s="86"/>
      <c r="F830" s="308"/>
    </row>
    <row r="831" spans="2:6">
      <c r="B831" s="308"/>
      <c r="C831" s="86"/>
      <c r="D831" s="86"/>
      <c r="E831" s="86"/>
      <c r="F831" s="308"/>
    </row>
    <row r="832" spans="2:6">
      <c r="B832" s="308"/>
      <c r="C832" s="86"/>
      <c r="D832" s="86"/>
      <c r="E832" s="86"/>
      <c r="F832" s="308"/>
    </row>
    <row r="833" spans="2:6">
      <c r="B833" s="308"/>
      <c r="C833" s="86"/>
      <c r="D833" s="86"/>
      <c r="E833" s="86"/>
      <c r="F833" s="308"/>
    </row>
    <row r="834" spans="2:6">
      <c r="B834" s="308"/>
      <c r="C834" s="86"/>
      <c r="D834" s="86"/>
      <c r="E834" s="86"/>
      <c r="F834" s="308"/>
    </row>
    <row r="835" spans="2:6">
      <c r="B835" s="308"/>
      <c r="C835" s="86"/>
      <c r="D835" s="86"/>
      <c r="E835" s="86"/>
      <c r="F835" s="308"/>
    </row>
    <row r="836" spans="2:6">
      <c r="B836" s="308"/>
      <c r="C836" s="86"/>
      <c r="D836" s="86"/>
      <c r="E836" s="86"/>
      <c r="F836" s="308"/>
    </row>
    <row r="837" spans="2:6">
      <c r="B837" s="308"/>
      <c r="C837" s="86"/>
      <c r="D837" s="86"/>
      <c r="E837" s="86"/>
      <c r="F837" s="308"/>
    </row>
    <row r="838" spans="2:6">
      <c r="B838" s="308"/>
      <c r="C838" s="86"/>
      <c r="D838" s="86"/>
      <c r="E838" s="86"/>
      <c r="F838" s="308"/>
    </row>
    <row r="839" spans="2:6">
      <c r="B839" s="308"/>
      <c r="C839" s="86"/>
      <c r="D839" s="86"/>
      <c r="E839" s="86"/>
      <c r="F839" s="308"/>
    </row>
    <row r="840" spans="2:6">
      <c r="B840" s="308"/>
      <c r="C840" s="86"/>
      <c r="D840" s="86"/>
      <c r="E840" s="86"/>
      <c r="F840" s="308"/>
    </row>
    <row r="841" spans="2:6">
      <c r="B841" s="308"/>
      <c r="C841" s="86"/>
      <c r="D841" s="86"/>
      <c r="E841" s="86"/>
      <c r="F841" s="308"/>
    </row>
    <row r="842" spans="2:6">
      <c r="B842" s="308"/>
      <c r="C842" s="86"/>
      <c r="D842" s="86"/>
      <c r="E842" s="86"/>
      <c r="F842" s="308"/>
    </row>
    <row r="843" spans="2:6">
      <c r="B843" s="308"/>
      <c r="C843" s="86"/>
      <c r="D843" s="86"/>
      <c r="E843" s="86"/>
      <c r="F843" s="308"/>
    </row>
    <row r="844" spans="2:6">
      <c r="B844" s="308"/>
      <c r="C844" s="86"/>
      <c r="D844" s="86"/>
      <c r="E844" s="86"/>
      <c r="F844" s="308"/>
    </row>
    <row r="845" spans="2:6">
      <c r="B845" s="308"/>
      <c r="C845" s="86"/>
      <c r="D845" s="86"/>
      <c r="E845" s="86"/>
      <c r="F845" s="308"/>
    </row>
    <row r="846" spans="2:6">
      <c r="B846" s="308"/>
      <c r="C846" s="86"/>
      <c r="D846" s="86"/>
      <c r="E846" s="86"/>
      <c r="F846" s="308"/>
    </row>
    <row r="847" spans="2:6">
      <c r="B847" s="308"/>
      <c r="C847" s="86"/>
      <c r="D847" s="86"/>
      <c r="E847" s="86"/>
      <c r="F847" s="308"/>
    </row>
    <row r="848" spans="2:6">
      <c r="B848" s="308"/>
      <c r="C848" s="86"/>
      <c r="D848" s="86"/>
      <c r="E848" s="86"/>
      <c r="F848" s="308"/>
    </row>
    <row r="849" spans="2:6">
      <c r="B849" s="308"/>
      <c r="C849" s="86"/>
      <c r="D849" s="86"/>
      <c r="E849" s="86"/>
      <c r="F849" s="308"/>
    </row>
    <row r="850" spans="2:6">
      <c r="B850" s="308"/>
      <c r="C850" s="86"/>
      <c r="D850" s="86"/>
      <c r="E850" s="86"/>
      <c r="F850" s="308"/>
    </row>
    <row r="851" spans="2:6">
      <c r="B851" s="308"/>
      <c r="C851" s="86"/>
      <c r="D851" s="86"/>
      <c r="E851" s="86"/>
      <c r="F851" s="308"/>
    </row>
    <row r="852" spans="2:6">
      <c r="B852" s="308"/>
      <c r="C852" s="86"/>
      <c r="D852" s="86"/>
      <c r="E852" s="86"/>
      <c r="F852" s="308"/>
    </row>
    <row r="853" spans="2:6">
      <c r="B853" s="308"/>
      <c r="C853" s="86"/>
      <c r="D853" s="86"/>
      <c r="E853" s="86"/>
      <c r="F853" s="308"/>
    </row>
    <row r="854" spans="2:6">
      <c r="B854" s="308"/>
      <c r="C854" s="86"/>
      <c r="D854" s="86"/>
      <c r="E854" s="86"/>
      <c r="F854" s="308"/>
    </row>
    <row r="855" spans="2:6">
      <c r="B855" s="308"/>
      <c r="C855" s="86"/>
      <c r="D855" s="86"/>
      <c r="E855" s="86"/>
      <c r="F855" s="308"/>
    </row>
    <row r="856" spans="2:6">
      <c r="B856" s="308"/>
      <c r="C856" s="86"/>
      <c r="D856" s="86"/>
      <c r="E856" s="86"/>
      <c r="F856" s="308"/>
    </row>
    <row r="857" spans="2:6">
      <c r="B857" s="308"/>
      <c r="C857" s="86"/>
      <c r="D857" s="86"/>
      <c r="E857" s="86"/>
      <c r="F857" s="308"/>
    </row>
    <row r="858" spans="2:6">
      <c r="B858" s="308"/>
      <c r="C858" s="86"/>
      <c r="D858" s="86"/>
      <c r="E858" s="86"/>
      <c r="F858" s="308"/>
    </row>
    <row r="859" spans="2:6">
      <c r="B859" s="308"/>
      <c r="C859" s="86"/>
      <c r="D859" s="86"/>
      <c r="E859" s="86"/>
      <c r="F859" s="308"/>
    </row>
    <row r="860" spans="2:6">
      <c r="B860" s="308"/>
      <c r="C860" s="86"/>
      <c r="D860" s="86"/>
      <c r="E860" s="86"/>
      <c r="F860" s="308"/>
    </row>
    <row r="861" spans="2:6">
      <c r="B861" s="308"/>
      <c r="C861" s="86"/>
      <c r="D861" s="86"/>
      <c r="E861" s="86"/>
      <c r="F861" s="308"/>
    </row>
    <row r="862" spans="2:6">
      <c r="B862" s="308"/>
      <c r="C862" s="86"/>
      <c r="D862" s="86"/>
      <c r="E862" s="86"/>
      <c r="F862" s="308"/>
    </row>
    <row r="863" spans="2:6">
      <c r="B863" s="308"/>
      <c r="C863" s="86"/>
      <c r="D863" s="86"/>
      <c r="E863" s="86"/>
      <c r="F863" s="308"/>
    </row>
    <row r="864" spans="2:6">
      <c r="B864" s="308"/>
      <c r="C864" s="86"/>
      <c r="D864" s="86"/>
      <c r="E864" s="86"/>
      <c r="F864" s="308"/>
    </row>
    <row r="865" spans="2:6">
      <c r="B865" s="308"/>
      <c r="C865" s="86"/>
      <c r="D865" s="86"/>
      <c r="E865" s="86"/>
      <c r="F865" s="308"/>
    </row>
    <row r="866" spans="2:6">
      <c r="B866" s="308"/>
      <c r="C866" s="86"/>
      <c r="D866" s="86"/>
      <c r="E866" s="86"/>
      <c r="F866" s="308"/>
    </row>
    <row r="867" spans="2:6">
      <c r="B867" s="308"/>
      <c r="C867" s="86"/>
      <c r="D867" s="86"/>
      <c r="E867" s="86"/>
      <c r="F867" s="308"/>
    </row>
    <row r="868" spans="2:6">
      <c r="B868" s="308"/>
      <c r="C868" s="86"/>
      <c r="D868" s="86"/>
      <c r="E868" s="86"/>
      <c r="F868" s="308"/>
    </row>
    <row r="869" spans="2:6">
      <c r="B869" s="308"/>
      <c r="C869" s="86"/>
      <c r="D869" s="86"/>
      <c r="E869" s="86"/>
      <c r="F869" s="308"/>
    </row>
    <row r="870" spans="2:6">
      <c r="B870" s="308"/>
      <c r="C870" s="86"/>
      <c r="D870" s="86"/>
      <c r="E870" s="86"/>
      <c r="F870" s="308"/>
    </row>
    <row r="871" spans="2:6">
      <c r="B871" s="308"/>
      <c r="C871" s="86"/>
      <c r="D871" s="86"/>
      <c r="E871" s="86"/>
      <c r="F871" s="308"/>
    </row>
    <row r="872" spans="2:6">
      <c r="B872" s="308"/>
      <c r="C872" s="86"/>
      <c r="D872" s="86"/>
      <c r="E872" s="86"/>
      <c r="F872" s="308"/>
    </row>
    <row r="873" spans="2:6">
      <c r="B873" s="308"/>
      <c r="C873" s="86"/>
      <c r="D873" s="86"/>
      <c r="E873" s="86"/>
      <c r="F873" s="308"/>
    </row>
    <row r="874" spans="2:6">
      <c r="B874" s="308"/>
      <c r="C874" s="86"/>
      <c r="D874" s="86"/>
      <c r="E874" s="86"/>
      <c r="F874" s="308"/>
    </row>
    <row r="875" spans="2:6">
      <c r="B875" s="308"/>
      <c r="C875" s="86"/>
      <c r="D875" s="86"/>
      <c r="E875" s="86"/>
      <c r="F875" s="308"/>
    </row>
    <row r="876" spans="2:6">
      <c r="B876" s="308"/>
      <c r="C876" s="86"/>
      <c r="D876" s="86"/>
      <c r="E876" s="86"/>
      <c r="F876" s="308"/>
    </row>
    <row r="877" spans="2:6">
      <c r="B877" s="308"/>
      <c r="C877" s="86"/>
      <c r="D877" s="86"/>
      <c r="E877" s="86"/>
      <c r="F877" s="308"/>
    </row>
    <row r="878" spans="2:6">
      <c r="B878" s="308"/>
      <c r="C878" s="86"/>
      <c r="D878" s="86"/>
      <c r="E878" s="86"/>
      <c r="F878" s="308"/>
    </row>
    <row r="879" spans="2:6">
      <c r="B879" s="308"/>
      <c r="C879" s="86"/>
      <c r="D879" s="86"/>
      <c r="E879" s="86"/>
      <c r="F879" s="308"/>
    </row>
    <row r="880" spans="2:6">
      <c r="B880" s="308"/>
      <c r="C880" s="86"/>
      <c r="D880" s="86"/>
      <c r="E880" s="86"/>
      <c r="F880" s="308"/>
    </row>
    <row r="881" spans="2:6">
      <c r="B881" s="308"/>
      <c r="C881" s="86"/>
      <c r="D881" s="86"/>
      <c r="E881" s="86"/>
      <c r="F881" s="308"/>
    </row>
    <row r="882" spans="2:6">
      <c r="B882" s="308"/>
      <c r="C882" s="86"/>
      <c r="D882" s="86"/>
      <c r="E882" s="86"/>
      <c r="F882" s="308"/>
    </row>
    <row r="883" spans="2:6">
      <c r="B883" s="308"/>
      <c r="C883" s="86"/>
      <c r="D883" s="86"/>
      <c r="E883" s="86"/>
      <c r="F883" s="308"/>
    </row>
    <row r="884" spans="2:6">
      <c r="B884" s="308"/>
      <c r="C884" s="86"/>
      <c r="D884" s="86"/>
      <c r="E884" s="86"/>
      <c r="F884" s="308"/>
    </row>
    <row r="885" spans="2:6">
      <c r="B885" s="308"/>
      <c r="C885" s="86"/>
      <c r="D885" s="86"/>
      <c r="E885" s="86"/>
      <c r="F885" s="308"/>
    </row>
    <row r="886" spans="2:6">
      <c r="B886" s="308"/>
      <c r="C886" s="86"/>
      <c r="D886" s="86"/>
      <c r="E886" s="86"/>
      <c r="F886" s="308"/>
    </row>
    <row r="887" spans="2:6">
      <c r="B887" s="308"/>
      <c r="C887" s="86"/>
      <c r="D887" s="86"/>
      <c r="E887" s="86"/>
      <c r="F887" s="308"/>
    </row>
    <row r="888" spans="2:6">
      <c r="B888" s="308"/>
      <c r="C888" s="86"/>
      <c r="D888" s="86"/>
      <c r="E888" s="86"/>
      <c r="F888" s="308"/>
    </row>
    <row r="889" spans="2:6">
      <c r="B889" s="308"/>
      <c r="C889" s="86"/>
      <c r="D889" s="86"/>
      <c r="E889" s="86"/>
      <c r="F889" s="308"/>
    </row>
    <row r="890" spans="2:6">
      <c r="B890" s="308"/>
      <c r="C890" s="86"/>
      <c r="D890" s="86"/>
      <c r="E890" s="86"/>
      <c r="F890" s="308"/>
    </row>
    <row r="891" spans="2:6">
      <c r="B891" s="308"/>
      <c r="C891" s="86"/>
      <c r="D891" s="86"/>
      <c r="E891" s="86"/>
      <c r="F891" s="308"/>
    </row>
    <row r="892" spans="2:6">
      <c r="B892" s="308"/>
      <c r="C892" s="86"/>
      <c r="D892" s="86"/>
      <c r="E892" s="86"/>
      <c r="F892" s="308"/>
    </row>
    <row r="893" spans="2:6">
      <c r="B893" s="308"/>
      <c r="C893" s="86"/>
      <c r="D893" s="86"/>
      <c r="E893" s="86"/>
      <c r="F893" s="308"/>
    </row>
    <row r="894" spans="2:6">
      <c r="B894" s="308"/>
      <c r="C894" s="86"/>
      <c r="D894" s="86"/>
      <c r="E894" s="86"/>
      <c r="F894" s="308"/>
    </row>
    <row r="895" spans="2:6">
      <c r="B895" s="308"/>
      <c r="C895" s="86"/>
      <c r="D895" s="86"/>
      <c r="E895" s="86"/>
      <c r="F895" s="308"/>
    </row>
    <row r="896" spans="2:6">
      <c r="B896" s="308"/>
      <c r="C896" s="86"/>
      <c r="D896" s="86"/>
      <c r="E896" s="86"/>
      <c r="F896" s="308"/>
    </row>
    <row r="897" spans="2:6">
      <c r="B897" s="308"/>
      <c r="C897" s="86"/>
      <c r="D897" s="86"/>
      <c r="E897" s="86"/>
      <c r="F897" s="308"/>
    </row>
    <row r="898" spans="2:6">
      <c r="B898" s="308"/>
      <c r="C898" s="86"/>
      <c r="D898" s="86"/>
      <c r="E898" s="86"/>
      <c r="F898" s="308"/>
    </row>
    <row r="899" spans="2:6">
      <c r="B899" s="308"/>
      <c r="C899" s="86"/>
      <c r="D899" s="86"/>
      <c r="E899" s="86"/>
      <c r="F899" s="308"/>
    </row>
    <row r="900" spans="2:6">
      <c r="B900" s="308"/>
      <c r="C900" s="86"/>
      <c r="D900" s="86"/>
      <c r="E900" s="86"/>
      <c r="F900" s="308"/>
    </row>
    <row r="901" spans="2:6">
      <c r="B901" s="308"/>
      <c r="C901" s="86"/>
      <c r="D901" s="86"/>
      <c r="E901" s="86"/>
      <c r="F901" s="308"/>
    </row>
    <row r="902" spans="2:6">
      <c r="B902" s="308"/>
      <c r="C902" s="86"/>
      <c r="D902" s="86"/>
      <c r="E902" s="86"/>
      <c r="F902" s="308"/>
    </row>
    <row r="903" spans="2:6">
      <c r="B903" s="308"/>
      <c r="C903" s="86"/>
      <c r="D903" s="86"/>
      <c r="E903" s="86"/>
      <c r="F903" s="308"/>
    </row>
    <row r="904" spans="2:6">
      <c r="B904" s="308"/>
      <c r="C904" s="86"/>
      <c r="D904" s="86"/>
      <c r="E904" s="86"/>
      <c r="F904" s="308"/>
    </row>
    <row r="905" spans="2:6">
      <c r="B905" s="308"/>
      <c r="C905" s="86"/>
      <c r="D905" s="86"/>
      <c r="E905" s="86"/>
      <c r="F905" s="308"/>
    </row>
    <row r="906" spans="2:6">
      <c r="B906" s="308"/>
      <c r="C906" s="86"/>
      <c r="D906" s="86"/>
      <c r="E906" s="86"/>
      <c r="F906" s="308"/>
    </row>
    <row r="907" spans="2:6">
      <c r="B907" s="308"/>
      <c r="C907" s="86"/>
      <c r="D907" s="86"/>
      <c r="E907" s="86"/>
      <c r="F907" s="308"/>
    </row>
    <row r="908" spans="2:6">
      <c r="B908" s="308"/>
      <c r="C908" s="86"/>
      <c r="D908" s="86"/>
      <c r="E908" s="86"/>
      <c r="F908" s="308"/>
    </row>
    <row r="909" spans="2:6">
      <c r="B909" s="308"/>
      <c r="C909" s="86"/>
      <c r="D909" s="86"/>
      <c r="E909" s="86"/>
      <c r="F909" s="308"/>
    </row>
    <row r="910" spans="2:6">
      <c r="B910" s="308"/>
      <c r="C910" s="86"/>
      <c r="D910" s="86"/>
      <c r="E910" s="86"/>
      <c r="F910" s="308"/>
    </row>
    <row r="911" spans="2:6">
      <c r="B911" s="308"/>
      <c r="C911" s="86"/>
      <c r="D911" s="86"/>
      <c r="E911" s="86"/>
      <c r="F911" s="308"/>
    </row>
    <row r="912" spans="2:6">
      <c r="B912" s="308"/>
      <c r="C912" s="86"/>
      <c r="D912" s="86"/>
      <c r="E912" s="86"/>
      <c r="F912" s="308"/>
    </row>
    <row r="913" spans="2:6">
      <c r="B913" s="308"/>
      <c r="C913" s="86"/>
      <c r="D913" s="86"/>
      <c r="E913" s="86"/>
      <c r="F913" s="308"/>
    </row>
    <row r="914" spans="2:6">
      <c r="B914" s="308"/>
      <c r="C914" s="86"/>
      <c r="D914" s="86"/>
      <c r="E914" s="86"/>
      <c r="F914" s="308"/>
    </row>
    <row r="915" spans="2:6">
      <c r="B915" s="308"/>
      <c r="C915" s="86"/>
      <c r="D915" s="86"/>
      <c r="E915" s="86"/>
      <c r="F915" s="308"/>
    </row>
    <row r="916" spans="2:6">
      <c r="B916" s="308"/>
      <c r="C916" s="86"/>
      <c r="D916" s="86"/>
      <c r="E916" s="86"/>
      <c r="F916" s="308"/>
    </row>
    <row r="917" spans="2:6">
      <c r="B917" s="308"/>
      <c r="C917" s="86"/>
      <c r="D917" s="86"/>
      <c r="E917" s="86"/>
      <c r="F917" s="308"/>
    </row>
    <row r="918" spans="2:6">
      <c r="B918" s="308"/>
      <c r="C918" s="86"/>
      <c r="D918" s="86"/>
      <c r="E918" s="86"/>
      <c r="F918" s="308"/>
    </row>
    <row r="919" spans="2:6">
      <c r="B919" s="308"/>
      <c r="C919" s="86"/>
      <c r="D919" s="86"/>
      <c r="E919" s="86"/>
      <c r="F919" s="308"/>
    </row>
    <row r="920" spans="2:6">
      <c r="B920" s="308"/>
      <c r="C920" s="86"/>
      <c r="D920" s="86"/>
      <c r="E920" s="86"/>
      <c r="F920" s="308"/>
    </row>
    <row r="921" spans="2:6">
      <c r="B921" s="308"/>
      <c r="C921" s="86"/>
      <c r="D921" s="86"/>
      <c r="E921" s="86"/>
      <c r="F921" s="308"/>
    </row>
    <row r="922" spans="2:6">
      <c r="B922" s="308"/>
      <c r="C922" s="86"/>
      <c r="D922" s="86"/>
      <c r="E922" s="86"/>
      <c r="F922" s="308"/>
    </row>
    <row r="923" spans="2:6">
      <c r="B923" s="308"/>
      <c r="C923" s="86"/>
      <c r="D923" s="86"/>
      <c r="E923" s="86"/>
      <c r="F923" s="308"/>
    </row>
    <row r="924" spans="2:6">
      <c r="B924" s="308"/>
      <c r="C924" s="86"/>
      <c r="D924" s="86"/>
      <c r="E924" s="86"/>
      <c r="F924" s="308"/>
    </row>
    <row r="925" spans="2:6">
      <c r="B925" s="308"/>
      <c r="C925" s="86"/>
      <c r="D925" s="86"/>
      <c r="E925" s="86"/>
      <c r="F925" s="308"/>
    </row>
    <row r="926" spans="2:6">
      <c r="B926" s="308"/>
      <c r="C926" s="86"/>
      <c r="D926" s="86"/>
      <c r="E926" s="86"/>
      <c r="F926" s="308"/>
    </row>
    <row r="927" spans="2:6">
      <c r="B927" s="308"/>
      <c r="C927" s="86"/>
      <c r="D927" s="86"/>
      <c r="E927" s="86"/>
      <c r="F927" s="308"/>
    </row>
    <row r="928" spans="2:6">
      <c r="B928" s="308"/>
      <c r="C928" s="86"/>
      <c r="D928" s="86"/>
      <c r="E928" s="86"/>
      <c r="F928" s="308"/>
    </row>
    <row r="929" spans="2:6">
      <c r="B929" s="308"/>
      <c r="C929" s="86"/>
      <c r="D929" s="86"/>
      <c r="E929" s="86"/>
      <c r="F929" s="308"/>
    </row>
    <row r="930" spans="2:6">
      <c r="B930" s="308"/>
      <c r="C930" s="86"/>
      <c r="D930" s="86"/>
      <c r="E930" s="86"/>
      <c r="F930" s="308"/>
    </row>
    <row r="931" spans="2:6">
      <c r="B931" s="308"/>
      <c r="C931" s="86"/>
      <c r="D931" s="86"/>
      <c r="E931" s="86"/>
      <c r="F931" s="308"/>
    </row>
    <row r="932" spans="2:6">
      <c r="B932" s="308"/>
      <c r="C932" s="86"/>
      <c r="D932" s="86"/>
      <c r="E932" s="86"/>
      <c r="F932" s="308"/>
    </row>
    <row r="933" spans="2:6">
      <c r="B933" s="308"/>
      <c r="C933" s="86"/>
      <c r="D933" s="86"/>
      <c r="E933" s="86"/>
      <c r="F933" s="308"/>
    </row>
    <row r="934" spans="2:6">
      <c r="B934" s="308"/>
      <c r="C934" s="86"/>
      <c r="D934" s="86"/>
      <c r="E934" s="86"/>
      <c r="F934" s="308"/>
    </row>
    <row r="935" spans="2:6">
      <c r="B935" s="308"/>
      <c r="C935" s="86"/>
      <c r="D935" s="86"/>
      <c r="E935" s="86"/>
      <c r="F935" s="308"/>
    </row>
    <row r="936" spans="2:6">
      <c r="B936" s="308"/>
      <c r="C936" s="86"/>
      <c r="D936" s="86"/>
      <c r="E936" s="86"/>
      <c r="F936" s="308"/>
    </row>
    <row r="937" spans="2:6">
      <c r="B937" s="308"/>
      <c r="C937" s="86"/>
      <c r="D937" s="86"/>
      <c r="E937" s="86"/>
      <c r="F937" s="308"/>
    </row>
    <row r="938" spans="2:6">
      <c r="B938" s="308"/>
      <c r="C938" s="86"/>
      <c r="D938" s="86"/>
      <c r="E938" s="86"/>
      <c r="F938" s="308"/>
    </row>
    <row r="939" spans="2:6">
      <c r="B939" s="308"/>
      <c r="C939" s="86"/>
      <c r="D939" s="86"/>
      <c r="E939" s="86"/>
      <c r="F939" s="308"/>
    </row>
    <row r="940" spans="2:6">
      <c r="B940" s="308"/>
      <c r="C940" s="86"/>
      <c r="D940" s="86"/>
      <c r="E940" s="86"/>
      <c r="F940" s="308"/>
    </row>
    <row r="941" spans="2:6">
      <c r="B941" s="308"/>
      <c r="C941" s="86"/>
      <c r="D941" s="86"/>
      <c r="E941" s="86"/>
      <c r="F941" s="308"/>
    </row>
    <row r="942" spans="2:6">
      <c r="B942" s="308"/>
      <c r="C942" s="86"/>
      <c r="D942" s="86"/>
      <c r="E942" s="86"/>
      <c r="F942" s="308"/>
    </row>
    <row r="943" spans="2:6">
      <c r="B943" s="308"/>
      <c r="C943" s="86"/>
      <c r="D943" s="86"/>
      <c r="E943" s="86"/>
      <c r="F943" s="308"/>
    </row>
    <row r="944" spans="2:6">
      <c r="B944" s="308"/>
      <c r="C944" s="86"/>
      <c r="D944" s="86"/>
      <c r="E944" s="86"/>
      <c r="F944" s="308"/>
    </row>
    <row r="945" spans="2:6">
      <c r="B945" s="308"/>
      <c r="C945" s="86"/>
      <c r="D945" s="86"/>
      <c r="E945" s="86"/>
      <c r="F945" s="308"/>
    </row>
    <row r="946" spans="2:6">
      <c r="B946" s="308"/>
      <c r="C946" s="86"/>
      <c r="D946" s="86"/>
      <c r="E946" s="86"/>
      <c r="F946" s="308"/>
    </row>
    <row r="947" spans="2:6">
      <c r="B947" s="308"/>
      <c r="C947" s="86"/>
      <c r="D947" s="86"/>
      <c r="E947" s="86"/>
      <c r="F947" s="308"/>
    </row>
    <row r="948" spans="2:6">
      <c r="B948" s="308"/>
      <c r="C948" s="86"/>
      <c r="D948" s="86"/>
      <c r="E948" s="86"/>
      <c r="F948" s="308"/>
    </row>
    <row r="949" spans="2:6">
      <c r="B949" s="308"/>
      <c r="C949" s="86"/>
      <c r="D949" s="86"/>
      <c r="E949" s="86"/>
      <c r="F949" s="308"/>
    </row>
    <row r="950" spans="2:6">
      <c r="B950" s="308"/>
      <c r="C950" s="86"/>
      <c r="D950" s="86"/>
      <c r="E950" s="86"/>
      <c r="F950" s="308"/>
    </row>
    <row r="951" spans="2:6">
      <c r="B951" s="308"/>
      <c r="C951" s="86"/>
      <c r="D951" s="86"/>
      <c r="E951" s="86"/>
      <c r="F951" s="308"/>
    </row>
    <row r="952" spans="2:6">
      <c r="B952" s="308"/>
      <c r="C952" s="86"/>
      <c r="D952" s="86"/>
      <c r="E952" s="86"/>
      <c r="F952" s="308"/>
    </row>
    <row r="953" spans="2:6">
      <c r="B953" s="308"/>
      <c r="C953" s="86"/>
      <c r="D953" s="86"/>
      <c r="E953" s="86"/>
      <c r="F953" s="308"/>
    </row>
    <row r="954" spans="2:6">
      <c r="B954" s="308"/>
      <c r="C954" s="86"/>
      <c r="D954" s="86"/>
      <c r="E954" s="86"/>
      <c r="F954" s="308"/>
    </row>
    <row r="955" spans="2:6">
      <c r="B955" s="308"/>
      <c r="C955" s="86"/>
      <c r="D955" s="86"/>
      <c r="E955" s="86"/>
      <c r="F955" s="308"/>
    </row>
    <row r="956" spans="2:6">
      <c r="B956" s="308"/>
      <c r="C956" s="86"/>
      <c r="D956" s="86"/>
      <c r="E956" s="86"/>
      <c r="F956" s="308"/>
    </row>
    <row r="957" spans="2:6">
      <c r="B957" s="308"/>
      <c r="C957" s="86"/>
      <c r="D957" s="86"/>
      <c r="E957" s="86"/>
      <c r="F957" s="308"/>
    </row>
    <row r="958" spans="2:6">
      <c r="B958" s="308"/>
      <c r="C958" s="86"/>
      <c r="D958" s="86"/>
      <c r="E958" s="86"/>
      <c r="F958" s="308"/>
    </row>
    <row r="959" spans="2:6">
      <c r="B959" s="308"/>
      <c r="C959" s="86"/>
      <c r="D959" s="86"/>
      <c r="E959" s="86"/>
      <c r="F959" s="308"/>
    </row>
    <row r="960" spans="2:6">
      <c r="B960" s="308"/>
      <c r="C960" s="86"/>
      <c r="D960" s="86"/>
      <c r="E960" s="86"/>
      <c r="F960" s="308"/>
    </row>
    <row r="961" spans="2:6">
      <c r="B961" s="308"/>
      <c r="C961" s="86"/>
      <c r="D961" s="86"/>
      <c r="E961" s="86"/>
      <c r="F961" s="308"/>
    </row>
    <row r="962" spans="2:6">
      <c r="B962" s="308"/>
      <c r="C962" s="86"/>
      <c r="D962" s="86"/>
      <c r="E962" s="86"/>
      <c r="F962" s="308"/>
    </row>
    <row r="963" spans="2:6">
      <c r="B963" s="308"/>
      <c r="C963" s="86"/>
      <c r="D963" s="86"/>
      <c r="E963" s="86"/>
      <c r="F963" s="308"/>
    </row>
    <row r="964" spans="2:6">
      <c r="B964" s="308"/>
      <c r="C964" s="86"/>
      <c r="D964" s="86"/>
      <c r="E964" s="86"/>
      <c r="F964" s="308"/>
    </row>
    <row r="965" spans="2:6">
      <c r="B965" s="308"/>
      <c r="C965" s="86"/>
      <c r="D965" s="86"/>
      <c r="E965" s="86"/>
      <c r="F965" s="308"/>
    </row>
    <row r="966" spans="2:6">
      <c r="B966" s="308"/>
      <c r="C966" s="86"/>
      <c r="D966" s="86"/>
      <c r="E966" s="86"/>
      <c r="F966" s="308"/>
    </row>
    <row r="967" spans="2:6">
      <c r="B967" s="308"/>
      <c r="C967" s="86"/>
      <c r="D967" s="86"/>
      <c r="E967" s="86"/>
      <c r="F967" s="308"/>
    </row>
    <row r="968" spans="2:6">
      <c r="B968" s="308"/>
      <c r="C968" s="86"/>
      <c r="D968" s="86"/>
      <c r="E968" s="86"/>
      <c r="F968" s="308"/>
    </row>
    <row r="969" spans="2:6">
      <c r="B969" s="308"/>
      <c r="C969" s="86"/>
      <c r="D969" s="86"/>
      <c r="E969" s="86"/>
      <c r="F969" s="308"/>
    </row>
    <row r="970" spans="2:6">
      <c r="B970" s="308"/>
      <c r="C970" s="86"/>
      <c r="D970" s="86"/>
      <c r="E970" s="86"/>
      <c r="F970" s="308"/>
    </row>
    <row r="971" spans="2:6">
      <c r="B971" s="308"/>
      <c r="C971" s="86"/>
      <c r="D971" s="86"/>
      <c r="E971" s="86"/>
      <c r="F971" s="308"/>
    </row>
    <row r="972" spans="2:6">
      <c r="B972" s="308"/>
      <c r="C972" s="86"/>
      <c r="D972" s="86"/>
      <c r="E972" s="86"/>
      <c r="F972" s="308"/>
    </row>
    <row r="973" spans="2:6">
      <c r="B973" s="308"/>
      <c r="C973" s="86"/>
      <c r="D973" s="86"/>
      <c r="E973" s="86"/>
      <c r="F973" s="308"/>
    </row>
    <row r="974" spans="2:6">
      <c r="B974" s="308"/>
      <c r="C974" s="86"/>
      <c r="D974" s="86"/>
      <c r="E974" s="86"/>
      <c r="F974" s="308"/>
    </row>
    <row r="975" spans="2:6">
      <c r="B975" s="308"/>
      <c r="C975" s="86"/>
      <c r="D975" s="86"/>
      <c r="E975" s="86"/>
      <c r="F975" s="308"/>
    </row>
    <row r="976" spans="2:6">
      <c r="B976" s="308"/>
      <c r="C976" s="86"/>
      <c r="D976" s="86"/>
      <c r="E976" s="86"/>
      <c r="F976" s="308"/>
    </row>
    <row r="977" spans="2:6">
      <c r="B977" s="308"/>
      <c r="C977" s="86"/>
      <c r="D977" s="86"/>
      <c r="E977" s="86"/>
      <c r="F977" s="308"/>
    </row>
    <row r="978" spans="2:6">
      <c r="B978" s="308"/>
      <c r="C978" s="86"/>
      <c r="D978" s="86"/>
      <c r="E978" s="86"/>
      <c r="F978" s="308"/>
    </row>
    <row r="979" spans="2:6">
      <c r="B979" s="308"/>
      <c r="C979" s="86"/>
      <c r="D979" s="86"/>
      <c r="E979" s="86"/>
      <c r="F979" s="308"/>
    </row>
    <row r="980" spans="2:6">
      <c r="B980" s="308"/>
      <c r="C980" s="86"/>
      <c r="D980" s="86"/>
      <c r="E980" s="86"/>
      <c r="F980" s="308"/>
    </row>
    <row r="981" spans="2:6">
      <c r="B981" s="308"/>
      <c r="C981" s="86"/>
      <c r="D981" s="86"/>
      <c r="E981" s="86"/>
      <c r="F981" s="308"/>
    </row>
    <row r="982" spans="2:6">
      <c r="B982" s="308"/>
      <c r="C982" s="86"/>
      <c r="D982" s="86"/>
      <c r="E982" s="86"/>
      <c r="F982" s="308"/>
    </row>
    <row r="983" spans="2:6">
      <c r="B983" s="308"/>
      <c r="C983" s="86"/>
      <c r="D983" s="86"/>
      <c r="E983" s="86"/>
      <c r="F983" s="308"/>
    </row>
    <row r="984" spans="2:6">
      <c r="B984" s="308"/>
      <c r="C984" s="86"/>
      <c r="D984" s="86"/>
      <c r="E984" s="86"/>
      <c r="F984" s="308"/>
    </row>
    <row r="985" spans="2:6">
      <c r="B985" s="308"/>
      <c r="C985" s="86"/>
      <c r="D985" s="86"/>
      <c r="E985" s="86"/>
      <c r="F985" s="308"/>
    </row>
    <row r="986" spans="2:6">
      <c r="B986" s="308"/>
      <c r="C986" s="86"/>
      <c r="D986" s="86"/>
      <c r="E986" s="86"/>
      <c r="F986" s="308"/>
    </row>
    <row r="987" spans="2:6">
      <c r="B987" s="308"/>
      <c r="C987" s="86"/>
      <c r="D987" s="86"/>
      <c r="E987" s="86"/>
      <c r="F987" s="308"/>
    </row>
    <row r="988" spans="2:6">
      <c r="B988" s="308"/>
      <c r="C988" s="86"/>
      <c r="D988" s="86"/>
      <c r="E988" s="86"/>
      <c r="F988" s="308"/>
    </row>
    <row r="989" spans="2:6">
      <c r="B989" s="308"/>
      <c r="C989" s="86"/>
      <c r="D989" s="86"/>
      <c r="E989" s="86"/>
      <c r="F989" s="308"/>
    </row>
    <row r="990" spans="2:6">
      <c r="B990" s="308"/>
      <c r="C990" s="86"/>
      <c r="D990" s="86"/>
      <c r="E990" s="86"/>
      <c r="F990" s="308"/>
    </row>
    <row r="991" spans="2:6">
      <c r="B991" s="308"/>
      <c r="C991" s="86"/>
      <c r="D991" s="86"/>
      <c r="E991" s="86"/>
      <c r="F991" s="308"/>
    </row>
    <row r="992" spans="2:6">
      <c r="B992" s="308"/>
      <c r="C992" s="86"/>
      <c r="D992" s="86"/>
      <c r="E992" s="86"/>
      <c r="F992" s="308"/>
    </row>
    <row r="993" spans="2:6">
      <c r="B993" s="308"/>
      <c r="C993" s="86"/>
      <c r="D993" s="86"/>
      <c r="E993" s="86"/>
      <c r="F993" s="308"/>
    </row>
    <row r="994" spans="2:6">
      <c r="B994" s="308"/>
      <c r="C994" s="86"/>
      <c r="D994" s="86"/>
      <c r="E994" s="86"/>
      <c r="F994" s="308"/>
    </row>
    <row r="995" spans="2:6">
      <c r="B995" s="308"/>
      <c r="C995" s="86"/>
      <c r="D995" s="86"/>
      <c r="E995" s="86"/>
      <c r="F995" s="308"/>
    </row>
    <row r="996" spans="2:6">
      <c r="B996" s="308"/>
      <c r="C996" s="86"/>
      <c r="D996" s="86"/>
      <c r="E996" s="86"/>
      <c r="F996" s="308"/>
    </row>
    <row r="997" spans="2:6">
      <c r="B997" s="308"/>
      <c r="C997" s="86"/>
      <c r="D997" s="86"/>
      <c r="E997" s="86"/>
      <c r="F997" s="308"/>
    </row>
    <row r="998" spans="2:6">
      <c r="B998" s="308"/>
      <c r="C998" s="86"/>
      <c r="D998" s="86"/>
      <c r="E998" s="86"/>
      <c r="F998" s="308"/>
    </row>
    <row r="999" spans="2:6">
      <c r="B999" s="308"/>
      <c r="C999" s="86"/>
      <c r="D999" s="86"/>
      <c r="E999" s="86"/>
      <c r="F999" s="308"/>
    </row>
    <row r="1000" spans="2:6">
      <c r="B1000" s="308"/>
      <c r="C1000" s="86"/>
      <c r="D1000" s="86"/>
      <c r="E1000" s="86"/>
      <c r="F1000" s="308"/>
    </row>
    <row r="1001" spans="2:6">
      <c r="B1001" s="308"/>
      <c r="C1001" s="86"/>
      <c r="D1001" s="86"/>
      <c r="E1001" s="86"/>
      <c r="F1001" s="308"/>
    </row>
    <row r="1002" spans="2:6">
      <c r="B1002" s="308"/>
      <c r="C1002" s="86"/>
      <c r="D1002" s="86"/>
      <c r="E1002" s="86"/>
      <c r="F1002" s="308"/>
    </row>
    <row r="1003" spans="2:6">
      <c r="B1003" s="308"/>
      <c r="C1003" s="86"/>
      <c r="D1003" s="86"/>
      <c r="E1003" s="86"/>
      <c r="F1003" s="308"/>
    </row>
    <row r="1004" spans="2:6">
      <c r="B1004" s="308"/>
      <c r="C1004" s="86"/>
      <c r="D1004" s="86"/>
      <c r="E1004" s="86"/>
      <c r="F1004" s="308"/>
    </row>
    <row r="1005" spans="2:6">
      <c r="B1005" s="308"/>
      <c r="C1005" s="86"/>
      <c r="D1005" s="86"/>
      <c r="E1005" s="86"/>
      <c r="F1005" s="308"/>
    </row>
    <row r="1006" spans="2:6">
      <c r="B1006" s="308"/>
      <c r="C1006" s="86"/>
      <c r="D1006" s="86"/>
      <c r="E1006" s="86"/>
      <c r="F1006" s="308"/>
    </row>
    <row r="1007" spans="2:6">
      <c r="B1007" s="308"/>
      <c r="C1007" s="86"/>
      <c r="D1007" s="86"/>
      <c r="E1007" s="86"/>
      <c r="F1007" s="308"/>
    </row>
    <row r="1008" spans="2:6">
      <c r="B1008" s="308"/>
      <c r="C1008" s="86"/>
      <c r="D1008" s="86"/>
      <c r="E1008" s="86"/>
      <c r="F1008" s="308"/>
    </row>
    <row r="1009" spans="2:6">
      <c r="B1009" s="308"/>
      <c r="C1009" s="86"/>
      <c r="D1009" s="86"/>
      <c r="E1009" s="86"/>
      <c r="F1009" s="308"/>
    </row>
    <row r="1010" spans="2:6">
      <c r="B1010" s="308"/>
      <c r="C1010" s="86"/>
      <c r="D1010" s="86"/>
      <c r="E1010" s="86"/>
      <c r="F1010" s="308"/>
    </row>
    <row r="1011" spans="2:6">
      <c r="B1011" s="308"/>
      <c r="C1011" s="86"/>
      <c r="D1011" s="86"/>
      <c r="E1011" s="86"/>
      <c r="F1011" s="308"/>
    </row>
    <row r="1012" spans="2:6">
      <c r="B1012" s="308"/>
      <c r="C1012" s="86"/>
      <c r="D1012" s="86"/>
      <c r="E1012" s="86"/>
      <c r="F1012" s="308"/>
    </row>
    <row r="1013" spans="2:6">
      <c r="B1013" s="308"/>
      <c r="C1013" s="86"/>
      <c r="D1013" s="86"/>
      <c r="E1013" s="86"/>
      <c r="F1013" s="308"/>
    </row>
    <row r="1014" spans="2:6">
      <c r="B1014" s="308"/>
      <c r="C1014" s="86"/>
      <c r="D1014" s="86"/>
      <c r="E1014" s="86"/>
      <c r="F1014" s="308"/>
    </row>
    <row r="1015" spans="2:6">
      <c r="B1015" s="308"/>
      <c r="C1015" s="86"/>
      <c r="D1015" s="86"/>
      <c r="E1015" s="86"/>
      <c r="F1015" s="308"/>
    </row>
    <row r="1016" spans="2:6">
      <c r="B1016" s="308"/>
      <c r="C1016" s="86"/>
      <c r="D1016" s="86"/>
      <c r="E1016" s="86"/>
      <c r="F1016" s="308"/>
    </row>
    <row r="1017" spans="2:6">
      <c r="B1017" s="308"/>
      <c r="C1017" s="86"/>
      <c r="D1017" s="86"/>
      <c r="E1017" s="86"/>
      <c r="F1017" s="308"/>
    </row>
    <row r="1018" spans="2:6">
      <c r="B1018" s="308"/>
      <c r="C1018" s="86"/>
      <c r="D1018" s="86"/>
      <c r="E1018" s="86"/>
      <c r="F1018" s="308"/>
    </row>
    <row r="1019" spans="2:6">
      <c r="B1019" s="308"/>
      <c r="C1019" s="86"/>
      <c r="D1019" s="86"/>
      <c r="E1019" s="86"/>
      <c r="F1019" s="308"/>
    </row>
    <row r="1020" spans="2:6">
      <c r="B1020" s="308"/>
      <c r="C1020" s="86"/>
      <c r="D1020" s="86"/>
      <c r="E1020" s="86"/>
      <c r="F1020" s="308"/>
    </row>
    <row r="1021" spans="2:6">
      <c r="B1021" s="308"/>
      <c r="C1021" s="86"/>
      <c r="D1021" s="86"/>
      <c r="E1021" s="86"/>
      <c r="F1021" s="308"/>
    </row>
    <row r="1022" spans="2:6">
      <c r="B1022" s="308"/>
      <c r="C1022" s="86"/>
      <c r="D1022" s="86"/>
      <c r="E1022" s="86"/>
      <c r="F1022" s="308"/>
    </row>
    <row r="1023" spans="2:6">
      <c r="B1023" s="308"/>
      <c r="C1023" s="86"/>
      <c r="D1023" s="86"/>
      <c r="E1023" s="86"/>
      <c r="F1023" s="308"/>
    </row>
    <row r="1024" spans="2:6">
      <c r="B1024" s="308"/>
      <c r="C1024" s="86"/>
      <c r="D1024" s="86"/>
      <c r="E1024" s="86"/>
      <c r="F1024" s="308"/>
    </row>
    <row r="1025" spans="2:6">
      <c r="B1025" s="308"/>
      <c r="C1025" s="86"/>
      <c r="D1025" s="86"/>
      <c r="E1025" s="86"/>
      <c r="F1025" s="308"/>
    </row>
    <row r="1026" spans="2:6">
      <c r="B1026" s="308"/>
      <c r="C1026" s="86"/>
      <c r="D1026" s="86"/>
      <c r="E1026" s="86"/>
      <c r="F1026" s="308"/>
    </row>
    <row r="1027" spans="2:6">
      <c r="B1027" s="308"/>
      <c r="C1027" s="86"/>
      <c r="D1027" s="86"/>
      <c r="E1027" s="86"/>
      <c r="F1027" s="308"/>
    </row>
    <row r="1028" spans="2:6">
      <c r="B1028" s="308"/>
      <c r="C1028" s="86"/>
      <c r="D1028" s="86"/>
      <c r="E1028" s="86"/>
      <c r="F1028" s="308"/>
    </row>
    <row r="1029" spans="2:6">
      <c r="B1029" s="308"/>
      <c r="C1029" s="86"/>
      <c r="D1029" s="86"/>
      <c r="E1029" s="86"/>
      <c r="F1029" s="308"/>
    </row>
    <row r="1030" spans="2:6">
      <c r="B1030" s="308"/>
      <c r="C1030" s="86"/>
      <c r="D1030" s="86"/>
      <c r="E1030" s="86"/>
      <c r="F1030" s="308"/>
    </row>
    <row r="1031" spans="2:6">
      <c r="B1031" s="308"/>
      <c r="C1031" s="86"/>
      <c r="D1031" s="86"/>
      <c r="E1031" s="86"/>
      <c r="F1031" s="308"/>
    </row>
    <row r="1032" spans="2:6">
      <c r="B1032" s="308"/>
      <c r="C1032" s="86"/>
      <c r="D1032" s="86"/>
      <c r="E1032" s="86"/>
      <c r="F1032" s="308"/>
    </row>
    <row r="1033" spans="2:6">
      <c r="B1033" s="308"/>
      <c r="C1033" s="86"/>
      <c r="D1033" s="86"/>
      <c r="E1033" s="86"/>
      <c r="F1033" s="308"/>
    </row>
    <row r="1034" spans="2:6">
      <c r="B1034" s="308"/>
      <c r="C1034" s="86"/>
      <c r="D1034" s="86"/>
      <c r="E1034" s="86"/>
      <c r="F1034" s="308"/>
    </row>
    <row r="1035" spans="2:6">
      <c r="B1035" s="308"/>
      <c r="C1035" s="86"/>
      <c r="D1035" s="86"/>
      <c r="E1035" s="86"/>
      <c r="F1035" s="308"/>
    </row>
    <row r="1036" spans="2:6">
      <c r="B1036" s="308"/>
      <c r="C1036" s="86"/>
      <c r="D1036" s="86"/>
      <c r="E1036" s="86"/>
      <c r="F1036" s="308"/>
    </row>
    <row r="1037" spans="2:6">
      <c r="B1037" s="308"/>
      <c r="C1037" s="86"/>
      <c r="D1037" s="86"/>
      <c r="E1037" s="86"/>
      <c r="F1037" s="308"/>
    </row>
    <row r="1038" spans="2:6">
      <c r="B1038" s="308"/>
      <c r="C1038" s="86"/>
      <c r="D1038" s="86"/>
      <c r="E1038" s="86"/>
      <c r="F1038" s="308"/>
    </row>
    <row r="1039" spans="2:6">
      <c r="B1039" s="308"/>
      <c r="C1039" s="86"/>
      <c r="D1039" s="86"/>
      <c r="E1039" s="86"/>
      <c r="F1039" s="308"/>
    </row>
    <row r="1040" spans="2:6">
      <c r="B1040" s="308"/>
      <c r="C1040" s="86"/>
      <c r="D1040" s="86"/>
      <c r="E1040" s="86"/>
      <c r="F1040" s="308"/>
    </row>
    <row r="1041" spans="2:6">
      <c r="B1041" s="308"/>
      <c r="C1041" s="86"/>
      <c r="D1041" s="86"/>
      <c r="E1041" s="86"/>
      <c r="F1041" s="308"/>
    </row>
    <row r="1042" spans="2:6">
      <c r="B1042" s="308"/>
      <c r="C1042" s="86"/>
      <c r="D1042" s="86"/>
      <c r="E1042" s="86"/>
      <c r="F1042" s="308"/>
    </row>
    <row r="1043" spans="2:6">
      <c r="B1043" s="308"/>
      <c r="C1043" s="86"/>
      <c r="D1043" s="86"/>
      <c r="E1043" s="86"/>
      <c r="F1043" s="308"/>
    </row>
    <row r="1044" spans="2:6">
      <c r="B1044" s="308"/>
      <c r="C1044" s="86"/>
      <c r="D1044" s="86"/>
      <c r="E1044" s="86"/>
      <c r="F1044" s="308"/>
    </row>
    <row r="1045" spans="2:6">
      <c r="B1045" s="308"/>
      <c r="C1045" s="86"/>
      <c r="D1045" s="86"/>
      <c r="E1045" s="86"/>
      <c r="F1045" s="308"/>
    </row>
    <row r="1046" spans="2:6">
      <c r="B1046" s="308"/>
      <c r="C1046" s="86"/>
      <c r="D1046" s="86"/>
      <c r="E1046" s="86"/>
      <c r="F1046" s="308"/>
    </row>
    <row r="1047" spans="2:6">
      <c r="B1047" s="308"/>
      <c r="C1047" s="86"/>
      <c r="D1047" s="86"/>
      <c r="E1047" s="86"/>
      <c r="F1047" s="308"/>
    </row>
    <row r="1048" spans="2:6">
      <c r="B1048" s="308"/>
      <c r="C1048" s="86"/>
      <c r="D1048" s="86"/>
      <c r="E1048" s="86"/>
      <c r="F1048" s="308"/>
    </row>
    <row r="1049" spans="2:6">
      <c r="B1049" s="308"/>
      <c r="C1049" s="86"/>
      <c r="D1049" s="86"/>
      <c r="E1049" s="86"/>
      <c r="F1049" s="308"/>
    </row>
    <row r="1050" spans="2:6">
      <c r="B1050" s="308"/>
      <c r="C1050" s="86"/>
      <c r="D1050" s="86"/>
      <c r="E1050" s="86"/>
      <c r="F1050" s="308"/>
    </row>
    <row r="1051" spans="2:6">
      <c r="B1051" s="308"/>
      <c r="C1051" s="86"/>
      <c r="D1051" s="86"/>
      <c r="E1051" s="86"/>
      <c r="F1051" s="308"/>
    </row>
    <row r="1052" spans="2:6">
      <c r="B1052" s="308"/>
      <c r="C1052" s="86"/>
      <c r="D1052" s="86"/>
      <c r="E1052" s="86"/>
      <c r="F1052" s="308"/>
    </row>
    <row r="1053" spans="2:6">
      <c r="B1053" s="308"/>
      <c r="C1053" s="86"/>
      <c r="D1053" s="86"/>
      <c r="E1053" s="86"/>
      <c r="F1053" s="308"/>
    </row>
    <row r="1054" spans="2:6">
      <c r="B1054" s="308"/>
      <c r="C1054" s="86"/>
      <c r="D1054" s="86"/>
      <c r="E1054" s="86"/>
      <c r="F1054" s="308"/>
    </row>
    <row r="1055" spans="2:6">
      <c r="B1055" s="308"/>
      <c r="C1055" s="86"/>
      <c r="D1055" s="86"/>
      <c r="E1055" s="86"/>
      <c r="F1055" s="308"/>
    </row>
    <row r="1056" spans="2:6">
      <c r="B1056" s="308"/>
      <c r="C1056" s="86"/>
      <c r="D1056" s="86"/>
      <c r="E1056" s="86"/>
      <c r="F1056" s="308"/>
    </row>
    <row r="1057" spans="2:6">
      <c r="B1057" s="308"/>
      <c r="C1057" s="86"/>
      <c r="D1057" s="86"/>
      <c r="E1057" s="86"/>
      <c r="F1057" s="308"/>
    </row>
    <row r="1058" spans="2:6">
      <c r="B1058" s="308"/>
      <c r="C1058" s="86"/>
      <c r="D1058" s="86"/>
      <c r="E1058" s="86"/>
      <c r="F1058" s="308"/>
    </row>
    <row r="1059" spans="2:6">
      <c r="B1059" s="308"/>
      <c r="C1059" s="86"/>
      <c r="D1059" s="86"/>
      <c r="E1059" s="86"/>
      <c r="F1059" s="308"/>
    </row>
    <row r="1060" spans="2:6">
      <c r="B1060" s="308"/>
      <c r="C1060" s="86"/>
      <c r="D1060" s="86"/>
      <c r="E1060" s="86"/>
      <c r="F1060" s="308"/>
    </row>
    <row r="1061" spans="2:6">
      <c r="B1061" s="308"/>
      <c r="C1061" s="86"/>
      <c r="D1061" s="86"/>
      <c r="E1061" s="86"/>
      <c r="F1061" s="308"/>
    </row>
    <row r="1062" spans="2:6">
      <c r="B1062" s="308"/>
      <c r="C1062" s="86"/>
      <c r="D1062" s="86"/>
      <c r="E1062" s="86"/>
      <c r="F1062" s="308"/>
    </row>
    <row r="1063" spans="2:6">
      <c r="B1063" s="308"/>
      <c r="C1063" s="86"/>
      <c r="D1063" s="86"/>
      <c r="E1063" s="86"/>
      <c r="F1063" s="308"/>
    </row>
    <row r="1064" spans="2:6">
      <c r="B1064" s="308"/>
      <c r="C1064" s="86"/>
      <c r="D1064" s="86"/>
      <c r="E1064" s="86"/>
      <c r="F1064" s="308"/>
    </row>
    <row r="1065" spans="2:6">
      <c r="B1065" s="308"/>
      <c r="C1065" s="86"/>
      <c r="D1065" s="86"/>
      <c r="E1065" s="86"/>
      <c r="F1065" s="308"/>
    </row>
    <row r="1066" spans="2:6">
      <c r="B1066" s="308"/>
      <c r="C1066" s="86"/>
      <c r="D1066" s="86"/>
      <c r="E1066" s="86"/>
      <c r="F1066" s="308"/>
    </row>
    <row r="1067" spans="2:6">
      <c r="B1067" s="308"/>
      <c r="C1067" s="86"/>
      <c r="D1067" s="86"/>
      <c r="E1067" s="86"/>
      <c r="F1067" s="308"/>
    </row>
    <row r="1068" spans="2:6">
      <c r="B1068" s="308"/>
      <c r="C1068" s="86"/>
      <c r="D1068" s="86"/>
      <c r="E1068" s="86"/>
      <c r="F1068" s="308"/>
    </row>
    <row r="1069" spans="2:6">
      <c r="B1069" s="308"/>
      <c r="C1069" s="86"/>
      <c r="D1069" s="86"/>
      <c r="E1069" s="86"/>
      <c r="F1069" s="308"/>
    </row>
    <row r="1070" spans="2:6">
      <c r="B1070" s="308"/>
      <c r="C1070" s="86"/>
      <c r="D1070" s="86"/>
      <c r="E1070" s="86"/>
      <c r="F1070" s="308"/>
    </row>
    <row r="1071" spans="2:6">
      <c r="B1071" s="308"/>
      <c r="C1071" s="86"/>
      <c r="D1071" s="86"/>
      <c r="E1071" s="86"/>
      <c r="F1071" s="308"/>
    </row>
    <row r="1072" spans="2:6">
      <c r="B1072" s="308"/>
      <c r="C1072" s="86"/>
      <c r="D1072" s="86"/>
      <c r="E1072" s="86"/>
      <c r="F1072" s="308"/>
    </row>
    <row r="1073" spans="2:6">
      <c r="B1073" s="308"/>
      <c r="C1073" s="86"/>
      <c r="D1073" s="86"/>
      <c r="E1073" s="86"/>
      <c r="F1073" s="308"/>
    </row>
    <row r="1074" spans="2:6">
      <c r="B1074" s="308"/>
      <c r="C1074" s="86"/>
      <c r="D1074" s="86"/>
      <c r="E1074" s="86"/>
      <c r="F1074" s="308"/>
    </row>
    <row r="1075" spans="2:6">
      <c r="B1075" s="308"/>
      <c r="C1075" s="86"/>
      <c r="D1075" s="86"/>
      <c r="E1075" s="86"/>
      <c r="F1075" s="308"/>
    </row>
    <row r="1076" spans="2:6">
      <c r="B1076" s="308"/>
      <c r="C1076" s="86"/>
      <c r="D1076" s="86"/>
      <c r="E1076" s="86"/>
      <c r="F1076" s="308"/>
    </row>
    <row r="1077" spans="2:6">
      <c r="B1077" s="308"/>
      <c r="C1077" s="86"/>
      <c r="D1077" s="86"/>
      <c r="E1077" s="86"/>
      <c r="F1077" s="308"/>
    </row>
    <row r="1078" spans="2:6">
      <c r="B1078" s="308"/>
      <c r="C1078" s="86"/>
      <c r="D1078" s="86"/>
      <c r="E1078" s="86"/>
      <c r="F1078" s="308"/>
    </row>
    <row r="1079" spans="2:6">
      <c r="B1079" s="308"/>
      <c r="C1079" s="86"/>
      <c r="D1079" s="86"/>
      <c r="E1079" s="86"/>
      <c r="F1079" s="308"/>
    </row>
    <row r="1080" spans="2:6">
      <c r="B1080" s="308"/>
      <c r="C1080" s="86"/>
      <c r="D1080" s="86"/>
      <c r="E1080" s="86"/>
      <c r="F1080" s="308"/>
    </row>
    <row r="1081" spans="2:6">
      <c r="B1081" s="308"/>
      <c r="C1081" s="86"/>
      <c r="D1081" s="86"/>
      <c r="E1081" s="86"/>
      <c r="F1081" s="308"/>
    </row>
    <row r="1082" spans="2:6">
      <c r="B1082" s="308"/>
      <c r="C1082" s="86"/>
      <c r="D1082" s="86"/>
      <c r="E1082" s="86"/>
      <c r="F1082" s="308"/>
    </row>
    <row r="1083" spans="2:6">
      <c r="B1083" s="308"/>
      <c r="C1083" s="86"/>
      <c r="D1083" s="86"/>
      <c r="E1083" s="86"/>
      <c r="F1083" s="308"/>
    </row>
    <row r="1084" spans="2:6">
      <c r="B1084" s="308"/>
      <c r="C1084" s="86"/>
      <c r="D1084" s="86"/>
      <c r="E1084" s="86"/>
      <c r="F1084" s="308"/>
    </row>
    <row r="1085" spans="2:6">
      <c r="B1085" s="308"/>
      <c r="C1085" s="86"/>
      <c r="D1085" s="86"/>
      <c r="E1085" s="86"/>
      <c r="F1085" s="308"/>
    </row>
    <row r="1086" spans="2:6">
      <c r="B1086" s="308"/>
      <c r="C1086" s="86"/>
      <c r="D1086" s="86"/>
      <c r="E1086" s="86"/>
      <c r="F1086" s="308"/>
    </row>
    <row r="1087" spans="2:6">
      <c r="B1087" s="308"/>
      <c r="C1087" s="86"/>
      <c r="D1087" s="86"/>
      <c r="E1087" s="86"/>
      <c r="F1087" s="308"/>
    </row>
    <row r="1088" spans="2:6">
      <c r="B1088" s="308"/>
      <c r="C1088" s="86"/>
      <c r="D1088" s="86"/>
      <c r="E1088" s="86"/>
      <c r="F1088" s="308"/>
    </row>
    <row r="1089" spans="2:6">
      <c r="B1089" s="308"/>
      <c r="C1089" s="86"/>
      <c r="D1089" s="86"/>
      <c r="E1089" s="86"/>
      <c r="F1089" s="308"/>
    </row>
    <row r="1090" spans="2:6">
      <c r="B1090" s="308"/>
      <c r="C1090" s="86"/>
      <c r="D1090" s="86"/>
      <c r="E1090" s="86"/>
      <c r="F1090" s="308"/>
    </row>
    <row r="1091" spans="2:6">
      <c r="B1091" s="308"/>
      <c r="C1091" s="86"/>
      <c r="D1091" s="86"/>
      <c r="E1091" s="86"/>
      <c r="F1091" s="308"/>
    </row>
    <row r="1092" spans="2:6">
      <c r="B1092" s="308"/>
      <c r="C1092" s="86"/>
      <c r="D1092" s="86"/>
      <c r="E1092" s="86"/>
      <c r="F1092" s="308"/>
    </row>
    <row r="1093" spans="2:6">
      <c r="B1093" s="308"/>
      <c r="C1093" s="86"/>
      <c r="D1093" s="86"/>
      <c r="E1093" s="86"/>
      <c r="F1093" s="308"/>
    </row>
    <row r="1094" spans="2:6">
      <c r="B1094" s="308"/>
      <c r="C1094" s="86"/>
      <c r="D1094" s="86"/>
      <c r="E1094" s="86"/>
      <c r="F1094" s="308"/>
    </row>
    <row r="1095" spans="2:6">
      <c r="B1095" s="308"/>
      <c r="C1095" s="86"/>
      <c r="D1095" s="86"/>
      <c r="E1095" s="86"/>
      <c r="F1095" s="308"/>
    </row>
    <row r="1096" spans="2:6">
      <c r="B1096" s="308"/>
      <c r="C1096" s="86"/>
      <c r="D1096" s="86"/>
      <c r="E1096" s="86"/>
      <c r="F1096" s="308"/>
    </row>
    <row r="1097" spans="2:6">
      <c r="B1097" s="308"/>
      <c r="C1097" s="86"/>
      <c r="D1097" s="86"/>
      <c r="E1097" s="86"/>
      <c r="F1097" s="308"/>
    </row>
    <row r="1098" spans="2:6">
      <c r="B1098" s="308"/>
      <c r="C1098" s="86"/>
      <c r="D1098" s="86"/>
      <c r="E1098" s="86"/>
      <c r="F1098" s="308"/>
    </row>
    <row r="1099" spans="2:6">
      <c r="B1099" s="308"/>
      <c r="C1099" s="86"/>
      <c r="D1099" s="86"/>
      <c r="E1099" s="86"/>
      <c r="F1099" s="308"/>
    </row>
    <row r="1100" spans="2:6">
      <c r="B1100" s="308"/>
      <c r="C1100" s="86"/>
      <c r="D1100" s="86"/>
      <c r="E1100" s="86"/>
      <c r="F1100" s="308"/>
    </row>
    <row r="1101" spans="2:6">
      <c r="B1101" s="308"/>
      <c r="C1101" s="86"/>
      <c r="D1101" s="86"/>
      <c r="E1101" s="86"/>
      <c r="F1101" s="308"/>
    </row>
    <row r="1102" spans="2:6">
      <c r="B1102" s="308"/>
      <c r="C1102" s="86"/>
      <c r="D1102" s="86"/>
      <c r="E1102" s="86"/>
      <c r="F1102" s="308"/>
    </row>
    <row r="1103" spans="2:6">
      <c r="B1103" s="308"/>
      <c r="C1103" s="86"/>
      <c r="D1103" s="86"/>
      <c r="E1103" s="86"/>
      <c r="F1103" s="308"/>
    </row>
    <row r="1104" spans="2:6">
      <c r="B1104" s="308"/>
      <c r="C1104" s="86"/>
      <c r="D1104" s="86"/>
      <c r="E1104" s="86"/>
      <c r="F1104" s="308"/>
    </row>
    <row r="1105" spans="2:6">
      <c r="B1105" s="308"/>
      <c r="C1105" s="86"/>
      <c r="D1105" s="86"/>
      <c r="E1105" s="86"/>
      <c r="F1105" s="308"/>
    </row>
    <row r="1106" spans="2:6">
      <c r="B1106" s="308"/>
      <c r="C1106" s="86"/>
      <c r="D1106" s="86"/>
      <c r="E1106" s="86"/>
      <c r="F1106" s="308"/>
    </row>
    <row r="1107" spans="2:6">
      <c r="B1107" s="308"/>
      <c r="C1107" s="86"/>
      <c r="D1107" s="86"/>
      <c r="E1107" s="86"/>
      <c r="F1107" s="308"/>
    </row>
    <row r="1108" spans="2:6">
      <c r="B1108" s="308"/>
      <c r="C1108" s="86"/>
      <c r="D1108" s="86"/>
      <c r="E1108" s="86"/>
      <c r="F1108" s="308"/>
    </row>
    <row r="1109" spans="2:6">
      <c r="B1109" s="308"/>
      <c r="C1109" s="86"/>
      <c r="D1109" s="86"/>
      <c r="E1109" s="86"/>
      <c r="F1109" s="308"/>
    </row>
    <row r="1110" spans="2:6">
      <c r="B1110" s="308"/>
      <c r="C1110" s="86"/>
      <c r="D1110" s="86"/>
      <c r="E1110" s="86"/>
      <c r="F1110" s="308"/>
    </row>
    <row r="1111" spans="2:6">
      <c r="B1111" s="308"/>
      <c r="C1111" s="86"/>
      <c r="D1111" s="86"/>
      <c r="E1111" s="86"/>
      <c r="F1111" s="308"/>
    </row>
    <row r="1112" spans="2:6">
      <c r="B1112" s="308"/>
      <c r="C1112" s="86"/>
      <c r="D1112" s="86"/>
      <c r="E1112" s="86"/>
      <c r="F1112" s="308"/>
    </row>
    <row r="1113" spans="2:6">
      <c r="B1113" s="308"/>
      <c r="C1113" s="86"/>
      <c r="D1113" s="86"/>
      <c r="E1113" s="86"/>
      <c r="F1113" s="308"/>
    </row>
    <row r="1114" spans="2:6">
      <c r="B1114" s="308"/>
      <c r="C1114" s="86"/>
      <c r="D1114" s="86"/>
      <c r="E1114" s="86"/>
      <c r="F1114" s="308"/>
    </row>
    <row r="1115" spans="2:6">
      <c r="B1115" s="308"/>
      <c r="C1115" s="86"/>
      <c r="D1115" s="86"/>
      <c r="E1115" s="86"/>
      <c r="F1115" s="308"/>
    </row>
    <row r="1116" spans="2:6">
      <c r="B1116" s="308"/>
      <c r="C1116" s="86"/>
      <c r="D1116" s="86"/>
      <c r="E1116" s="86"/>
      <c r="F1116" s="308"/>
    </row>
    <row r="1117" spans="2:6">
      <c r="B1117" s="308"/>
      <c r="C1117" s="86"/>
      <c r="D1117" s="86"/>
      <c r="E1117" s="86"/>
      <c r="F1117" s="308"/>
    </row>
    <row r="1118" spans="2:6">
      <c r="B1118" s="308"/>
      <c r="C1118" s="86"/>
      <c r="D1118" s="86"/>
      <c r="E1118" s="86"/>
      <c r="F1118" s="308"/>
    </row>
    <row r="1119" spans="2:6">
      <c r="B1119" s="308"/>
      <c r="C1119" s="86"/>
      <c r="D1119" s="86"/>
      <c r="E1119" s="86"/>
      <c r="F1119" s="308"/>
    </row>
    <row r="1120" spans="2:6">
      <c r="B1120" s="308"/>
      <c r="C1120" s="86"/>
      <c r="D1120" s="86"/>
      <c r="E1120" s="86"/>
      <c r="F1120" s="308"/>
    </row>
    <row r="1121" spans="2:6">
      <c r="B1121" s="308"/>
      <c r="C1121" s="86"/>
      <c r="D1121" s="86"/>
      <c r="E1121" s="86"/>
      <c r="F1121" s="308"/>
    </row>
    <row r="1122" spans="2:6">
      <c r="B1122" s="308"/>
      <c r="C1122" s="86"/>
      <c r="D1122" s="86"/>
      <c r="E1122" s="86"/>
      <c r="F1122" s="308"/>
    </row>
    <row r="1123" spans="2:6">
      <c r="B1123" s="308"/>
      <c r="C1123" s="86"/>
      <c r="D1123" s="86"/>
      <c r="E1123" s="86"/>
      <c r="F1123" s="308"/>
    </row>
    <row r="1124" spans="2:6">
      <c r="B1124" s="308"/>
      <c r="C1124" s="86"/>
      <c r="D1124" s="86"/>
      <c r="E1124" s="86"/>
      <c r="F1124" s="308"/>
    </row>
    <row r="1125" spans="2:6">
      <c r="B1125" s="308"/>
      <c r="C1125" s="86"/>
      <c r="D1125" s="86"/>
      <c r="E1125" s="86"/>
      <c r="F1125" s="308"/>
    </row>
    <row r="1126" spans="2:6">
      <c r="B1126" s="308"/>
      <c r="C1126" s="86"/>
      <c r="D1126" s="86"/>
      <c r="E1126" s="86"/>
      <c r="F1126" s="308"/>
    </row>
    <row r="1127" spans="2:6">
      <c r="B1127" s="308"/>
      <c r="C1127" s="86"/>
      <c r="D1127" s="86"/>
      <c r="E1127" s="86"/>
      <c r="F1127" s="308"/>
    </row>
    <row r="1128" spans="2:6">
      <c r="B1128" s="308"/>
      <c r="C1128" s="86"/>
      <c r="D1128" s="86"/>
      <c r="E1128" s="86"/>
      <c r="F1128" s="308"/>
    </row>
    <row r="1129" spans="2:6">
      <c r="B1129" s="308"/>
      <c r="C1129" s="86"/>
      <c r="D1129" s="86"/>
      <c r="E1129" s="86"/>
      <c r="F1129" s="308"/>
    </row>
    <row r="1130" spans="2:6">
      <c r="B1130" s="308"/>
      <c r="C1130" s="86"/>
      <c r="D1130" s="86"/>
      <c r="E1130" s="86"/>
      <c r="F1130" s="308"/>
    </row>
    <row r="1131" spans="2:6">
      <c r="B1131" s="308"/>
      <c r="C1131" s="86"/>
      <c r="D1131" s="86"/>
      <c r="E1131" s="86"/>
      <c r="F1131" s="308"/>
    </row>
    <row r="1132" spans="2:6">
      <c r="B1132" s="308"/>
      <c r="C1132" s="86"/>
      <c r="D1132" s="86"/>
      <c r="E1132" s="86"/>
      <c r="F1132" s="308"/>
    </row>
    <row r="1133" spans="2:6">
      <c r="B1133" s="308"/>
      <c r="C1133" s="86"/>
      <c r="D1133" s="86"/>
      <c r="E1133" s="86"/>
      <c r="F1133" s="308"/>
    </row>
    <row r="1134" spans="2:6">
      <c r="B1134" s="308"/>
      <c r="C1134" s="86"/>
      <c r="D1134" s="86"/>
      <c r="E1134" s="86"/>
      <c r="F1134" s="308"/>
    </row>
    <row r="1135" spans="2:6">
      <c r="B1135" s="308"/>
      <c r="C1135" s="86"/>
      <c r="D1135" s="86"/>
      <c r="E1135" s="86"/>
      <c r="F1135" s="308"/>
    </row>
    <row r="1136" spans="2:6">
      <c r="B1136" s="308"/>
      <c r="C1136" s="86"/>
      <c r="D1136" s="86"/>
      <c r="E1136" s="86"/>
      <c r="F1136" s="308"/>
    </row>
    <row r="1137" spans="2:6">
      <c r="B1137" s="308"/>
      <c r="C1137" s="86"/>
      <c r="D1137" s="86"/>
      <c r="E1137" s="86"/>
      <c r="F1137" s="308"/>
    </row>
    <row r="1138" spans="2:6">
      <c r="B1138" s="308"/>
      <c r="C1138" s="86"/>
      <c r="D1138" s="86"/>
      <c r="E1138" s="86"/>
      <c r="F1138" s="308"/>
    </row>
    <row r="1139" spans="2:6">
      <c r="B1139" s="308"/>
      <c r="C1139" s="86"/>
      <c r="D1139" s="86"/>
      <c r="E1139" s="86"/>
      <c r="F1139" s="308"/>
    </row>
    <row r="1140" spans="2:6">
      <c r="B1140" s="308"/>
      <c r="C1140" s="86"/>
      <c r="D1140" s="86"/>
      <c r="E1140" s="86"/>
      <c r="F1140" s="308"/>
    </row>
    <row r="1141" spans="2:6">
      <c r="B1141" s="308"/>
      <c r="C1141" s="86"/>
      <c r="D1141" s="86"/>
      <c r="E1141" s="86"/>
      <c r="F1141" s="308"/>
    </row>
    <row r="1142" spans="2:6">
      <c r="B1142" s="308"/>
      <c r="C1142" s="86"/>
      <c r="D1142" s="86"/>
      <c r="E1142" s="86"/>
      <c r="F1142" s="308"/>
    </row>
    <row r="1143" spans="2:6">
      <c r="B1143" s="308"/>
      <c r="C1143" s="86"/>
      <c r="D1143" s="86"/>
      <c r="E1143" s="86"/>
      <c r="F1143" s="308"/>
    </row>
    <row r="1144" spans="2:6">
      <c r="B1144" s="308"/>
      <c r="C1144" s="86"/>
      <c r="D1144" s="86"/>
      <c r="E1144" s="86"/>
      <c r="F1144" s="308"/>
    </row>
    <row r="1145" spans="2:6">
      <c r="B1145" s="308"/>
      <c r="C1145" s="86"/>
      <c r="D1145" s="86"/>
      <c r="E1145" s="86"/>
      <c r="F1145" s="308"/>
    </row>
    <row r="1146" spans="2:6">
      <c r="B1146" s="308"/>
      <c r="C1146" s="86"/>
      <c r="D1146" s="86"/>
      <c r="E1146" s="86"/>
      <c r="F1146" s="308"/>
    </row>
    <row r="1147" spans="2:6">
      <c r="B1147" s="308"/>
      <c r="C1147" s="86"/>
      <c r="D1147" s="86"/>
      <c r="E1147" s="86"/>
      <c r="F1147" s="308"/>
    </row>
    <row r="1148" spans="2:6">
      <c r="B1148" s="308"/>
      <c r="C1148" s="86"/>
      <c r="D1148" s="86"/>
      <c r="E1148" s="86"/>
      <c r="F1148" s="308"/>
    </row>
    <row r="1149" spans="2:6">
      <c r="B1149" s="308"/>
      <c r="C1149" s="86"/>
      <c r="D1149" s="86"/>
      <c r="E1149" s="86"/>
      <c r="F1149" s="308"/>
    </row>
    <row r="1150" spans="2:6">
      <c r="B1150" s="308"/>
      <c r="C1150" s="86"/>
      <c r="D1150" s="86"/>
      <c r="E1150" s="86"/>
      <c r="F1150" s="308"/>
    </row>
    <row r="1151" spans="2:6">
      <c r="B1151" s="308"/>
      <c r="C1151" s="86"/>
      <c r="D1151" s="86"/>
      <c r="E1151" s="86"/>
      <c r="F1151" s="308"/>
    </row>
    <row r="1152" spans="2:6">
      <c r="B1152" s="308"/>
      <c r="C1152" s="86"/>
      <c r="D1152" s="86"/>
      <c r="E1152" s="86"/>
      <c r="F1152" s="308"/>
    </row>
    <row r="1153" spans="2:6">
      <c r="B1153" s="308"/>
      <c r="C1153" s="86"/>
      <c r="D1153" s="86"/>
      <c r="E1153" s="86"/>
      <c r="F1153" s="308"/>
    </row>
    <row r="1154" spans="2:6">
      <c r="B1154" s="308"/>
      <c r="C1154" s="86"/>
      <c r="D1154" s="86"/>
      <c r="E1154" s="86"/>
      <c r="F1154" s="308"/>
    </row>
    <row r="1155" spans="2:6">
      <c r="B1155" s="308"/>
      <c r="C1155" s="86"/>
      <c r="D1155" s="86"/>
      <c r="E1155" s="86"/>
      <c r="F1155" s="308"/>
    </row>
    <row r="1156" spans="2:6">
      <c r="B1156" s="308"/>
      <c r="C1156" s="86"/>
      <c r="D1156" s="86"/>
      <c r="E1156" s="86"/>
      <c r="F1156" s="308"/>
    </row>
    <row r="1157" spans="2:6">
      <c r="B1157" s="308"/>
      <c r="C1157" s="86"/>
      <c r="D1157" s="86"/>
      <c r="E1157" s="86"/>
      <c r="F1157" s="308"/>
    </row>
    <row r="1158" spans="2:6">
      <c r="B1158" s="308"/>
      <c r="C1158" s="86"/>
      <c r="D1158" s="86"/>
      <c r="E1158" s="86"/>
      <c r="F1158" s="308"/>
    </row>
    <row r="1159" spans="2:6">
      <c r="B1159" s="308"/>
      <c r="C1159" s="86"/>
      <c r="D1159" s="86"/>
      <c r="E1159" s="86"/>
      <c r="F1159" s="308"/>
    </row>
    <row r="1160" spans="2:6">
      <c r="B1160" s="308"/>
      <c r="C1160" s="86"/>
      <c r="D1160" s="86"/>
      <c r="E1160" s="86"/>
      <c r="F1160" s="308"/>
    </row>
    <row r="1161" spans="2:6">
      <c r="B1161" s="308"/>
      <c r="C1161" s="86"/>
      <c r="D1161" s="86"/>
      <c r="E1161" s="86"/>
      <c r="F1161" s="308"/>
    </row>
    <row r="1162" spans="2:6">
      <c r="B1162" s="308"/>
      <c r="C1162" s="86"/>
      <c r="D1162" s="86"/>
      <c r="E1162" s="86"/>
      <c r="F1162" s="308"/>
    </row>
    <row r="1163" spans="2:6">
      <c r="B1163" s="308"/>
      <c r="C1163" s="86"/>
      <c r="D1163" s="86"/>
      <c r="E1163" s="86"/>
      <c r="F1163" s="308"/>
    </row>
    <row r="1164" spans="2:6">
      <c r="B1164" s="308"/>
      <c r="C1164" s="86"/>
      <c r="D1164" s="86"/>
      <c r="E1164" s="86"/>
      <c r="F1164" s="308"/>
    </row>
    <row r="1165" spans="2:6">
      <c r="B1165" s="308"/>
      <c r="C1165" s="86"/>
      <c r="D1165" s="86"/>
      <c r="E1165" s="86"/>
      <c r="F1165" s="308"/>
    </row>
    <row r="1166" spans="2:6">
      <c r="B1166" s="308"/>
      <c r="C1166" s="86"/>
      <c r="D1166" s="86"/>
      <c r="E1166" s="86"/>
      <c r="F1166" s="308"/>
    </row>
    <row r="1167" spans="2:6">
      <c r="B1167" s="308"/>
      <c r="C1167" s="86"/>
      <c r="D1167" s="86"/>
      <c r="E1167" s="86"/>
      <c r="F1167" s="308"/>
    </row>
    <row r="1168" spans="2:6">
      <c r="B1168" s="308"/>
      <c r="C1168" s="86"/>
      <c r="D1168" s="86"/>
      <c r="E1168" s="86"/>
      <c r="F1168" s="308"/>
    </row>
    <row r="1169" spans="2:6">
      <c r="B1169" s="308"/>
      <c r="C1169" s="86"/>
      <c r="D1169" s="86"/>
      <c r="E1169" s="86"/>
      <c r="F1169" s="308"/>
    </row>
    <row r="1170" spans="2:6">
      <c r="B1170" s="308"/>
      <c r="C1170" s="86"/>
      <c r="D1170" s="86"/>
      <c r="E1170" s="86"/>
      <c r="F1170" s="308"/>
    </row>
    <row r="1171" spans="2:6">
      <c r="B1171" s="308"/>
      <c r="C1171" s="86"/>
      <c r="D1171" s="86"/>
      <c r="E1171" s="86"/>
      <c r="F1171" s="308"/>
    </row>
    <row r="1172" spans="2:6">
      <c r="B1172" s="308"/>
      <c r="C1172" s="86"/>
      <c r="D1172" s="86"/>
      <c r="E1172" s="86"/>
      <c r="F1172" s="308"/>
    </row>
    <row r="1173" spans="2:6">
      <c r="B1173" s="308"/>
      <c r="C1173" s="86"/>
      <c r="D1173" s="86"/>
      <c r="E1173" s="86"/>
      <c r="F1173" s="308"/>
    </row>
    <row r="1174" spans="2:6">
      <c r="B1174" s="308"/>
      <c r="C1174" s="86"/>
      <c r="D1174" s="86"/>
      <c r="E1174" s="86"/>
      <c r="F1174" s="308"/>
    </row>
    <row r="1175" spans="2:6">
      <c r="B1175" s="308"/>
      <c r="C1175" s="86"/>
      <c r="D1175" s="86"/>
      <c r="E1175" s="86"/>
      <c r="F1175" s="308"/>
    </row>
    <row r="1176" spans="2:6">
      <c r="B1176" s="308"/>
      <c r="C1176" s="86"/>
      <c r="D1176" s="86"/>
      <c r="E1176" s="86"/>
      <c r="F1176" s="308"/>
    </row>
    <row r="1177" spans="2:6">
      <c r="B1177" s="308"/>
      <c r="C1177" s="86"/>
      <c r="D1177" s="86"/>
      <c r="E1177" s="86"/>
      <c r="F1177" s="308"/>
    </row>
    <row r="1178" spans="2:6">
      <c r="B1178" s="308"/>
      <c r="C1178" s="86"/>
      <c r="D1178" s="86"/>
      <c r="E1178" s="86"/>
      <c r="F1178" s="308"/>
    </row>
    <row r="1179" spans="2:6">
      <c r="B1179" s="308"/>
      <c r="C1179" s="86"/>
      <c r="D1179" s="86"/>
      <c r="E1179" s="86"/>
      <c r="F1179" s="308"/>
    </row>
    <row r="1180" spans="2:6">
      <c r="B1180" s="308"/>
      <c r="C1180" s="86"/>
      <c r="D1180" s="86"/>
      <c r="E1180" s="86"/>
      <c r="F1180" s="308"/>
    </row>
    <row r="1181" spans="2:6">
      <c r="B1181" s="308"/>
      <c r="C1181" s="86"/>
      <c r="D1181" s="86"/>
      <c r="E1181" s="86"/>
      <c r="F1181" s="308"/>
    </row>
    <row r="1182" spans="2:6">
      <c r="B1182" s="308"/>
      <c r="C1182" s="86"/>
      <c r="D1182" s="86"/>
      <c r="E1182" s="86"/>
      <c r="F1182" s="308"/>
    </row>
    <row r="1183" spans="2:6">
      <c r="B1183" s="308"/>
      <c r="C1183" s="86"/>
      <c r="D1183" s="86"/>
      <c r="E1183" s="86"/>
      <c r="F1183" s="308"/>
    </row>
    <row r="1184" spans="2:6">
      <c r="B1184" s="308"/>
      <c r="C1184" s="86"/>
      <c r="D1184" s="86"/>
      <c r="E1184" s="86"/>
      <c r="F1184" s="308"/>
    </row>
    <row r="1185" spans="2:6">
      <c r="B1185" s="308"/>
      <c r="C1185" s="86"/>
      <c r="D1185" s="86"/>
      <c r="E1185" s="86"/>
      <c r="F1185" s="308"/>
    </row>
    <row r="1186" spans="2:6">
      <c r="B1186" s="308"/>
      <c r="C1186" s="86"/>
      <c r="D1186" s="86"/>
      <c r="E1186" s="86"/>
      <c r="F1186" s="308"/>
    </row>
    <row r="1187" spans="2:6">
      <c r="B1187" s="308"/>
      <c r="C1187" s="86"/>
      <c r="D1187" s="86"/>
      <c r="E1187" s="86"/>
      <c r="F1187" s="308"/>
    </row>
    <row r="1188" spans="2:6">
      <c r="B1188" s="308"/>
      <c r="C1188" s="86"/>
      <c r="D1188" s="86"/>
      <c r="E1188" s="86"/>
      <c r="F1188" s="308"/>
    </row>
    <row r="1189" spans="2:6">
      <c r="B1189" s="308"/>
      <c r="C1189" s="86"/>
      <c r="D1189" s="86"/>
      <c r="E1189" s="86"/>
      <c r="F1189" s="308"/>
    </row>
    <row r="1190" spans="2:6">
      <c r="B1190" s="308"/>
      <c r="C1190" s="86"/>
      <c r="D1190" s="86"/>
      <c r="E1190" s="86"/>
      <c r="F1190" s="308"/>
    </row>
    <row r="1191" spans="2:6">
      <c r="B1191" s="308"/>
      <c r="C1191" s="86"/>
      <c r="D1191" s="86"/>
      <c r="E1191" s="86"/>
      <c r="F1191" s="308"/>
    </row>
    <row r="1192" spans="2:6">
      <c r="B1192" s="308"/>
      <c r="C1192" s="86"/>
      <c r="D1192" s="86"/>
      <c r="E1192" s="86"/>
      <c r="F1192" s="308"/>
    </row>
    <row r="1193" spans="2:6">
      <c r="B1193" s="308"/>
      <c r="C1193" s="86"/>
      <c r="D1193" s="86"/>
      <c r="E1193" s="86"/>
      <c r="F1193" s="308"/>
    </row>
    <row r="1194" spans="2:6">
      <c r="B1194" s="308"/>
      <c r="C1194" s="86"/>
      <c r="D1194" s="86"/>
      <c r="E1194" s="86"/>
      <c r="F1194" s="308"/>
    </row>
    <row r="1195" spans="2:6">
      <c r="B1195" s="308"/>
      <c r="C1195" s="86"/>
      <c r="D1195" s="86"/>
      <c r="E1195" s="86"/>
      <c r="F1195" s="308"/>
    </row>
    <row r="1196" spans="2:6">
      <c r="B1196" s="308"/>
      <c r="C1196" s="86"/>
      <c r="D1196" s="86"/>
      <c r="E1196" s="86"/>
      <c r="F1196" s="308"/>
    </row>
    <row r="1197" spans="2:6">
      <c r="B1197" s="308"/>
      <c r="C1197" s="86"/>
      <c r="D1197" s="86"/>
      <c r="E1197" s="86"/>
      <c r="F1197" s="308"/>
    </row>
    <row r="1198" spans="2:6">
      <c r="B1198" s="308"/>
      <c r="C1198" s="86"/>
      <c r="D1198" s="86"/>
      <c r="E1198" s="86"/>
      <c r="F1198" s="308"/>
    </row>
    <row r="1199" spans="2:6">
      <c r="B1199" s="308"/>
      <c r="C1199" s="86"/>
      <c r="D1199" s="86"/>
      <c r="E1199" s="86"/>
      <c r="F1199" s="308"/>
    </row>
    <row r="1200" spans="2:6">
      <c r="B1200" s="308"/>
      <c r="C1200" s="86"/>
      <c r="D1200" s="86"/>
      <c r="E1200" s="86"/>
      <c r="F1200" s="308"/>
    </row>
    <row r="1201" spans="2:6">
      <c r="B1201" s="308"/>
      <c r="C1201" s="86"/>
      <c r="D1201" s="86"/>
      <c r="E1201" s="86"/>
      <c r="F1201" s="308"/>
    </row>
    <row r="1202" spans="2:6">
      <c r="B1202" s="308"/>
      <c r="C1202" s="86"/>
      <c r="D1202" s="86"/>
      <c r="E1202" s="86"/>
      <c r="F1202" s="308"/>
    </row>
    <row r="1203" spans="2:6">
      <c r="B1203" s="308"/>
      <c r="C1203" s="86"/>
      <c r="D1203" s="86"/>
      <c r="E1203" s="86"/>
      <c r="F1203" s="308"/>
    </row>
    <row r="1204" spans="2:6">
      <c r="B1204" s="308"/>
      <c r="C1204" s="86"/>
      <c r="D1204" s="86"/>
      <c r="E1204" s="86"/>
      <c r="F1204" s="308"/>
    </row>
    <row r="1205" spans="2:6">
      <c r="B1205" s="308"/>
      <c r="C1205" s="86"/>
      <c r="D1205" s="86"/>
      <c r="E1205" s="86"/>
      <c r="F1205" s="308"/>
    </row>
    <row r="1206" spans="2:6">
      <c r="B1206" s="308"/>
      <c r="C1206" s="86"/>
      <c r="D1206" s="86"/>
      <c r="E1206" s="86"/>
      <c r="F1206" s="308"/>
    </row>
    <row r="1207" spans="2:6">
      <c r="B1207" s="308"/>
      <c r="C1207" s="86"/>
      <c r="D1207" s="86"/>
      <c r="E1207" s="86"/>
      <c r="F1207" s="308"/>
    </row>
    <row r="1208" spans="2:6">
      <c r="B1208" s="308"/>
      <c r="C1208" s="86"/>
      <c r="D1208" s="86"/>
      <c r="E1208" s="86"/>
      <c r="F1208" s="308"/>
    </row>
    <row r="1209" spans="2:6">
      <c r="B1209" s="308"/>
      <c r="C1209" s="86"/>
      <c r="D1209" s="86"/>
      <c r="E1209" s="86"/>
      <c r="F1209" s="308"/>
    </row>
    <row r="1210" spans="2:6">
      <c r="B1210" s="308"/>
      <c r="C1210" s="86"/>
      <c r="D1210" s="86"/>
      <c r="E1210" s="86"/>
      <c r="F1210" s="308"/>
    </row>
    <row r="1211" spans="2:6">
      <c r="B1211" s="308"/>
      <c r="C1211" s="86"/>
      <c r="D1211" s="86"/>
      <c r="E1211" s="86"/>
      <c r="F1211" s="308"/>
    </row>
    <row r="1212" spans="2:6">
      <c r="B1212" s="308"/>
      <c r="C1212" s="86"/>
      <c r="D1212" s="86"/>
      <c r="E1212" s="86"/>
      <c r="F1212" s="308"/>
    </row>
    <row r="1213" spans="2:6">
      <c r="B1213" s="308"/>
      <c r="C1213" s="86"/>
      <c r="D1213" s="86"/>
      <c r="E1213" s="86"/>
      <c r="F1213" s="308"/>
    </row>
    <row r="1214" spans="2:6">
      <c r="B1214" s="308"/>
      <c r="C1214" s="86"/>
      <c r="D1214" s="86"/>
      <c r="E1214" s="86"/>
      <c r="F1214" s="308"/>
    </row>
    <row r="1215" spans="2:6">
      <c r="B1215" s="308"/>
      <c r="C1215" s="86"/>
      <c r="D1215" s="86"/>
      <c r="E1215" s="86"/>
      <c r="F1215" s="308"/>
    </row>
    <row r="1216" spans="2:6">
      <c r="B1216" s="308"/>
      <c r="C1216" s="86"/>
      <c r="D1216" s="86"/>
      <c r="E1216" s="86"/>
      <c r="F1216" s="308"/>
    </row>
    <row r="1217" spans="2:6">
      <c r="B1217" s="308"/>
      <c r="C1217" s="86"/>
      <c r="D1217" s="86"/>
      <c r="E1217" s="86"/>
      <c r="F1217" s="308"/>
    </row>
    <row r="1218" spans="2:6">
      <c r="B1218" s="308"/>
      <c r="C1218" s="86"/>
      <c r="D1218" s="86"/>
      <c r="E1218" s="86"/>
      <c r="F1218" s="308"/>
    </row>
    <row r="1219" spans="2:6">
      <c r="B1219" s="308"/>
      <c r="C1219" s="86"/>
      <c r="D1219" s="86"/>
      <c r="E1219" s="86"/>
      <c r="F1219" s="308"/>
    </row>
    <row r="1220" spans="2:6">
      <c r="B1220" s="308"/>
      <c r="C1220" s="86"/>
      <c r="D1220" s="86"/>
      <c r="E1220" s="86"/>
      <c r="F1220" s="308"/>
    </row>
    <row r="1221" spans="2:6">
      <c r="B1221" s="308"/>
      <c r="C1221" s="86"/>
      <c r="D1221" s="86"/>
      <c r="E1221" s="86"/>
      <c r="F1221" s="308"/>
    </row>
    <row r="1222" spans="2:6">
      <c r="B1222" s="308"/>
      <c r="C1222" s="86"/>
      <c r="D1222" s="86"/>
      <c r="E1222" s="86"/>
      <c r="F1222" s="308"/>
    </row>
    <row r="1223" spans="2:6">
      <c r="B1223" s="308"/>
      <c r="C1223" s="86"/>
      <c r="D1223" s="86"/>
      <c r="E1223" s="86"/>
      <c r="F1223" s="308"/>
    </row>
    <row r="1224" spans="2:6">
      <c r="B1224" s="308"/>
      <c r="C1224" s="86"/>
      <c r="D1224" s="86"/>
      <c r="E1224" s="86"/>
      <c r="F1224" s="308"/>
    </row>
    <row r="1225" spans="2:6">
      <c r="B1225" s="308"/>
      <c r="C1225" s="86"/>
      <c r="D1225" s="86"/>
      <c r="E1225" s="86"/>
      <c r="F1225" s="308"/>
    </row>
    <row r="1226" spans="2:6">
      <c r="B1226" s="308"/>
      <c r="C1226" s="86"/>
      <c r="D1226" s="86"/>
      <c r="E1226" s="86"/>
      <c r="F1226" s="308"/>
    </row>
    <row r="1227" spans="2:6">
      <c r="B1227" s="308"/>
      <c r="C1227" s="86"/>
      <c r="D1227" s="86"/>
      <c r="E1227" s="86"/>
      <c r="F1227" s="308"/>
    </row>
    <row r="1228" spans="2:6">
      <c r="B1228" s="308"/>
      <c r="C1228" s="86"/>
      <c r="D1228" s="86"/>
      <c r="E1228" s="86"/>
      <c r="F1228" s="308"/>
    </row>
    <row r="1229" spans="2:6">
      <c r="B1229" s="308"/>
      <c r="C1229" s="86"/>
      <c r="D1229" s="86"/>
      <c r="E1229" s="86"/>
      <c r="F1229" s="308"/>
    </row>
    <row r="1230" spans="2:6">
      <c r="B1230" s="308"/>
      <c r="C1230" s="86"/>
      <c r="D1230" s="86"/>
      <c r="E1230" s="86"/>
      <c r="F1230" s="308"/>
    </row>
    <row r="1231" spans="2:6">
      <c r="B1231" s="308"/>
      <c r="C1231" s="86"/>
      <c r="D1231" s="86"/>
      <c r="E1231" s="86"/>
      <c r="F1231" s="308"/>
    </row>
    <row r="1232" spans="2:6">
      <c r="B1232" s="308"/>
      <c r="C1232" s="86"/>
      <c r="D1232" s="86"/>
      <c r="E1232" s="86"/>
      <c r="F1232" s="308"/>
    </row>
    <row r="1233" spans="2:6">
      <c r="B1233" s="308"/>
      <c r="C1233" s="86"/>
      <c r="D1233" s="86"/>
      <c r="E1233" s="86"/>
      <c r="F1233" s="308"/>
    </row>
    <row r="1234" spans="2:6">
      <c r="B1234" s="308"/>
      <c r="C1234" s="86"/>
      <c r="D1234" s="86"/>
      <c r="E1234" s="86"/>
      <c r="F1234" s="308"/>
    </row>
    <row r="1235" spans="2:6">
      <c r="B1235" s="308"/>
      <c r="C1235" s="86"/>
      <c r="D1235" s="86"/>
      <c r="E1235" s="86"/>
      <c r="F1235" s="308"/>
    </row>
    <row r="1236" spans="2:6">
      <c r="B1236" s="308"/>
      <c r="C1236" s="86"/>
      <c r="D1236" s="86"/>
      <c r="E1236" s="86"/>
      <c r="F1236" s="308"/>
    </row>
    <row r="1237" spans="2:6">
      <c r="B1237" s="308"/>
      <c r="C1237" s="86"/>
      <c r="D1237" s="86"/>
      <c r="E1237" s="86"/>
      <c r="F1237" s="308"/>
    </row>
    <row r="1238" spans="2:6">
      <c r="B1238" s="308"/>
      <c r="C1238" s="86"/>
      <c r="D1238" s="86"/>
      <c r="E1238" s="86"/>
      <c r="F1238" s="308"/>
    </row>
    <row r="1239" spans="2:6">
      <c r="B1239" s="308"/>
      <c r="C1239" s="86"/>
      <c r="D1239" s="86"/>
      <c r="E1239" s="86"/>
      <c r="F1239" s="308"/>
    </row>
    <row r="1240" spans="2:6">
      <c r="B1240" s="308"/>
      <c r="C1240" s="86"/>
      <c r="D1240" s="86"/>
      <c r="E1240" s="86"/>
      <c r="F1240" s="308"/>
    </row>
    <row r="1241" spans="2:6">
      <c r="B1241" s="308"/>
      <c r="C1241" s="86"/>
      <c r="D1241" s="86"/>
      <c r="E1241" s="86"/>
      <c r="F1241" s="308"/>
    </row>
    <row r="1242" spans="2:6">
      <c r="B1242" s="308"/>
      <c r="C1242" s="86"/>
      <c r="D1242" s="86"/>
      <c r="E1242" s="86"/>
      <c r="F1242" s="308"/>
    </row>
    <row r="1243" spans="2:6">
      <c r="B1243" s="308"/>
      <c r="C1243" s="86"/>
      <c r="D1243" s="86"/>
      <c r="E1243" s="86"/>
      <c r="F1243" s="308"/>
    </row>
    <row r="1244" spans="2:6">
      <c r="B1244" s="308"/>
      <c r="C1244" s="86"/>
      <c r="D1244" s="86"/>
      <c r="E1244" s="86"/>
      <c r="F1244" s="308"/>
    </row>
    <row r="1245" spans="2:6">
      <c r="B1245" s="308"/>
      <c r="C1245" s="86"/>
      <c r="D1245" s="86"/>
      <c r="E1245" s="86"/>
      <c r="F1245" s="308"/>
    </row>
    <row r="1246" spans="2:6">
      <c r="B1246" s="308"/>
      <c r="C1246" s="86"/>
      <c r="D1246" s="86"/>
      <c r="E1246" s="86"/>
      <c r="F1246" s="308"/>
    </row>
    <row r="1247" spans="2:6">
      <c r="B1247" s="308"/>
      <c r="C1247" s="86"/>
      <c r="D1247" s="86"/>
      <c r="E1247" s="86"/>
      <c r="F1247" s="308"/>
    </row>
    <row r="1248" spans="2:6">
      <c r="B1248" s="308"/>
      <c r="C1248" s="86"/>
      <c r="D1248" s="86"/>
      <c r="E1248" s="86"/>
      <c r="F1248" s="308"/>
    </row>
    <row r="1249" spans="2:6">
      <c r="B1249" s="308"/>
      <c r="C1249" s="86"/>
      <c r="D1249" s="86"/>
      <c r="E1249" s="86"/>
      <c r="F1249" s="308"/>
    </row>
    <row r="1250" spans="2:6">
      <c r="B1250" s="308"/>
      <c r="C1250" s="86"/>
      <c r="D1250" s="86"/>
      <c r="E1250" s="86"/>
      <c r="F1250" s="308"/>
    </row>
    <row r="1251" spans="2:6">
      <c r="B1251" s="308"/>
      <c r="C1251" s="86"/>
      <c r="D1251" s="86"/>
      <c r="E1251" s="86"/>
      <c r="F1251" s="308"/>
    </row>
    <row r="1252" spans="2:6">
      <c r="B1252" s="308"/>
      <c r="C1252" s="86"/>
      <c r="D1252" s="86"/>
      <c r="E1252" s="86"/>
      <c r="F1252" s="308"/>
    </row>
    <row r="1253" spans="2:6">
      <c r="B1253" s="308"/>
      <c r="C1253" s="86"/>
      <c r="D1253" s="86"/>
      <c r="E1253" s="86"/>
      <c r="F1253" s="308"/>
    </row>
    <row r="1254" spans="2:6">
      <c r="B1254" s="308"/>
      <c r="C1254" s="86"/>
      <c r="D1254" s="86"/>
      <c r="E1254" s="86"/>
      <c r="F1254" s="308"/>
    </row>
    <row r="1255" spans="2:6">
      <c r="B1255" s="308"/>
      <c r="C1255" s="86"/>
      <c r="D1255" s="86"/>
      <c r="E1255" s="86"/>
      <c r="F1255" s="308"/>
    </row>
    <row r="1256" spans="2:6">
      <c r="B1256" s="308"/>
      <c r="C1256" s="86"/>
      <c r="D1256" s="86"/>
      <c r="E1256" s="86"/>
      <c r="F1256" s="308"/>
    </row>
    <row r="1257" spans="2:6">
      <c r="B1257" s="308"/>
      <c r="C1257" s="86"/>
      <c r="D1257" s="86"/>
      <c r="E1257" s="86"/>
      <c r="F1257" s="308"/>
    </row>
    <row r="1258" spans="2:6">
      <c r="B1258" s="308"/>
      <c r="C1258" s="86"/>
      <c r="D1258" s="86"/>
      <c r="E1258" s="86"/>
      <c r="F1258" s="308"/>
    </row>
    <row r="1259" spans="2:6">
      <c r="B1259" s="308"/>
      <c r="C1259" s="86"/>
      <c r="D1259" s="86"/>
      <c r="E1259" s="86"/>
      <c r="F1259" s="308"/>
    </row>
    <row r="1260" spans="2:6">
      <c r="B1260" s="308"/>
      <c r="C1260" s="86"/>
      <c r="D1260" s="86"/>
      <c r="E1260" s="86"/>
      <c r="F1260" s="308"/>
    </row>
    <row r="1261" spans="2:6">
      <c r="B1261" s="308"/>
      <c r="C1261" s="86"/>
      <c r="D1261" s="86"/>
      <c r="E1261" s="86"/>
      <c r="F1261" s="308"/>
    </row>
    <row r="1262" spans="2:6">
      <c r="B1262" s="308"/>
      <c r="C1262" s="86"/>
      <c r="D1262" s="86"/>
      <c r="E1262" s="86"/>
      <c r="F1262" s="308"/>
    </row>
    <row r="1263" spans="2:6">
      <c r="B1263" s="308"/>
      <c r="C1263" s="86"/>
      <c r="D1263" s="86"/>
      <c r="E1263" s="86"/>
      <c r="F1263" s="308"/>
    </row>
    <row r="1264" spans="2:6">
      <c r="B1264" s="308"/>
      <c r="C1264" s="86"/>
      <c r="D1264" s="86"/>
      <c r="E1264" s="86"/>
      <c r="F1264" s="308"/>
    </row>
    <row r="1265" spans="2:6">
      <c r="B1265" s="308"/>
      <c r="C1265" s="86"/>
      <c r="D1265" s="86"/>
      <c r="E1265" s="86"/>
      <c r="F1265" s="308"/>
    </row>
    <row r="1266" spans="2:6">
      <c r="B1266" s="308"/>
      <c r="C1266" s="86"/>
      <c r="D1266" s="86"/>
      <c r="E1266" s="86"/>
      <c r="F1266" s="308"/>
    </row>
    <row r="1267" spans="2:6">
      <c r="B1267" s="308"/>
      <c r="C1267" s="86"/>
      <c r="D1267" s="86"/>
      <c r="E1267" s="86"/>
      <c r="F1267" s="308"/>
    </row>
    <row r="1268" spans="2:6">
      <c r="B1268" s="308"/>
      <c r="C1268" s="86"/>
      <c r="D1268" s="86"/>
      <c r="E1268" s="86"/>
      <c r="F1268" s="308"/>
    </row>
    <row r="1269" spans="2:6">
      <c r="B1269" s="308"/>
      <c r="C1269" s="86"/>
      <c r="D1269" s="86"/>
      <c r="E1269" s="86"/>
      <c r="F1269" s="308"/>
    </row>
    <row r="1270" spans="2:6">
      <c r="B1270" s="308"/>
      <c r="C1270" s="86"/>
      <c r="D1270" s="86"/>
      <c r="E1270" s="86"/>
      <c r="F1270" s="308"/>
    </row>
    <row r="1271" spans="2:6">
      <c r="B1271" s="308"/>
      <c r="C1271" s="86"/>
      <c r="D1271" s="86"/>
      <c r="E1271" s="86"/>
      <c r="F1271" s="308"/>
    </row>
    <row r="1272" spans="2:6">
      <c r="B1272" s="308"/>
      <c r="C1272" s="86"/>
      <c r="D1272" s="86"/>
      <c r="E1272" s="86"/>
      <c r="F1272" s="308"/>
    </row>
    <row r="1273" spans="2:6">
      <c r="B1273" s="308"/>
      <c r="C1273" s="86"/>
      <c r="D1273" s="86"/>
      <c r="E1273" s="86"/>
      <c r="F1273" s="308"/>
    </row>
    <row r="1274" spans="2:6">
      <c r="B1274" s="308"/>
      <c r="C1274" s="86"/>
      <c r="D1274" s="86"/>
      <c r="E1274" s="86"/>
      <c r="F1274" s="308"/>
    </row>
    <row r="1275" spans="2:6">
      <c r="B1275" s="308"/>
      <c r="C1275" s="86"/>
      <c r="D1275" s="86"/>
      <c r="E1275" s="86"/>
      <c r="F1275" s="308"/>
    </row>
    <row r="1276" spans="2:6">
      <c r="B1276" s="308"/>
      <c r="C1276" s="86"/>
      <c r="D1276" s="86"/>
      <c r="E1276" s="86"/>
      <c r="F1276" s="308"/>
    </row>
    <row r="1277" spans="2:6">
      <c r="B1277" s="308"/>
      <c r="C1277" s="86"/>
      <c r="D1277" s="86"/>
      <c r="E1277" s="86"/>
      <c r="F1277" s="308"/>
    </row>
    <row r="1278" spans="2:6">
      <c r="B1278" s="308"/>
      <c r="C1278" s="86"/>
      <c r="D1278" s="86"/>
      <c r="E1278" s="86"/>
      <c r="F1278" s="308"/>
    </row>
    <row r="1279" spans="2:6">
      <c r="B1279" s="308"/>
      <c r="C1279" s="86"/>
      <c r="D1279" s="86"/>
      <c r="E1279" s="86"/>
      <c r="F1279" s="308"/>
    </row>
    <row r="1280" spans="2:6">
      <c r="B1280" s="308"/>
      <c r="C1280" s="86"/>
      <c r="D1280" s="86"/>
      <c r="E1280" s="86"/>
      <c r="F1280" s="308"/>
    </row>
    <row r="1281" spans="2:6">
      <c r="B1281" s="308"/>
      <c r="C1281" s="86"/>
      <c r="D1281" s="86"/>
      <c r="E1281" s="86"/>
      <c r="F1281" s="308"/>
    </row>
    <row r="1282" spans="2:6">
      <c r="B1282" s="308"/>
      <c r="C1282" s="86"/>
      <c r="D1282" s="86"/>
      <c r="E1282" s="86"/>
      <c r="F1282" s="308"/>
    </row>
    <row r="1283" spans="2:6">
      <c r="B1283" s="308"/>
      <c r="C1283" s="86"/>
      <c r="D1283" s="86"/>
      <c r="E1283" s="86"/>
      <c r="F1283" s="308"/>
    </row>
    <row r="1284" spans="2:6">
      <c r="B1284" s="308"/>
      <c r="C1284" s="86"/>
      <c r="D1284" s="86"/>
      <c r="E1284" s="86"/>
      <c r="F1284" s="308"/>
    </row>
    <row r="1285" spans="2:6">
      <c r="B1285" s="308"/>
      <c r="C1285" s="86"/>
      <c r="D1285" s="86"/>
      <c r="E1285" s="86"/>
      <c r="F1285" s="308"/>
    </row>
    <row r="1286" spans="2:6">
      <c r="B1286" s="308"/>
      <c r="C1286" s="86"/>
      <c r="D1286" s="86"/>
      <c r="E1286" s="86"/>
      <c r="F1286" s="308"/>
    </row>
    <row r="1287" spans="2:6">
      <c r="B1287" s="308"/>
      <c r="C1287" s="86"/>
      <c r="D1287" s="86"/>
      <c r="E1287" s="86"/>
      <c r="F1287" s="308"/>
    </row>
    <row r="1288" spans="2:6">
      <c r="B1288" s="308"/>
      <c r="C1288" s="86"/>
      <c r="D1288" s="86"/>
      <c r="E1288" s="86"/>
      <c r="F1288" s="308"/>
    </row>
    <row r="1289" spans="2:6">
      <c r="B1289" s="308"/>
      <c r="C1289" s="86"/>
      <c r="D1289" s="86"/>
      <c r="E1289" s="86"/>
      <c r="F1289" s="308"/>
    </row>
    <row r="1290" spans="2:6">
      <c r="B1290" s="308"/>
      <c r="C1290" s="86"/>
      <c r="D1290" s="86"/>
      <c r="E1290" s="86"/>
      <c r="F1290" s="308"/>
    </row>
    <row r="1291" spans="2:6">
      <c r="B1291" s="308"/>
      <c r="C1291" s="86"/>
      <c r="D1291" s="86"/>
      <c r="E1291" s="86"/>
      <c r="F1291" s="308"/>
    </row>
    <row r="1292" spans="2:6">
      <c r="B1292" s="308"/>
      <c r="C1292" s="86"/>
      <c r="D1292" s="86"/>
      <c r="E1292" s="86"/>
      <c r="F1292" s="308"/>
    </row>
    <row r="1293" spans="2:6">
      <c r="B1293" s="308"/>
      <c r="C1293" s="86"/>
      <c r="D1293" s="86"/>
      <c r="E1293" s="86"/>
      <c r="F1293" s="308"/>
    </row>
    <row r="1294" spans="2:6">
      <c r="B1294" s="308"/>
      <c r="C1294" s="86"/>
      <c r="D1294" s="86"/>
      <c r="E1294" s="86"/>
      <c r="F1294" s="308"/>
    </row>
    <row r="1295" spans="2:6">
      <c r="B1295" s="308"/>
      <c r="C1295" s="86"/>
      <c r="D1295" s="86"/>
      <c r="E1295" s="86"/>
      <c r="F1295" s="308"/>
    </row>
    <row r="1296" spans="2:6">
      <c r="B1296" s="308"/>
      <c r="C1296" s="86"/>
      <c r="D1296" s="86"/>
      <c r="E1296" s="86"/>
      <c r="F1296" s="308"/>
    </row>
    <row r="1297" spans="2:6">
      <c r="B1297" s="308"/>
      <c r="C1297" s="86"/>
      <c r="D1297" s="86"/>
      <c r="E1297" s="86"/>
      <c r="F1297" s="308"/>
    </row>
    <row r="1298" spans="2:6">
      <c r="B1298" s="308"/>
      <c r="C1298" s="86"/>
      <c r="D1298" s="86"/>
      <c r="E1298" s="86"/>
      <c r="F1298" s="308"/>
    </row>
    <row r="1299" spans="2:6">
      <c r="B1299" s="308"/>
      <c r="C1299" s="86"/>
      <c r="D1299" s="86"/>
      <c r="E1299" s="86"/>
      <c r="F1299" s="308"/>
    </row>
    <row r="1300" spans="2:6">
      <c r="B1300" s="308"/>
      <c r="C1300" s="86"/>
      <c r="D1300" s="86"/>
      <c r="E1300" s="86"/>
      <c r="F1300" s="308"/>
    </row>
    <row r="1301" spans="2:6">
      <c r="B1301" s="308"/>
      <c r="C1301" s="86"/>
      <c r="D1301" s="86"/>
      <c r="E1301" s="86"/>
      <c r="F1301" s="308"/>
    </row>
    <row r="1302" spans="2:6">
      <c r="B1302" s="308"/>
      <c r="C1302" s="86"/>
      <c r="D1302" s="86"/>
      <c r="E1302" s="86"/>
      <c r="F1302" s="308"/>
    </row>
    <row r="1303" spans="2:6">
      <c r="B1303" s="308"/>
      <c r="C1303" s="86"/>
      <c r="D1303" s="86"/>
      <c r="E1303" s="86"/>
      <c r="F1303" s="308"/>
    </row>
    <row r="1304" spans="2:6">
      <c r="B1304" s="308"/>
      <c r="C1304" s="86"/>
      <c r="D1304" s="86"/>
      <c r="E1304" s="86"/>
      <c r="F1304" s="308"/>
    </row>
    <row r="1305" spans="2:6">
      <c r="B1305" s="308"/>
      <c r="C1305" s="86"/>
      <c r="D1305" s="86"/>
      <c r="E1305" s="86"/>
      <c r="F1305" s="308"/>
    </row>
    <row r="1306" spans="2:6">
      <c r="B1306" s="308"/>
      <c r="C1306" s="86"/>
      <c r="D1306" s="86"/>
      <c r="E1306" s="86"/>
      <c r="F1306" s="308"/>
    </row>
    <row r="1307" spans="2:6">
      <c r="B1307" s="308"/>
      <c r="C1307" s="86"/>
      <c r="D1307" s="86"/>
      <c r="E1307" s="86"/>
      <c r="F1307" s="308"/>
    </row>
    <row r="1308" spans="2:6">
      <c r="B1308" s="308"/>
      <c r="C1308" s="86"/>
      <c r="D1308" s="86"/>
      <c r="E1308" s="86"/>
      <c r="F1308" s="308"/>
    </row>
    <row r="1309" spans="2:6">
      <c r="B1309" s="308"/>
      <c r="C1309" s="86"/>
      <c r="D1309" s="86"/>
      <c r="E1309" s="86"/>
      <c r="F1309" s="308"/>
    </row>
    <row r="1310" spans="2:6">
      <c r="B1310" s="308"/>
      <c r="C1310" s="86"/>
      <c r="D1310" s="86"/>
      <c r="E1310" s="86"/>
      <c r="F1310" s="308"/>
    </row>
    <row r="1311" spans="2:6">
      <c r="B1311" s="308"/>
      <c r="C1311" s="86"/>
      <c r="D1311" s="86"/>
      <c r="E1311" s="86"/>
      <c r="F1311" s="308"/>
    </row>
    <row r="1312" spans="2:6">
      <c r="B1312" s="308"/>
      <c r="C1312" s="86"/>
      <c r="D1312" s="86"/>
      <c r="E1312" s="86"/>
      <c r="F1312" s="308"/>
    </row>
    <row r="1313" spans="2:6">
      <c r="B1313" s="308"/>
      <c r="C1313" s="86"/>
      <c r="D1313" s="86"/>
      <c r="E1313" s="86"/>
      <c r="F1313" s="308"/>
    </row>
    <row r="1314" spans="2:6">
      <c r="B1314" s="308"/>
      <c r="C1314" s="86"/>
      <c r="D1314" s="86"/>
      <c r="E1314" s="86"/>
      <c r="F1314" s="308"/>
    </row>
    <row r="1315" spans="2:6">
      <c r="B1315" s="308"/>
      <c r="C1315" s="86"/>
      <c r="D1315" s="86"/>
      <c r="E1315" s="86"/>
      <c r="F1315" s="308"/>
    </row>
    <row r="1316" spans="2:6">
      <c r="B1316" s="308"/>
      <c r="C1316" s="86"/>
      <c r="D1316" s="86"/>
      <c r="E1316" s="86"/>
      <c r="F1316" s="308"/>
    </row>
    <row r="1317" spans="2:6">
      <c r="B1317" s="308"/>
      <c r="C1317" s="86"/>
      <c r="D1317" s="86"/>
      <c r="E1317" s="86"/>
      <c r="F1317" s="308"/>
    </row>
    <row r="1318" spans="2:6">
      <c r="B1318" s="308"/>
      <c r="C1318" s="86"/>
      <c r="D1318" s="86"/>
      <c r="E1318" s="86"/>
      <c r="F1318" s="308"/>
    </row>
    <row r="1319" spans="2:6">
      <c r="B1319" s="308"/>
      <c r="C1319" s="86"/>
      <c r="D1319" s="86"/>
      <c r="E1319" s="86"/>
      <c r="F1319" s="308"/>
    </row>
    <row r="1320" spans="2:6">
      <c r="B1320" s="308"/>
      <c r="C1320" s="86"/>
      <c r="D1320" s="86"/>
      <c r="E1320" s="86"/>
      <c r="F1320" s="308"/>
    </row>
    <row r="1321" spans="2:6">
      <c r="B1321" s="308"/>
      <c r="C1321" s="86"/>
      <c r="D1321" s="86"/>
      <c r="E1321" s="86"/>
      <c r="F1321" s="308"/>
    </row>
    <row r="1322" spans="2:6">
      <c r="B1322" s="308"/>
      <c r="C1322" s="86"/>
      <c r="D1322" s="86"/>
      <c r="E1322" s="86"/>
      <c r="F1322" s="308"/>
    </row>
    <row r="1323" spans="2:6">
      <c r="B1323" s="308"/>
      <c r="C1323" s="86"/>
      <c r="D1323" s="86"/>
      <c r="E1323" s="86"/>
      <c r="F1323" s="308"/>
    </row>
    <row r="1324" spans="2:6">
      <c r="B1324" s="308"/>
      <c r="C1324" s="86"/>
      <c r="D1324" s="86"/>
      <c r="E1324" s="86"/>
      <c r="F1324" s="308"/>
    </row>
    <row r="1325" spans="2:6">
      <c r="B1325" s="308"/>
      <c r="C1325" s="86"/>
      <c r="D1325" s="86"/>
      <c r="E1325" s="86"/>
      <c r="F1325" s="308"/>
    </row>
    <row r="1326" spans="2:6">
      <c r="B1326" s="308"/>
      <c r="C1326" s="86"/>
      <c r="D1326" s="86"/>
      <c r="E1326" s="86"/>
      <c r="F1326" s="308"/>
    </row>
    <row r="1327" spans="2:6">
      <c r="B1327" s="308"/>
      <c r="C1327" s="86"/>
      <c r="D1327" s="86"/>
      <c r="E1327" s="86"/>
      <c r="F1327" s="308"/>
    </row>
    <row r="1328" spans="2:6">
      <c r="B1328" s="308"/>
      <c r="C1328" s="86"/>
      <c r="D1328" s="86"/>
      <c r="E1328" s="86"/>
      <c r="F1328" s="308"/>
    </row>
    <row r="1329" spans="2:6">
      <c r="B1329" s="308"/>
      <c r="C1329" s="86"/>
      <c r="D1329" s="86"/>
      <c r="E1329" s="86"/>
      <c r="F1329" s="308"/>
    </row>
    <row r="1330" spans="2:6">
      <c r="B1330" s="308"/>
      <c r="C1330" s="86"/>
      <c r="D1330" s="86"/>
      <c r="E1330" s="86"/>
      <c r="F1330" s="308"/>
    </row>
    <row r="1331" spans="2:6">
      <c r="B1331" s="308"/>
      <c r="C1331" s="86"/>
      <c r="D1331" s="86"/>
      <c r="E1331" s="86"/>
      <c r="F1331" s="308"/>
    </row>
    <row r="1332" spans="2:6">
      <c r="B1332" s="308"/>
      <c r="C1332" s="86"/>
      <c r="D1332" s="86"/>
      <c r="E1332" s="86"/>
      <c r="F1332" s="308"/>
    </row>
    <row r="1333" spans="2:6">
      <c r="B1333" s="308"/>
      <c r="C1333" s="86"/>
      <c r="D1333" s="86"/>
      <c r="E1333" s="86"/>
      <c r="F1333" s="308"/>
    </row>
    <row r="1334" spans="2:6">
      <c r="B1334" s="308"/>
      <c r="C1334" s="86"/>
      <c r="D1334" s="86"/>
      <c r="E1334" s="86"/>
      <c r="F1334" s="308"/>
    </row>
    <row r="1335" spans="2:6">
      <c r="B1335" s="308"/>
      <c r="C1335" s="86"/>
      <c r="D1335" s="86"/>
      <c r="E1335" s="86"/>
      <c r="F1335" s="308"/>
    </row>
    <row r="1336" spans="2:6">
      <c r="B1336" s="308"/>
      <c r="C1336" s="86"/>
      <c r="D1336" s="86"/>
      <c r="E1336" s="86"/>
      <c r="F1336" s="308"/>
    </row>
    <row r="1337" spans="2:6">
      <c r="B1337" s="308"/>
      <c r="C1337" s="86"/>
      <c r="D1337" s="86"/>
      <c r="E1337" s="86"/>
      <c r="F1337" s="308"/>
    </row>
    <row r="1338" spans="2:6">
      <c r="B1338" s="308"/>
      <c r="C1338" s="86"/>
      <c r="D1338" s="86"/>
      <c r="E1338" s="86"/>
      <c r="F1338" s="308"/>
    </row>
    <row r="1339" spans="2:6">
      <c r="B1339" s="308"/>
      <c r="C1339" s="86"/>
      <c r="D1339" s="86"/>
      <c r="E1339" s="86"/>
      <c r="F1339" s="308"/>
    </row>
    <row r="1340" spans="2:6">
      <c r="B1340" s="308"/>
      <c r="C1340" s="86"/>
      <c r="D1340" s="86"/>
      <c r="E1340" s="86"/>
      <c r="F1340" s="308"/>
    </row>
    <row r="1341" spans="2:6">
      <c r="B1341" s="308"/>
      <c r="C1341" s="86"/>
      <c r="D1341" s="86"/>
      <c r="E1341" s="86"/>
      <c r="F1341" s="308"/>
    </row>
    <row r="1342" spans="2:6">
      <c r="B1342" s="308"/>
      <c r="C1342" s="86"/>
      <c r="D1342" s="86"/>
      <c r="E1342" s="86"/>
      <c r="F1342" s="308"/>
    </row>
    <row r="1343" spans="2:6">
      <c r="B1343" s="308"/>
      <c r="C1343" s="86"/>
      <c r="D1343" s="86"/>
      <c r="E1343" s="86"/>
      <c r="F1343" s="308"/>
    </row>
    <row r="1344" spans="2:6">
      <c r="B1344" s="308"/>
      <c r="C1344" s="86"/>
      <c r="D1344" s="86"/>
      <c r="E1344" s="86"/>
      <c r="F1344" s="308"/>
    </row>
    <row r="1345" spans="2:6">
      <c r="B1345" s="308"/>
      <c r="C1345" s="86"/>
      <c r="D1345" s="86"/>
      <c r="E1345" s="86"/>
      <c r="F1345" s="308"/>
    </row>
    <row r="1346" spans="2:6">
      <c r="B1346" s="308"/>
      <c r="C1346" s="86"/>
      <c r="D1346" s="86"/>
      <c r="E1346" s="86"/>
      <c r="F1346" s="308"/>
    </row>
    <row r="1347" spans="2:6">
      <c r="B1347" s="308"/>
      <c r="C1347" s="86"/>
      <c r="D1347" s="86"/>
      <c r="E1347" s="86"/>
      <c r="F1347" s="308"/>
    </row>
    <row r="1348" spans="2:6">
      <c r="B1348" s="308"/>
      <c r="C1348" s="86"/>
      <c r="D1348" s="86"/>
      <c r="E1348" s="86"/>
      <c r="F1348" s="308"/>
    </row>
    <row r="1349" spans="2:6">
      <c r="B1349" s="308"/>
      <c r="C1349" s="86"/>
      <c r="D1349" s="86"/>
      <c r="E1349" s="86"/>
      <c r="F1349" s="308"/>
    </row>
    <row r="1350" spans="2:6">
      <c r="B1350" s="308"/>
      <c r="C1350" s="86"/>
      <c r="D1350" s="86"/>
      <c r="E1350" s="86"/>
      <c r="F1350" s="308"/>
    </row>
    <row r="1351" spans="2:6">
      <c r="B1351" s="308"/>
      <c r="C1351" s="86"/>
      <c r="D1351" s="86"/>
      <c r="E1351" s="86"/>
      <c r="F1351" s="308"/>
    </row>
    <row r="1352" spans="2:6">
      <c r="B1352" s="308"/>
      <c r="C1352" s="86"/>
      <c r="D1352" s="86"/>
      <c r="E1352" s="86"/>
      <c r="F1352" s="308"/>
    </row>
    <row r="1353" spans="2:6">
      <c r="B1353" s="308"/>
      <c r="C1353" s="86"/>
      <c r="D1353" s="86"/>
      <c r="E1353" s="86"/>
      <c r="F1353" s="308"/>
    </row>
    <row r="1354" spans="2:6">
      <c r="B1354" s="308"/>
      <c r="C1354" s="86"/>
      <c r="D1354" s="86"/>
      <c r="E1354" s="86"/>
      <c r="F1354" s="308"/>
    </row>
    <row r="1355" spans="2:6">
      <c r="B1355" s="308"/>
      <c r="C1355" s="86"/>
      <c r="D1355" s="86"/>
      <c r="E1355" s="86"/>
      <c r="F1355" s="308"/>
    </row>
    <row r="1356" spans="2:6">
      <c r="B1356" s="308"/>
      <c r="C1356" s="86"/>
      <c r="D1356" s="86"/>
      <c r="E1356" s="86"/>
      <c r="F1356" s="308"/>
    </row>
    <row r="1357" spans="2:6">
      <c r="B1357" s="308"/>
      <c r="C1357" s="86"/>
      <c r="D1357" s="86"/>
      <c r="E1357" s="86"/>
      <c r="F1357" s="308"/>
    </row>
    <row r="1358" spans="2:6">
      <c r="B1358" s="308"/>
      <c r="C1358" s="86"/>
      <c r="D1358" s="86"/>
      <c r="E1358" s="86"/>
      <c r="F1358" s="308"/>
    </row>
    <row r="1359" spans="2:6">
      <c r="B1359" s="308"/>
      <c r="C1359" s="86"/>
      <c r="D1359" s="86"/>
      <c r="E1359" s="86"/>
      <c r="F1359" s="308"/>
    </row>
    <row r="1360" spans="2:6">
      <c r="B1360" s="308"/>
      <c r="C1360" s="86"/>
      <c r="D1360" s="86"/>
      <c r="E1360" s="86"/>
      <c r="F1360" s="308"/>
    </row>
    <row r="1361" spans="2:6">
      <c r="B1361" s="308"/>
      <c r="C1361" s="86"/>
      <c r="D1361" s="86"/>
      <c r="E1361" s="86"/>
      <c r="F1361" s="308"/>
    </row>
    <row r="1362" spans="2:6">
      <c r="B1362" s="308"/>
      <c r="C1362" s="86"/>
      <c r="D1362" s="86"/>
      <c r="E1362" s="86"/>
      <c r="F1362" s="308"/>
    </row>
    <row r="1363" spans="2:6">
      <c r="B1363" s="308"/>
      <c r="C1363" s="86"/>
      <c r="D1363" s="86"/>
      <c r="E1363" s="86"/>
      <c r="F1363" s="308"/>
    </row>
    <row r="1364" spans="2:6">
      <c r="B1364" s="308"/>
      <c r="C1364" s="86"/>
      <c r="D1364" s="86"/>
      <c r="E1364" s="86"/>
      <c r="F1364" s="308"/>
    </row>
    <row r="1365" spans="2:6">
      <c r="B1365" s="308"/>
      <c r="C1365" s="86"/>
      <c r="D1365" s="86"/>
      <c r="E1365" s="86"/>
      <c r="F1365" s="308"/>
    </row>
    <row r="1366" spans="2:6">
      <c r="B1366" s="308"/>
      <c r="C1366" s="86"/>
      <c r="D1366" s="86"/>
      <c r="E1366" s="86"/>
      <c r="F1366" s="308"/>
    </row>
    <row r="1367" spans="2:6">
      <c r="B1367" s="308"/>
      <c r="C1367" s="86"/>
      <c r="D1367" s="86"/>
      <c r="E1367" s="86"/>
      <c r="F1367" s="308"/>
    </row>
    <row r="1368" spans="2:6">
      <c r="B1368" s="308"/>
      <c r="C1368" s="86"/>
      <c r="D1368" s="86"/>
      <c r="E1368" s="86"/>
      <c r="F1368" s="308"/>
    </row>
    <row r="1369" spans="2:6">
      <c r="B1369" s="308"/>
      <c r="C1369" s="86"/>
      <c r="D1369" s="86"/>
      <c r="E1369" s="86"/>
      <c r="F1369" s="308"/>
    </row>
    <row r="1370" spans="2:6">
      <c r="B1370" s="308"/>
      <c r="C1370" s="86"/>
      <c r="D1370" s="86"/>
      <c r="E1370" s="86"/>
      <c r="F1370" s="308"/>
    </row>
    <row r="1371" spans="2:6">
      <c r="B1371" s="308"/>
      <c r="C1371" s="86"/>
      <c r="D1371" s="86"/>
      <c r="E1371" s="86"/>
      <c r="F1371" s="308"/>
    </row>
    <row r="1372" spans="2:6">
      <c r="B1372" s="308"/>
      <c r="C1372" s="86"/>
      <c r="D1372" s="86"/>
      <c r="E1372" s="86"/>
      <c r="F1372" s="308"/>
    </row>
    <row r="1373" spans="2:6">
      <c r="B1373" s="308"/>
      <c r="C1373" s="86"/>
      <c r="D1373" s="86"/>
      <c r="E1373" s="86"/>
      <c r="F1373" s="308"/>
    </row>
    <row r="1374" spans="2:6">
      <c r="B1374" s="308"/>
      <c r="C1374" s="86"/>
      <c r="D1374" s="86"/>
      <c r="E1374" s="86"/>
      <c r="F1374" s="308"/>
    </row>
    <row r="1375" spans="2:6">
      <c r="B1375" s="308"/>
      <c r="C1375" s="86"/>
      <c r="D1375" s="86"/>
      <c r="E1375" s="86"/>
      <c r="F1375" s="308"/>
    </row>
    <row r="1376" spans="2:6">
      <c r="B1376" s="308"/>
      <c r="C1376" s="86"/>
      <c r="D1376" s="86"/>
      <c r="E1376" s="86"/>
      <c r="F1376" s="308"/>
    </row>
    <row r="1377" spans="2:6">
      <c r="B1377" s="308"/>
      <c r="C1377" s="86"/>
      <c r="D1377" s="86"/>
      <c r="E1377" s="86"/>
      <c r="F1377" s="308"/>
    </row>
    <row r="1378" spans="2:6">
      <c r="B1378" s="308"/>
      <c r="C1378" s="86"/>
      <c r="D1378" s="86"/>
      <c r="E1378" s="86"/>
      <c r="F1378" s="308"/>
    </row>
    <row r="1379" spans="2:6">
      <c r="B1379" s="308"/>
      <c r="C1379" s="86"/>
      <c r="D1379" s="86"/>
      <c r="E1379" s="86"/>
      <c r="F1379" s="308"/>
    </row>
    <row r="1380" spans="2:6">
      <c r="B1380" s="308"/>
      <c r="C1380" s="86"/>
      <c r="D1380" s="86"/>
      <c r="E1380" s="86"/>
      <c r="F1380" s="308"/>
    </row>
    <row r="1381" spans="2:6">
      <c r="B1381" s="308"/>
      <c r="C1381" s="86"/>
      <c r="D1381" s="86"/>
      <c r="E1381" s="86"/>
      <c r="F1381" s="308"/>
    </row>
    <row r="1382" spans="2:6">
      <c r="B1382" s="308"/>
      <c r="C1382" s="86"/>
      <c r="D1382" s="86"/>
      <c r="E1382" s="86"/>
      <c r="F1382" s="308"/>
    </row>
    <row r="1383" spans="2:6">
      <c r="B1383" s="308"/>
      <c r="C1383" s="86"/>
      <c r="D1383" s="86"/>
      <c r="E1383" s="86"/>
      <c r="F1383" s="308"/>
    </row>
    <row r="1384" spans="2:6">
      <c r="B1384" s="308"/>
      <c r="C1384" s="86"/>
      <c r="D1384" s="86"/>
      <c r="E1384" s="86"/>
      <c r="F1384" s="308"/>
    </row>
    <row r="1385" spans="2:6">
      <c r="B1385" s="308"/>
      <c r="C1385" s="86"/>
      <c r="D1385" s="86"/>
      <c r="E1385" s="86"/>
      <c r="F1385" s="308"/>
    </row>
    <row r="1386" spans="2:6">
      <c r="B1386" s="308"/>
      <c r="C1386" s="86"/>
      <c r="D1386" s="86"/>
      <c r="E1386" s="86"/>
      <c r="F1386" s="308"/>
    </row>
    <row r="1387" spans="2:6">
      <c r="B1387" s="308"/>
      <c r="C1387" s="86"/>
      <c r="D1387" s="86"/>
      <c r="E1387" s="86"/>
      <c r="F1387" s="308"/>
    </row>
    <row r="1388" spans="2:6">
      <c r="B1388" s="308"/>
      <c r="C1388" s="86"/>
      <c r="D1388" s="86"/>
      <c r="E1388" s="86"/>
      <c r="F1388" s="308"/>
    </row>
    <row r="1389" spans="2:6">
      <c r="B1389" s="308"/>
      <c r="C1389" s="86"/>
      <c r="D1389" s="86"/>
      <c r="E1389" s="86"/>
      <c r="F1389" s="308"/>
    </row>
    <row r="1390" spans="2:6">
      <c r="B1390" s="308"/>
      <c r="C1390" s="86"/>
      <c r="D1390" s="86"/>
      <c r="E1390" s="86"/>
      <c r="F1390" s="308"/>
    </row>
    <row r="1391" spans="2:6">
      <c r="B1391" s="308"/>
      <c r="C1391" s="86"/>
      <c r="D1391" s="86"/>
      <c r="E1391" s="86"/>
      <c r="F1391" s="308"/>
    </row>
    <row r="1392" spans="2:6">
      <c r="B1392" s="308"/>
      <c r="C1392" s="86"/>
      <c r="D1392" s="86"/>
      <c r="E1392" s="86"/>
      <c r="F1392" s="308"/>
    </row>
    <row r="1393" spans="2:6">
      <c r="B1393" s="308"/>
      <c r="C1393" s="86"/>
      <c r="D1393" s="86"/>
      <c r="E1393" s="86"/>
      <c r="F1393" s="308"/>
    </row>
    <row r="1394" spans="2:6">
      <c r="B1394" s="308"/>
      <c r="C1394" s="86"/>
      <c r="D1394" s="86"/>
      <c r="E1394" s="86"/>
      <c r="F1394" s="308"/>
    </row>
    <row r="1395" spans="2:6">
      <c r="B1395" s="308"/>
      <c r="C1395" s="86"/>
      <c r="D1395" s="86"/>
      <c r="E1395" s="86"/>
      <c r="F1395" s="308"/>
    </row>
    <row r="1396" spans="2:6">
      <c r="B1396" s="308"/>
      <c r="C1396" s="86"/>
      <c r="D1396" s="86"/>
      <c r="E1396" s="86"/>
      <c r="F1396" s="308"/>
    </row>
    <row r="1397" spans="2:6">
      <c r="B1397" s="308"/>
      <c r="C1397" s="86"/>
      <c r="D1397" s="86"/>
      <c r="E1397" s="86"/>
      <c r="F1397" s="308"/>
    </row>
    <row r="1398" spans="2:6">
      <c r="B1398" s="308"/>
      <c r="C1398" s="86"/>
      <c r="D1398" s="86"/>
      <c r="E1398" s="86"/>
      <c r="F1398" s="308"/>
    </row>
    <row r="1399" spans="2:6">
      <c r="B1399" s="308"/>
      <c r="C1399" s="86"/>
      <c r="D1399" s="86"/>
      <c r="E1399" s="86"/>
      <c r="F1399" s="308"/>
    </row>
    <row r="1400" spans="2:6">
      <c r="B1400" s="308"/>
      <c r="C1400" s="86"/>
      <c r="D1400" s="86"/>
      <c r="E1400" s="86"/>
      <c r="F1400" s="308"/>
    </row>
    <row r="1401" spans="2:6">
      <c r="B1401" s="308"/>
      <c r="C1401" s="86"/>
      <c r="D1401" s="86"/>
      <c r="E1401" s="86"/>
      <c r="F1401" s="308"/>
    </row>
    <row r="1402" spans="2:6">
      <c r="B1402" s="308"/>
      <c r="C1402" s="86"/>
      <c r="D1402" s="86"/>
      <c r="E1402" s="86"/>
      <c r="F1402" s="308"/>
    </row>
    <row r="1403" spans="2:6">
      <c r="B1403" s="308"/>
      <c r="C1403" s="86"/>
      <c r="D1403" s="86"/>
      <c r="E1403" s="86"/>
      <c r="F1403" s="308"/>
    </row>
    <row r="1404" spans="2:6">
      <c r="B1404" s="308"/>
      <c r="C1404" s="86"/>
      <c r="D1404" s="86"/>
      <c r="E1404" s="86"/>
      <c r="F1404" s="308"/>
    </row>
    <row r="1405" spans="2:6">
      <c r="B1405" s="308"/>
      <c r="C1405" s="86"/>
      <c r="D1405" s="86"/>
      <c r="E1405" s="86"/>
      <c r="F1405" s="308"/>
    </row>
    <row r="1406" spans="2:6">
      <c r="B1406" s="308"/>
      <c r="C1406" s="86"/>
      <c r="D1406" s="86"/>
      <c r="E1406" s="86"/>
      <c r="F1406" s="308"/>
    </row>
    <row r="1407" spans="2:6">
      <c r="B1407" s="308"/>
      <c r="C1407" s="86"/>
      <c r="D1407" s="86"/>
      <c r="E1407" s="86"/>
      <c r="F1407" s="308"/>
    </row>
    <row r="1408" spans="2:6">
      <c r="B1408" s="308"/>
      <c r="C1408" s="86"/>
      <c r="D1408" s="86"/>
      <c r="E1408" s="86"/>
      <c r="F1408" s="308"/>
    </row>
    <row r="1409" spans="2:6">
      <c r="B1409" s="308"/>
      <c r="C1409" s="86"/>
      <c r="D1409" s="86"/>
      <c r="E1409" s="86"/>
      <c r="F1409" s="308"/>
    </row>
    <row r="1410" spans="2:6">
      <c r="B1410" s="308"/>
      <c r="C1410" s="86"/>
      <c r="D1410" s="86"/>
      <c r="E1410" s="86"/>
      <c r="F1410" s="308"/>
    </row>
    <row r="1411" spans="2:6">
      <c r="B1411" s="308"/>
      <c r="C1411" s="86"/>
      <c r="D1411" s="86"/>
      <c r="E1411" s="86"/>
      <c r="F1411" s="308"/>
    </row>
    <row r="1412" spans="2:6">
      <c r="B1412" s="308"/>
      <c r="C1412" s="86"/>
      <c r="D1412" s="86"/>
      <c r="E1412" s="86"/>
      <c r="F1412" s="308"/>
    </row>
    <row r="1413" spans="2:6">
      <c r="B1413" s="308"/>
      <c r="C1413" s="86"/>
      <c r="D1413" s="86"/>
      <c r="E1413" s="86"/>
      <c r="F1413" s="308"/>
    </row>
    <row r="1414" spans="2:6">
      <c r="B1414" s="308"/>
      <c r="C1414" s="86"/>
      <c r="D1414" s="86"/>
      <c r="E1414" s="86"/>
      <c r="F1414" s="308"/>
    </row>
    <row r="1415" spans="2:6">
      <c r="B1415" s="308"/>
      <c r="C1415" s="86"/>
      <c r="D1415" s="86"/>
      <c r="E1415" s="86"/>
      <c r="F1415" s="308"/>
    </row>
    <row r="1416" spans="2:6">
      <c r="B1416" s="308"/>
      <c r="C1416" s="86"/>
      <c r="D1416" s="86"/>
      <c r="E1416" s="86"/>
      <c r="F1416" s="308"/>
    </row>
    <row r="1417" spans="2:6">
      <c r="B1417" s="308"/>
      <c r="C1417" s="86"/>
      <c r="D1417" s="86"/>
      <c r="E1417" s="86"/>
      <c r="F1417" s="308"/>
    </row>
    <row r="1418" spans="2:6">
      <c r="B1418" s="308"/>
      <c r="C1418" s="86"/>
      <c r="D1418" s="86"/>
      <c r="E1418" s="86"/>
      <c r="F1418" s="308"/>
    </row>
    <row r="1419" spans="2:6">
      <c r="B1419" s="308"/>
      <c r="C1419" s="86"/>
      <c r="D1419" s="86"/>
      <c r="E1419" s="86"/>
      <c r="F1419" s="308"/>
    </row>
    <row r="1420" spans="2:6">
      <c r="B1420" s="308"/>
      <c r="C1420" s="86"/>
      <c r="D1420" s="86"/>
      <c r="E1420" s="86"/>
      <c r="F1420" s="308"/>
    </row>
    <row r="1421" spans="2:6">
      <c r="B1421" s="308"/>
      <c r="C1421" s="86"/>
      <c r="D1421" s="86"/>
      <c r="E1421" s="86"/>
      <c r="F1421" s="308"/>
    </row>
    <row r="1422" spans="2:6">
      <c r="B1422" s="308"/>
      <c r="C1422" s="86"/>
      <c r="D1422" s="86"/>
      <c r="E1422" s="86"/>
      <c r="F1422" s="308"/>
    </row>
    <row r="1423" spans="2:6">
      <c r="B1423" s="308"/>
      <c r="C1423" s="86"/>
      <c r="D1423" s="86"/>
      <c r="E1423" s="86"/>
      <c r="F1423" s="308"/>
    </row>
    <row r="1424" spans="2:6">
      <c r="B1424" s="308"/>
      <c r="C1424" s="86"/>
      <c r="D1424" s="86"/>
      <c r="E1424" s="86"/>
      <c r="F1424" s="308"/>
    </row>
    <row r="1425" spans="2:6">
      <c r="B1425" s="308"/>
      <c r="C1425" s="86"/>
      <c r="D1425" s="86"/>
      <c r="E1425" s="86"/>
      <c r="F1425" s="308"/>
    </row>
    <row r="1426" spans="2:6">
      <c r="B1426" s="308"/>
      <c r="C1426" s="86"/>
      <c r="D1426" s="86"/>
      <c r="E1426" s="86"/>
      <c r="F1426" s="308"/>
    </row>
    <row r="1427" spans="2:6">
      <c r="B1427" s="308"/>
      <c r="C1427" s="86"/>
      <c r="D1427" s="86"/>
      <c r="E1427" s="86"/>
      <c r="F1427" s="308"/>
    </row>
    <row r="1428" spans="2:6">
      <c r="B1428" s="308"/>
      <c r="C1428" s="86"/>
      <c r="D1428" s="86"/>
      <c r="E1428" s="86"/>
      <c r="F1428" s="308"/>
    </row>
    <row r="1429" spans="2:6">
      <c r="B1429" s="308"/>
      <c r="C1429" s="86"/>
      <c r="D1429" s="86"/>
      <c r="E1429" s="86"/>
      <c r="F1429" s="308"/>
    </row>
    <row r="1430" spans="2:6">
      <c r="B1430" s="308"/>
      <c r="C1430" s="86"/>
      <c r="D1430" s="86"/>
      <c r="E1430" s="86"/>
      <c r="F1430" s="308"/>
    </row>
    <row r="1431" spans="2:6">
      <c r="B1431" s="308"/>
      <c r="C1431" s="86"/>
      <c r="D1431" s="86"/>
      <c r="E1431" s="86"/>
      <c r="F1431" s="308"/>
    </row>
    <row r="1432" spans="2:6">
      <c r="B1432" s="308"/>
      <c r="C1432" s="86"/>
      <c r="D1432" s="86"/>
      <c r="E1432" s="86"/>
      <c r="F1432" s="308"/>
    </row>
    <row r="1433" spans="2:6">
      <c r="B1433" s="308"/>
      <c r="C1433" s="86"/>
      <c r="D1433" s="86"/>
      <c r="E1433" s="86"/>
      <c r="F1433" s="308"/>
    </row>
    <row r="1434" spans="2:6">
      <c r="B1434" s="308"/>
      <c r="C1434" s="86"/>
      <c r="D1434" s="86"/>
      <c r="E1434" s="86"/>
      <c r="F1434" s="308"/>
    </row>
    <row r="1435" spans="2:6">
      <c r="B1435" s="308"/>
      <c r="C1435" s="86"/>
      <c r="D1435" s="86"/>
      <c r="E1435" s="86"/>
      <c r="F1435" s="308"/>
    </row>
    <row r="1436" spans="2:6">
      <c r="B1436" s="308"/>
      <c r="C1436" s="86"/>
      <c r="D1436" s="86"/>
      <c r="E1436" s="86"/>
      <c r="F1436" s="308"/>
    </row>
    <row r="1437" spans="2:6">
      <c r="B1437" s="308"/>
      <c r="C1437" s="86"/>
      <c r="D1437" s="86"/>
      <c r="E1437" s="86"/>
      <c r="F1437" s="308"/>
    </row>
    <row r="1438" spans="2:6">
      <c r="B1438" s="308"/>
      <c r="C1438" s="86"/>
      <c r="D1438" s="86"/>
      <c r="E1438" s="86"/>
      <c r="F1438" s="308"/>
    </row>
    <row r="1439" spans="2:6">
      <c r="B1439" s="308"/>
      <c r="C1439" s="86"/>
      <c r="D1439" s="86"/>
      <c r="E1439" s="86"/>
      <c r="F1439" s="308"/>
    </row>
    <row r="1440" spans="2:6">
      <c r="B1440" s="308"/>
      <c r="C1440" s="86"/>
      <c r="D1440" s="86"/>
      <c r="E1440" s="86"/>
      <c r="F1440" s="308"/>
    </row>
    <row r="1441" spans="2:6">
      <c r="B1441" s="308"/>
      <c r="C1441" s="86"/>
      <c r="D1441" s="86"/>
      <c r="E1441" s="86"/>
      <c r="F1441" s="308"/>
    </row>
    <row r="1442" spans="2:6">
      <c r="B1442" s="308"/>
      <c r="C1442" s="86"/>
      <c r="D1442" s="86"/>
      <c r="E1442" s="86"/>
      <c r="F1442" s="308"/>
    </row>
    <row r="1443" spans="2:6">
      <c r="B1443" s="308"/>
      <c r="C1443" s="86"/>
      <c r="D1443" s="86"/>
      <c r="E1443" s="86"/>
      <c r="F1443" s="308"/>
    </row>
    <row r="1444" spans="2:6">
      <c r="B1444" s="308"/>
      <c r="C1444" s="86"/>
      <c r="D1444" s="86"/>
      <c r="E1444" s="86"/>
      <c r="F1444" s="308"/>
    </row>
    <row r="1445" spans="2:6">
      <c r="B1445" s="308"/>
      <c r="C1445" s="86"/>
      <c r="D1445" s="86"/>
      <c r="E1445" s="86"/>
      <c r="F1445" s="308"/>
    </row>
    <row r="1446" spans="2:6">
      <c r="B1446" s="308"/>
      <c r="C1446" s="86"/>
      <c r="D1446" s="86"/>
      <c r="E1446" s="86"/>
      <c r="F1446" s="308"/>
    </row>
    <row r="1447" spans="2:6">
      <c r="B1447" s="308"/>
      <c r="C1447" s="86"/>
      <c r="D1447" s="86"/>
      <c r="E1447" s="86"/>
      <c r="F1447" s="308"/>
    </row>
    <row r="1448" spans="2:6">
      <c r="B1448" s="308"/>
      <c r="C1448" s="86"/>
      <c r="D1448" s="86"/>
      <c r="E1448" s="86"/>
      <c r="F1448" s="308"/>
    </row>
    <row r="1449" spans="2:6">
      <c r="B1449" s="308"/>
      <c r="C1449" s="86"/>
      <c r="D1449" s="86"/>
      <c r="E1449" s="86"/>
      <c r="F1449" s="308"/>
    </row>
    <row r="1450" spans="2:6">
      <c r="B1450" s="308"/>
      <c r="C1450" s="86"/>
      <c r="D1450" s="86"/>
      <c r="E1450" s="86"/>
      <c r="F1450" s="308"/>
    </row>
    <row r="1451" spans="2:6">
      <c r="B1451" s="308"/>
      <c r="C1451" s="86"/>
      <c r="D1451" s="86"/>
      <c r="E1451" s="86"/>
      <c r="F1451" s="308"/>
    </row>
    <row r="1452" spans="2:6">
      <c r="B1452" s="308"/>
      <c r="C1452" s="86"/>
      <c r="D1452" s="86"/>
      <c r="E1452" s="86"/>
      <c r="F1452" s="308"/>
    </row>
    <row r="1453" spans="2:6">
      <c r="B1453" s="308"/>
      <c r="C1453" s="86"/>
      <c r="D1453" s="86"/>
      <c r="E1453" s="86"/>
      <c r="F1453" s="308"/>
    </row>
    <row r="1454" spans="2:6">
      <c r="B1454" s="308"/>
      <c r="C1454" s="86"/>
      <c r="D1454" s="86"/>
      <c r="E1454" s="86"/>
      <c r="F1454" s="308"/>
    </row>
    <row r="1455" spans="2:6">
      <c r="B1455" s="308"/>
      <c r="C1455" s="86"/>
      <c r="D1455" s="86"/>
      <c r="E1455" s="86"/>
      <c r="F1455" s="308"/>
    </row>
    <row r="1456" spans="2:6">
      <c r="B1456" s="308"/>
      <c r="C1456" s="86"/>
      <c r="D1456" s="86"/>
      <c r="E1456" s="86"/>
      <c r="F1456" s="308"/>
    </row>
    <row r="1457" spans="2:6">
      <c r="B1457" s="308"/>
      <c r="C1457" s="86"/>
      <c r="D1457" s="86"/>
      <c r="E1457" s="86"/>
      <c r="F1457" s="308"/>
    </row>
    <row r="1458" spans="2:6">
      <c r="B1458" s="308"/>
      <c r="C1458" s="86"/>
      <c r="D1458" s="86"/>
      <c r="E1458" s="86"/>
      <c r="F1458" s="308"/>
    </row>
    <row r="1459" spans="2:6">
      <c r="B1459" s="308"/>
      <c r="C1459" s="86"/>
      <c r="D1459" s="86"/>
      <c r="E1459" s="86"/>
      <c r="F1459" s="308"/>
    </row>
    <row r="1460" spans="2:6">
      <c r="B1460" s="308"/>
      <c r="C1460" s="86"/>
      <c r="D1460" s="86"/>
      <c r="E1460" s="86"/>
      <c r="F1460" s="308"/>
    </row>
    <row r="1461" spans="2:6">
      <c r="B1461" s="308"/>
      <c r="C1461" s="86"/>
      <c r="D1461" s="86"/>
      <c r="E1461" s="86"/>
      <c r="F1461" s="308"/>
    </row>
    <row r="1462" spans="2:6">
      <c r="B1462" s="308"/>
      <c r="C1462" s="86"/>
      <c r="D1462" s="86"/>
      <c r="E1462" s="86"/>
      <c r="F1462" s="308"/>
    </row>
    <row r="1463" spans="2:6">
      <c r="B1463" s="308"/>
      <c r="C1463" s="86"/>
      <c r="D1463" s="86"/>
      <c r="E1463" s="86"/>
      <c r="F1463" s="308"/>
    </row>
    <row r="1464" spans="2:6">
      <c r="B1464" s="308"/>
      <c r="C1464" s="86"/>
      <c r="D1464" s="86"/>
      <c r="E1464" s="86"/>
      <c r="F1464" s="308"/>
    </row>
    <row r="1465" spans="2:6">
      <c r="B1465" s="308"/>
      <c r="C1465" s="86"/>
      <c r="D1465" s="86"/>
      <c r="E1465" s="86"/>
      <c r="F1465" s="308"/>
    </row>
    <row r="1466" spans="2:6">
      <c r="B1466" s="308"/>
      <c r="C1466" s="86"/>
      <c r="D1466" s="86"/>
      <c r="E1466" s="86"/>
      <c r="F1466" s="308"/>
    </row>
    <row r="1467" spans="2:6">
      <c r="B1467" s="308"/>
      <c r="C1467" s="86"/>
      <c r="D1467" s="86"/>
      <c r="E1467" s="86"/>
      <c r="F1467" s="308"/>
    </row>
    <row r="1468" spans="2:6">
      <c r="B1468" s="308"/>
      <c r="C1468" s="86"/>
      <c r="D1468" s="86"/>
      <c r="E1468" s="86"/>
      <c r="F1468" s="308"/>
    </row>
    <row r="1469" spans="2:6">
      <c r="B1469" s="308"/>
      <c r="C1469" s="86"/>
      <c r="D1469" s="86"/>
      <c r="E1469" s="86"/>
      <c r="F1469" s="308"/>
    </row>
    <row r="1470" spans="2:6">
      <c r="B1470" s="308"/>
      <c r="C1470" s="86"/>
      <c r="D1470" s="86"/>
      <c r="E1470" s="86"/>
      <c r="F1470" s="308"/>
    </row>
    <row r="1471" spans="2:6">
      <c r="B1471" s="308"/>
      <c r="C1471" s="86"/>
      <c r="D1471" s="86"/>
      <c r="E1471" s="86"/>
      <c r="F1471" s="308"/>
    </row>
    <row r="1472" spans="2:6">
      <c r="B1472" s="308"/>
      <c r="C1472" s="86"/>
      <c r="D1472" s="86"/>
      <c r="E1472" s="86"/>
      <c r="F1472" s="308"/>
    </row>
    <row r="1473" spans="2:6">
      <c r="B1473" s="308"/>
      <c r="C1473" s="86"/>
      <c r="D1473" s="86"/>
      <c r="E1473" s="86"/>
      <c r="F1473" s="308"/>
    </row>
    <row r="1474" spans="2:6">
      <c r="B1474" s="308"/>
      <c r="C1474" s="86"/>
      <c r="D1474" s="86"/>
      <c r="E1474" s="86"/>
      <c r="F1474" s="308"/>
    </row>
    <row r="1475" spans="2:6">
      <c r="B1475" s="308"/>
      <c r="C1475" s="86"/>
      <c r="D1475" s="86"/>
      <c r="E1475" s="86"/>
      <c r="F1475" s="308"/>
    </row>
    <row r="1476" spans="2:6">
      <c r="B1476" s="308"/>
      <c r="C1476" s="86"/>
      <c r="D1476" s="86"/>
      <c r="E1476" s="86"/>
      <c r="F1476" s="308"/>
    </row>
    <row r="1477" spans="2:6">
      <c r="B1477" s="308"/>
      <c r="C1477" s="86"/>
      <c r="D1477" s="86"/>
      <c r="E1477" s="86"/>
      <c r="F1477" s="308"/>
    </row>
    <row r="1478" spans="2:6">
      <c r="B1478" s="308"/>
      <c r="C1478" s="86"/>
      <c r="D1478" s="86"/>
      <c r="E1478" s="86"/>
      <c r="F1478" s="308"/>
    </row>
    <row r="1479" spans="2:6">
      <c r="B1479" s="308"/>
      <c r="C1479" s="86"/>
      <c r="D1479" s="86"/>
      <c r="E1479" s="86"/>
      <c r="F1479" s="308"/>
    </row>
    <row r="1480" spans="2:6">
      <c r="B1480" s="308"/>
      <c r="C1480" s="86"/>
      <c r="D1480" s="86"/>
      <c r="E1480" s="86"/>
      <c r="F1480" s="308"/>
    </row>
    <row r="1481" spans="2:6">
      <c r="B1481" s="308"/>
      <c r="C1481" s="86"/>
      <c r="D1481" s="86"/>
      <c r="E1481" s="86"/>
      <c r="F1481" s="308"/>
    </row>
    <row r="1482" spans="2:6">
      <c r="B1482" s="308"/>
      <c r="C1482" s="86"/>
      <c r="D1482" s="86"/>
      <c r="E1482" s="86"/>
      <c r="F1482" s="308"/>
    </row>
    <row r="1483" spans="2:6">
      <c r="B1483" s="308"/>
      <c r="C1483" s="86"/>
      <c r="D1483" s="86"/>
      <c r="E1483" s="86"/>
      <c r="F1483" s="308"/>
    </row>
    <row r="1484" spans="2:6">
      <c r="B1484" s="308"/>
      <c r="C1484" s="86"/>
      <c r="D1484" s="86"/>
      <c r="E1484" s="86"/>
      <c r="F1484" s="308"/>
    </row>
    <row r="1485" spans="2:6">
      <c r="B1485" s="308"/>
      <c r="C1485" s="86"/>
      <c r="D1485" s="86"/>
      <c r="E1485" s="86"/>
      <c r="F1485" s="308"/>
    </row>
    <row r="1486" spans="2:6">
      <c r="B1486" s="308"/>
      <c r="C1486" s="86"/>
      <c r="D1486" s="86"/>
      <c r="E1486" s="86"/>
      <c r="F1486" s="308"/>
    </row>
    <row r="1487" spans="2:6">
      <c r="B1487" s="308"/>
      <c r="C1487" s="86"/>
      <c r="D1487" s="86"/>
      <c r="E1487" s="86"/>
      <c r="F1487" s="308"/>
    </row>
    <row r="1488" spans="2:6">
      <c r="B1488" s="308"/>
      <c r="C1488" s="86"/>
      <c r="D1488" s="86"/>
      <c r="E1488" s="86"/>
      <c r="F1488" s="308"/>
    </row>
    <row r="1489" spans="2:6">
      <c r="B1489" s="308"/>
      <c r="C1489" s="86"/>
      <c r="D1489" s="86"/>
      <c r="E1489" s="86"/>
      <c r="F1489" s="308"/>
    </row>
    <row r="1490" spans="2:6">
      <c r="B1490" s="308"/>
      <c r="C1490" s="86"/>
      <c r="D1490" s="86"/>
      <c r="E1490" s="86"/>
      <c r="F1490" s="308"/>
    </row>
    <row r="1491" spans="2:6">
      <c r="B1491" s="308"/>
      <c r="C1491" s="86"/>
      <c r="D1491" s="86"/>
      <c r="E1491" s="86"/>
      <c r="F1491" s="308"/>
    </row>
    <row r="1492" spans="2:6">
      <c r="B1492" s="308"/>
      <c r="C1492" s="86"/>
      <c r="D1492" s="86"/>
      <c r="E1492" s="86"/>
      <c r="F1492" s="308"/>
    </row>
    <row r="1493" spans="2:6">
      <c r="B1493" s="308"/>
      <c r="C1493" s="86"/>
      <c r="D1493" s="86"/>
      <c r="E1493" s="86"/>
      <c r="F1493" s="308"/>
    </row>
    <row r="1494" spans="2:6">
      <c r="B1494" s="308"/>
      <c r="C1494" s="86"/>
      <c r="D1494" s="86"/>
      <c r="E1494" s="86"/>
      <c r="F1494" s="308"/>
    </row>
    <row r="1495" spans="2:6">
      <c r="B1495" s="308"/>
      <c r="C1495" s="86"/>
      <c r="D1495" s="86"/>
      <c r="E1495" s="86"/>
      <c r="F1495" s="308"/>
    </row>
    <row r="1496" spans="2:6">
      <c r="B1496" s="308"/>
      <c r="C1496" s="86"/>
      <c r="D1496" s="86"/>
      <c r="E1496" s="86"/>
      <c r="F1496" s="308"/>
    </row>
    <row r="1497" spans="2:6">
      <c r="B1497" s="308"/>
      <c r="C1497" s="86"/>
      <c r="D1497" s="86"/>
      <c r="E1497" s="86"/>
      <c r="F1497" s="308"/>
    </row>
    <row r="1498" spans="2:6">
      <c r="B1498" s="308"/>
      <c r="C1498" s="86"/>
      <c r="D1498" s="86"/>
      <c r="E1498" s="86"/>
      <c r="F1498" s="308"/>
    </row>
    <row r="1499" spans="2:6">
      <c r="B1499" s="308"/>
      <c r="C1499" s="86"/>
      <c r="D1499" s="86"/>
      <c r="E1499" s="86"/>
      <c r="F1499" s="308"/>
    </row>
    <row r="1500" spans="2:6">
      <c r="B1500" s="308"/>
      <c r="C1500" s="86"/>
      <c r="D1500" s="86"/>
      <c r="E1500" s="86"/>
      <c r="F1500" s="308"/>
    </row>
    <row r="1501" spans="2:6">
      <c r="B1501" s="308"/>
      <c r="C1501" s="86"/>
      <c r="D1501" s="86"/>
      <c r="E1501" s="86"/>
      <c r="F1501" s="308"/>
    </row>
    <row r="1502" spans="2:6">
      <c r="B1502" s="308"/>
      <c r="C1502" s="86"/>
      <c r="D1502" s="86"/>
      <c r="E1502" s="86"/>
      <c r="F1502" s="308"/>
    </row>
    <row r="1503" spans="2:6">
      <c r="B1503" s="308"/>
      <c r="C1503" s="86"/>
      <c r="D1503" s="86"/>
      <c r="E1503" s="86"/>
      <c r="F1503" s="308"/>
    </row>
    <row r="1504" spans="2:6">
      <c r="B1504" s="308"/>
      <c r="C1504" s="86"/>
      <c r="D1504" s="86"/>
      <c r="E1504" s="86"/>
      <c r="F1504" s="308"/>
    </row>
    <row r="1505" spans="2:6">
      <c r="B1505" s="308"/>
      <c r="C1505" s="86"/>
      <c r="D1505" s="86"/>
      <c r="E1505" s="86"/>
      <c r="F1505" s="308"/>
    </row>
    <row r="1506" spans="2:6">
      <c r="B1506" s="308"/>
      <c r="C1506" s="86"/>
      <c r="D1506" s="86"/>
      <c r="E1506" s="86"/>
      <c r="F1506" s="308"/>
    </row>
    <row r="1507" spans="2:6">
      <c r="B1507" s="308"/>
      <c r="C1507" s="86"/>
      <c r="D1507" s="86"/>
      <c r="E1507" s="86"/>
      <c r="F1507" s="308"/>
    </row>
    <row r="1508" spans="2:6">
      <c r="B1508" s="308"/>
      <c r="C1508" s="86"/>
      <c r="D1508" s="86"/>
      <c r="E1508" s="86"/>
      <c r="F1508" s="308"/>
    </row>
    <row r="1509" spans="2:6">
      <c r="B1509" s="308"/>
      <c r="C1509" s="86"/>
      <c r="D1509" s="86"/>
      <c r="E1509" s="86"/>
      <c r="F1509" s="308"/>
    </row>
    <row r="1510" spans="2:6">
      <c r="B1510" s="308"/>
      <c r="C1510" s="86"/>
      <c r="D1510" s="86"/>
      <c r="E1510" s="86"/>
      <c r="F1510" s="308"/>
    </row>
    <row r="1511" spans="2:6">
      <c r="B1511" s="308"/>
      <c r="C1511" s="86"/>
      <c r="D1511" s="86"/>
      <c r="E1511" s="86"/>
      <c r="F1511" s="308"/>
    </row>
    <row r="1512" spans="2:6">
      <c r="B1512" s="308"/>
      <c r="C1512" s="86"/>
      <c r="D1512" s="86"/>
      <c r="E1512" s="86"/>
      <c r="F1512" s="308"/>
    </row>
    <row r="1513" spans="2:6">
      <c r="B1513" s="308"/>
      <c r="C1513" s="86"/>
      <c r="D1513" s="86"/>
      <c r="E1513" s="86"/>
      <c r="F1513" s="308"/>
    </row>
    <row r="1514" spans="2:6">
      <c r="B1514" s="308"/>
      <c r="C1514" s="86"/>
      <c r="D1514" s="86"/>
      <c r="E1514" s="86"/>
      <c r="F1514" s="308"/>
    </row>
    <row r="1515" spans="2:6">
      <c r="B1515" s="308"/>
      <c r="C1515" s="86"/>
      <c r="D1515" s="86"/>
      <c r="E1515" s="86"/>
      <c r="F1515" s="308"/>
    </row>
    <row r="1516" spans="2:6">
      <c r="B1516" s="308"/>
      <c r="C1516" s="86"/>
      <c r="D1516" s="86"/>
      <c r="E1516" s="86"/>
      <c r="F1516" s="308"/>
    </row>
    <row r="1517" spans="2:6">
      <c r="B1517" s="308"/>
      <c r="C1517" s="86"/>
      <c r="D1517" s="86"/>
      <c r="E1517" s="86"/>
      <c r="F1517" s="308"/>
    </row>
    <row r="1518" spans="2:6">
      <c r="B1518" s="308"/>
      <c r="C1518" s="86"/>
      <c r="D1518" s="86"/>
      <c r="E1518" s="86"/>
      <c r="F1518" s="308"/>
    </row>
    <row r="1519" spans="2:6">
      <c r="B1519" s="308"/>
      <c r="C1519" s="86"/>
      <c r="D1519" s="86"/>
      <c r="E1519" s="86"/>
      <c r="F1519" s="308"/>
    </row>
    <row r="1520" spans="2:6">
      <c r="B1520" s="308"/>
      <c r="C1520" s="86"/>
      <c r="D1520" s="86"/>
      <c r="E1520" s="86"/>
      <c r="F1520" s="308"/>
    </row>
    <row r="1521" spans="2:6">
      <c r="B1521" s="308"/>
      <c r="C1521" s="86"/>
      <c r="D1521" s="86"/>
      <c r="E1521" s="86"/>
      <c r="F1521" s="308"/>
    </row>
    <row r="1522" spans="2:6">
      <c r="B1522" s="308"/>
      <c r="C1522" s="86"/>
      <c r="D1522" s="86"/>
      <c r="E1522" s="86"/>
      <c r="F1522" s="308"/>
    </row>
    <row r="1523" spans="2:6">
      <c r="B1523" s="308"/>
      <c r="C1523" s="86"/>
      <c r="D1523" s="86"/>
      <c r="E1523" s="86"/>
      <c r="F1523" s="308"/>
    </row>
    <row r="1524" spans="2:6">
      <c r="B1524" s="308"/>
      <c r="C1524" s="86"/>
      <c r="D1524" s="86"/>
      <c r="E1524" s="86"/>
      <c r="F1524" s="308"/>
    </row>
    <row r="1525" spans="2:6">
      <c r="B1525" s="308"/>
      <c r="C1525" s="86"/>
      <c r="D1525" s="86"/>
      <c r="E1525" s="86"/>
      <c r="F1525" s="308"/>
    </row>
    <row r="1526" spans="2:6">
      <c r="B1526" s="308"/>
      <c r="C1526" s="86"/>
      <c r="D1526" s="86"/>
      <c r="E1526" s="86"/>
      <c r="F1526" s="308"/>
    </row>
    <row r="1527" spans="2:6">
      <c r="B1527" s="308"/>
      <c r="C1527" s="86"/>
      <c r="D1527" s="86"/>
      <c r="E1527" s="86"/>
      <c r="F1527" s="308"/>
    </row>
    <row r="1528" spans="2:6">
      <c r="B1528" s="308"/>
      <c r="C1528" s="86"/>
      <c r="D1528" s="86"/>
      <c r="E1528" s="86"/>
      <c r="F1528" s="308"/>
    </row>
    <row r="1529" spans="2:6">
      <c r="B1529" s="308"/>
      <c r="C1529" s="86"/>
      <c r="D1529" s="86"/>
      <c r="E1529" s="86"/>
      <c r="F1529" s="308"/>
    </row>
    <row r="1530" spans="2:6">
      <c r="B1530" s="308"/>
      <c r="C1530" s="86"/>
      <c r="D1530" s="86"/>
      <c r="E1530" s="86"/>
      <c r="F1530" s="308"/>
    </row>
    <row r="1531" spans="2:6">
      <c r="B1531" s="308"/>
      <c r="C1531" s="86"/>
      <c r="D1531" s="86"/>
      <c r="E1531" s="86"/>
      <c r="F1531" s="308"/>
    </row>
    <row r="1532" spans="2:6">
      <c r="B1532" s="308"/>
      <c r="C1532" s="86"/>
      <c r="D1532" s="86"/>
      <c r="E1532" s="86"/>
      <c r="F1532" s="308"/>
    </row>
    <row r="1533" spans="2:6">
      <c r="B1533" s="308"/>
      <c r="C1533" s="86"/>
      <c r="D1533" s="86"/>
      <c r="E1533" s="86"/>
      <c r="F1533" s="308"/>
    </row>
    <row r="1534" spans="2:6">
      <c r="B1534" s="308"/>
      <c r="C1534" s="86"/>
      <c r="D1534" s="86"/>
      <c r="E1534" s="86"/>
      <c r="F1534" s="308"/>
    </row>
    <row r="1535" spans="2:6">
      <c r="B1535" s="308"/>
      <c r="C1535" s="86"/>
      <c r="D1535" s="86"/>
      <c r="E1535" s="86"/>
      <c r="F1535" s="308"/>
    </row>
    <row r="1536" spans="2:6">
      <c r="B1536" s="308"/>
      <c r="C1536" s="86"/>
      <c r="D1536" s="86"/>
      <c r="E1536" s="86"/>
      <c r="F1536" s="308"/>
    </row>
    <row r="1537" spans="2:6">
      <c r="B1537" s="308"/>
      <c r="C1537" s="86"/>
      <c r="D1537" s="86"/>
      <c r="E1537" s="86"/>
      <c r="F1537" s="308"/>
    </row>
    <row r="1538" spans="2:6">
      <c r="B1538" s="308"/>
      <c r="C1538" s="86"/>
      <c r="D1538" s="86"/>
      <c r="E1538" s="86"/>
      <c r="F1538" s="308"/>
    </row>
    <row r="1539" spans="2:6">
      <c r="B1539" s="308"/>
      <c r="C1539" s="86"/>
      <c r="D1539" s="86"/>
      <c r="E1539" s="86"/>
      <c r="F1539" s="308"/>
    </row>
    <row r="1540" spans="2:6">
      <c r="B1540" s="308"/>
      <c r="C1540" s="86"/>
      <c r="D1540" s="86"/>
      <c r="E1540" s="86"/>
      <c r="F1540" s="308"/>
    </row>
    <row r="1541" spans="2:6">
      <c r="B1541" s="308"/>
      <c r="C1541" s="86"/>
      <c r="D1541" s="86"/>
      <c r="E1541" s="86"/>
      <c r="F1541" s="308"/>
    </row>
    <row r="1542" spans="2:6">
      <c r="B1542" s="308"/>
      <c r="C1542" s="86"/>
      <c r="D1542" s="86"/>
      <c r="E1542" s="86"/>
      <c r="F1542" s="308"/>
    </row>
    <row r="1543" spans="2:6">
      <c r="B1543" s="308"/>
      <c r="C1543" s="86"/>
      <c r="D1543" s="86"/>
      <c r="E1543" s="86"/>
      <c r="F1543" s="308"/>
    </row>
    <row r="1544" spans="2:6">
      <c r="B1544" s="308"/>
      <c r="C1544" s="86"/>
      <c r="D1544" s="86"/>
      <c r="E1544" s="86"/>
      <c r="F1544" s="308"/>
    </row>
    <row r="1545" spans="2:6">
      <c r="B1545" s="308"/>
      <c r="C1545" s="86"/>
      <c r="D1545" s="86"/>
      <c r="E1545" s="86"/>
      <c r="F1545" s="308"/>
    </row>
    <row r="1546" spans="2:6">
      <c r="B1546" s="308"/>
      <c r="C1546" s="86"/>
      <c r="D1546" s="86"/>
      <c r="E1546" s="86"/>
      <c r="F1546" s="308"/>
    </row>
    <row r="1547" spans="2:6">
      <c r="B1547" s="308"/>
      <c r="C1547" s="86"/>
      <c r="D1547" s="86"/>
      <c r="E1547" s="86"/>
      <c r="F1547" s="308"/>
    </row>
    <row r="1548" spans="2:6">
      <c r="B1548" s="308"/>
      <c r="C1548" s="86"/>
      <c r="D1548" s="86"/>
      <c r="E1548" s="86"/>
      <c r="F1548" s="308"/>
    </row>
    <row r="1549" spans="2:6">
      <c r="B1549" s="308"/>
      <c r="C1549" s="86"/>
      <c r="D1549" s="86"/>
      <c r="E1549" s="86"/>
      <c r="F1549" s="308"/>
    </row>
    <row r="1550" spans="2:6">
      <c r="B1550" s="308"/>
      <c r="C1550" s="86"/>
      <c r="D1550" s="86"/>
      <c r="E1550" s="86"/>
      <c r="F1550" s="308"/>
    </row>
    <row r="1551" spans="2:6">
      <c r="B1551" s="308"/>
      <c r="C1551" s="86"/>
      <c r="D1551" s="86"/>
      <c r="E1551" s="86"/>
      <c r="F1551" s="308"/>
    </row>
    <row r="1552" spans="2:6">
      <c r="B1552" s="308"/>
      <c r="C1552" s="86"/>
      <c r="D1552" s="86"/>
      <c r="E1552" s="86"/>
      <c r="F1552" s="308"/>
    </row>
    <row r="1553" spans="2:6">
      <c r="B1553" s="308"/>
      <c r="C1553" s="86"/>
      <c r="D1553" s="86"/>
      <c r="E1553" s="86"/>
      <c r="F1553" s="308"/>
    </row>
    <row r="1554" spans="2:6">
      <c r="B1554" s="308"/>
      <c r="C1554" s="86"/>
      <c r="D1554" s="86"/>
      <c r="E1554" s="86"/>
      <c r="F1554" s="308"/>
    </row>
    <row r="1555" spans="2:6">
      <c r="B1555" s="308"/>
      <c r="C1555" s="86"/>
      <c r="D1555" s="86"/>
      <c r="E1555" s="86"/>
      <c r="F1555" s="308"/>
    </row>
    <row r="1556" spans="2:6">
      <c r="B1556" s="308"/>
      <c r="C1556" s="86"/>
      <c r="D1556" s="86"/>
      <c r="E1556" s="86"/>
      <c r="F1556" s="308"/>
    </row>
    <row r="1557" spans="2:6">
      <c r="B1557" s="308"/>
      <c r="C1557" s="86"/>
      <c r="D1557" s="86"/>
      <c r="E1557" s="86"/>
      <c r="F1557" s="308"/>
    </row>
    <row r="1558" spans="2:6">
      <c r="B1558" s="308"/>
      <c r="C1558" s="86"/>
      <c r="D1558" s="86"/>
      <c r="E1558" s="86"/>
      <c r="F1558" s="308"/>
    </row>
    <row r="1559" spans="2:6">
      <c r="B1559" s="308"/>
      <c r="C1559" s="86"/>
      <c r="D1559" s="86"/>
      <c r="E1559" s="86"/>
      <c r="F1559" s="308"/>
    </row>
    <row r="1560" spans="2:6">
      <c r="B1560" s="308"/>
      <c r="C1560" s="86"/>
      <c r="D1560" s="86"/>
      <c r="E1560" s="86"/>
      <c r="F1560" s="308"/>
    </row>
    <row r="1561" spans="2:6">
      <c r="B1561" s="308"/>
      <c r="C1561" s="86"/>
      <c r="D1561" s="86"/>
      <c r="E1561" s="86"/>
      <c r="F1561" s="308"/>
    </row>
    <row r="1562" spans="2:6">
      <c r="B1562" s="308"/>
      <c r="C1562" s="86"/>
      <c r="D1562" s="86"/>
      <c r="E1562" s="86"/>
      <c r="F1562" s="308"/>
    </row>
    <row r="1563" spans="2:6">
      <c r="B1563" s="308"/>
      <c r="C1563" s="86"/>
      <c r="D1563" s="86"/>
      <c r="E1563" s="86"/>
      <c r="F1563" s="308"/>
    </row>
    <row r="1564" spans="2:6">
      <c r="B1564" s="308"/>
      <c r="C1564" s="86"/>
      <c r="D1564" s="86"/>
      <c r="E1564" s="86"/>
      <c r="F1564" s="308"/>
    </row>
    <row r="1565" spans="2:6">
      <c r="B1565" s="308"/>
      <c r="C1565" s="86"/>
      <c r="D1565" s="86"/>
      <c r="E1565" s="86"/>
      <c r="F1565" s="308"/>
    </row>
    <row r="1566" spans="2:6">
      <c r="B1566" s="308"/>
      <c r="C1566" s="86"/>
      <c r="D1566" s="86"/>
      <c r="E1566" s="86"/>
      <c r="F1566" s="308"/>
    </row>
    <row r="1567" spans="2:6">
      <c r="B1567" s="308"/>
      <c r="C1567" s="86"/>
      <c r="D1567" s="86"/>
      <c r="E1567" s="86"/>
      <c r="F1567" s="308"/>
    </row>
    <row r="1568" spans="2:6">
      <c r="B1568" s="308"/>
      <c r="C1568" s="86"/>
      <c r="D1568" s="86"/>
      <c r="E1568" s="86"/>
      <c r="F1568" s="308"/>
    </row>
    <row r="1569" spans="2:6">
      <c r="B1569" s="308"/>
      <c r="C1569" s="86"/>
      <c r="D1569" s="86"/>
      <c r="E1569" s="86"/>
      <c r="F1569" s="308"/>
    </row>
    <row r="1570" spans="2:6">
      <c r="B1570" s="308"/>
      <c r="C1570" s="86"/>
      <c r="D1570" s="86"/>
      <c r="E1570" s="86"/>
      <c r="F1570" s="308"/>
    </row>
    <row r="1571" spans="2:6">
      <c r="B1571" s="308"/>
      <c r="C1571" s="86"/>
      <c r="D1571" s="86"/>
      <c r="E1571" s="86"/>
      <c r="F1571" s="308"/>
    </row>
    <row r="1572" spans="2:6">
      <c r="B1572" s="308"/>
      <c r="C1572" s="86"/>
      <c r="D1572" s="86"/>
      <c r="E1572" s="86"/>
      <c r="F1572" s="308"/>
    </row>
    <row r="1573" spans="2:6">
      <c r="B1573" s="308"/>
      <c r="C1573" s="86"/>
      <c r="D1573" s="86"/>
      <c r="E1573" s="86"/>
      <c r="F1573" s="308"/>
    </row>
    <row r="1574" spans="2:6">
      <c r="B1574" s="308"/>
      <c r="C1574" s="86"/>
      <c r="D1574" s="86"/>
      <c r="E1574" s="86"/>
      <c r="F1574" s="308"/>
    </row>
    <row r="1575" spans="2:6">
      <c r="B1575" s="308"/>
      <c r="C1575" s="86"/>
      <c r="D1575" s="86"/>
      <c r="E1575" s="86"/>
      <c r="F1575" s="308"/>
    </row>
    <row r="1576" spans="2:6">
      <c r="B1576" s="308"/>
      <c r="C1576" s="86"/>
      <c r="D1576" s="86"/>
      <c r="E1576" s="86"/>
      <c r="F1576" s="308"/>
    </row>
    <row r="1577" spans="2:6">
      <c r="B1577" s="308"/>
      <c r="C1577" s="86"/>
      <c r="D1577" s="86"/>
      <c r="E1577" s="86"/>
      <c r="F1577" s="308"/>
    </row>
    <row r="1578" spans="2:6">
      <c r="B1578" s="308"/>
      <c r="C1578" s="86"/>
      <c r="D1578" s="86"/>
      <c r="E1578" s="86"/>
      <c r="F1578" s="308"/>
    </row>
    <row r="1579" spans="2:6">
      <c r="B1579" s="308"/>
      <c r="C1579" s="86"/>
      <c r="D1579" s="86"/>
      <c r="E1579" s="86"/>
      <c r="F1579" s="308"/>
    </row>
    <row r="1580" spans="2:6">
      <c r="B1580" s="308"/>
      <c r="C1580" s="86"/>
      <c r="D1580" s="86"/>
      <c r="E1580" s="86"/>
      <c r="F1580" s="308"/>
    </row>
    <row r="1581" spans="2:6">
      <c r="B1581" s="308"/>
      <c r="C1581" s="86"/>
      <c r="D1581" s="86"/>
      <c r="E1581" s="86"/>
      <c r="F1581" s="308"/>
    </row>
    <row r="1582" spans="2:6">
      <c r="B1582" s="308"/>
      <c r="C1582" s="86"/>
      <c r="D1582" s="86"/>
      <c r="E1582" s="86"/>
      <c r="F1582" s="308"/>
    </row>
    <row r="1583" spans="2:6">
      <c r="B1583" s="308"/>
      <c r="C1583" s="86"/>
      <c r="D1583" s="86"/>
      <c r="E1583" s="86"/>
      <c r="F1583" s="308"/>
    </row>
    <row r="1584" spans="2:6">
      <c r="B1584" s="308"/>
      <c r="C1584" s="86"/>
      <c r="D1584" s="86"/>
      <c r="E1584" s="86"/>
      <c r="F1584" s="308"/>
    </row>
    <row r="1585" spans="2:6">
      <c r="B1585" s="308"/>
      <c r="C1585" s="86"/>
      <c r="D1585" s="86"/>
      <c r="E1585" s="86"/>
      <c r="F1585" s="308"/>
    </row>
    <row r="1586" spans="2:6">
      <c r="B1586" s="308"/>
      <c r="C1586" s="86"/>
      <c r="D1586" s="86"/>
      <c r="E1586" s="86"/>
      <c r="F1586" s="308"/>
    </row>
    <row r="1587" spans="2:6">
      <c r="B1587" s="308"/>
      <c r="C1587" s="86"/>
      <c r="D1587" s="86"/>
      <c r="E1587" s="86"/>
      <c r="F1587" s="308"/>
    </row>
    <row r="1588" spans="2:6">
      <c r="B1588" s="308"/>
      <c r="C1588" s="86"/>
      <c r="D1588" s="86"/>
      <c r="E1588" s="86"/>
      <c r="F1588" s="308"/>
    </row>
    <row r="1589" spans="2:6">
      <c r="B1589" s="308"/>
      <c r="C1589" s="86"/>
      <c r="D1589" s="86"/>
      <c r="E1589" s="86"/>
      <c r="F1589" s="308"/>
    </row>
    <row r="1590" spans="2:6">
      <c r="B1590" s="308"/>
      <c r="C1590" s="86"/>
      <c r="D1590" s="86"/>
      <c r="E1590" s="86"/>
      <c r="F1590" s="308"/>
    </row>
    <row r="1591" spans="2:6">
      <c r="B1591" s="308"/>
      <c r="C1591" s="86"/>
      <c r="D1591" s="86"/>
      <c r="E1591" s="86"/>
      <c r="F1591" s="308"/>
    </row>
    <row r="1592" spans="2:6">
      <c r="B1592" s="308"/>
      <c r="C1592" s="86"/>
      <c r="D1592" s="86"/>
      <c r="E1592" s="86"/>
      <c r="F1592" s="308"/>
    </row>
    <row r="1593" spans="2:6">
      <c r="B1593" s="308"/>
      <c r="C1593" s="86"/>
      <c r="D1593" s="86"/>
      <c r="E1593" s="86"/>
      <c r="F1593" s="308"/>
    </row>
    <row r="1594" spans="2:6">
      <c r="B1594" s="308"/>
      <c r="C1594" s="86"/>
      <c r="D1594" s="86"/>
      <c r="E1594" s="86"/>
      <c r="F1594" s="308"/>
    </row>
    <row r="1595" spans="2:6">
      <c r="B1595" s="308"/>
      <c r="C1595" s="86"/>
      <c r="D1595" s="86"/>
      <c r="E1595" s="86"/>
      <c r="F1595" s="308"/>
    </row>
    <row r="1596" spans="2:6">
      <c r="B1596" s="308"/>
      <c r="C1596" s="86"/>
      <c r="D1596" s="86"/>
      <c r="E1596" s="86"/>
      <c r="F1596" s="308"/>
    </row>
    <row r="1597" spans="2:6">
      <c r="B1597" s="308"/>
      <c r="C1597" s="86"/>
      <c r="D1597" s="86"/>
      <c r="E1597" s="86"/>
      <c r="F1597" s="308"/>
    </row>
    <row r="1598" spans="2:6">
      <c r="B1598" s="308"/>
      <c r="C1598" s="86"/>
      <c r="D1598" s="86"/>
      <c r="E1598" s="86"/>
      <c r="F1598" s="308"/>
    </row>
    <row r="1599" spans="2:6">
      <c r="B1599" s="308"/>
      <c r="C1599" s="86"/>
      <c r="D1599" s="86"/>
      <c r="E1599" s="86"/>
      <c r="F1599" s="308"/>
    </row>
    <row r="1600" spans="2:6">
      <c r="B1600" s="308"/>
      <c r="C1600" s="86"/>
      <c r="D1600" s="86"/>
      <c r="E1600" s="86"/>
      <c r="F1600" s="308"/>
    </row>
    <row r="1601" spans="2:6">
      <c r="B1601" s="308"/>
      <c r="C1601" s="86"/>
      <c r="D1601" s="86"/>
      <c r="E1601" s="86"/>
      <c r="F1601" s="308"/>
    </row>
    <row r="1602" spans="2:6">
      <c r="B1602" s="308"/>
      <c r="C1602" s="86"/>
      <c r="D1602" s="86"/>
      <c r="E1602" s="86"/>
      <c r="F1602" s="308"/>
    </row>
    <row r="1603" spans="2:6">
      <c r="B1603" s="308"/>
      <c r="C1603" s="86"/>
      <c r="D1603" s="86"/>
      <c r="E1603" s="86"/>
      <c r="F1603" s="308"/>
    </row>
    <row r="1604" spans="2:6">
      <c r="B1604" s="308"/>
      <c r="C1604" s="86"/>
      <c r="D1604" s="86"/>
      <c r="E1604" s="86"/>
      <c r="F1604" s="308"/>
    </row>
    <row r="1605" spans="2:6">
      <c r="B1605" s="308"/>
      <c r="C1605" s="86"/>
      <c r="D1605" s="86"/>
      <c r="E1605" s="86"/>
      <c r="F1605" s="308"/>
    </row>
    <row r="1606" spans="2:6">
      <c r="B1606" s="308"/>
      <c r="C1606" s="86"/>
      <c r="D1606" s="86"/>
      <c r="E1606" s="86"/>
      <c r="F1606" s="308"/>
    </row>
    <row r="1607" spans="2:6">
      <c r="B1607" s="308"/>
      <c r="C1607" s="86"/>
      <c r="D1607" s="86"/>
      <c r="E1607" s="86"/>
      <c r="F1607" s="308"/>
    </row>
    <row r="1608" spans="2:6">
      <c r="B1608" s="308"/>
      <c r="C1608" s="86"/>
      <c r="D1608" s="86"/>
      <c r="E1608" s="86"/>
      <c r="F1608" s="308"/>
    </row>
    <row r="1609" spans="2:6">
      <c r="B1609" s="308"/>
      <c r="C1609" s="86"/>
      <c r="D1609" s="86"/>
      <c r="E1609" s="86"/>
      <c r="F1609" s="308"/>
    </row>
    <row r="1610" spans="2:6">
      <c r="B1610" s="308"/>
      <c r="C1610" s="86"/>
      <c r="D1610" s="86"/>
      <c r="E1610" s="86"/>
      <c r="F1610" s="308"/>
    </row>
    <row r="1611" spans="2:6">
      <c r="B1611" s="308"/>
      <c r="C1611" s="86"/>
      <c r="D1611" s="86"/>
      <c r="E1611" s="86"/>
      <c r="F1611" s="308"/>
    </row>
    <row r="1612" spans="2:6">
      <c r="B1612" s="308"/>
      <c r="C1612" s="86"/>
      <c r="D1612" s="86"/>
      <c r="E1612" s="86"/>
      <c r="F1612" s="308"/>
    </row>
    <row r="1613" spans="2:6">
      <c r="B1613" s="308"/>
      <c r="C1613" s="86"/>
      <c r="D1613" s="86"/>
      <c r="E1613" s="86"/>
      <c r="F1613" s="308"/>
    </row>
    <row r="1614" spans="2:6">
      <c r="B1614" s="308"/>
      <c r="C1614" s="86"/>
      <c r="D1614" s="86"/>
      <c r="E1614" s="86"/>
      <c r="F1614" s="308"/>
    </row>
    <row r="1615" spans="2:6">
      <c r="B1615" s="308"/>
      <c r="C1615" s="86"/>
      <c r="D1615" s="86"/>
      <c r="E1615" s="86"/>
      <c r="F1615" s="308"/>
    </row>
    <row r="1616" spans="2:6">
      <c r="B1616" s="308"/>
      <c r="C1616" s="86"/>
      <c r="D1616" s="86"/>
      <c r="E1616" s="86"/>
      <c r="F1616" s="308"/>
    </row>
    <row r="1617" spans="2:6">
      <c r="B1617" s="308"/>
      <c r="C1617" s="86"/>
      <c r="D1617" s="86"/>
      <c r="E1617" s="86"/>
      <c r="F1617" s="308"/>
    </row>
    <row r="1618" spans="2:6">
      <c r="B1618" s="308"/>
      <c r="C1618" s="86"/>
      <c r="D1618" s="86"/>
      <c r="E1618" s="86"/>
      <c r="F1618" s="308"/>
    </row>
    <row r="1619" spans="2:6">
      <c r="B1619" s="308"/>
      <c r="C1619" s="86"/>
      <c r="D1619" s="86"/>
      <c r="E1619" s="86"/>
      <c r="F1619" s="308"/>
    </row>
    <row r="1620" spans="2:6">
      <c r="B1620" s="308"/>
      <c r="C1620" s="86"/>
      <c r="D1620" s="86"/>
      <c r="E1620" s="86"/>
      <c r="F1620" s="308"/>
    </row>
    <row r="1621" spans="2:6">
      <c r="B1621" s="308"/>
      <c r="C1621" s="86"/>
      <c r="D1621" s="86"/>
      <c r="E1621" s="86"/>
      <c r="F1621" s="308"/>
    </row>
    <row r="1622" spans="2:6">
      <c r="B1622" s="308"/>
      <c r="C1622" s="86"/>
      <c r="D1622" s="86"/>
      <c r="E1622" s="86"/>
      <c r="F1622" s="308"/>
    </row>
    <row r="1623" spans="2:6">
      <c r="B1623" s="308"/>
      <c r="C1623" s="86"/>
      <c r="D1623" s="86"/>
      <c r="E1623" s="86"/>
      <c r="F1623" s="308"/>
    </row>
    <row r="1624" spans="2:6">
      <c r="B1624" s="308"/>
      <c r="C1624" s="86"/>
      <c r="D1624" s="86"/>
      <c r="E1624" s="86"/>
      <c r="F1624" s="308"/>
    </row>
    <row r="1625" spans="2:6">
      <c r="B1625" s="308"/>
      <c r="C1625" s="86"/>
      <c r="D1625" s="86"/>
      <c r="E1625" s="86"/>
      <c r="F1625" s="308"/>
    </row>
    <row r="1626" spans="2:6">
      <c r="B1626" s="308"/>
      <c r="C1626" s="86"/>
      <c r="D1626" s="86"/>
      <c r="E1626" s="86"/>
      <c r="F1626" s="308"/>
    </row>
    <row r="1627" spans="2:6">
      <c r="B1627" s="308"/>
      <c r="C1627" s="86"/>
      <c r="D1627" s="86"/>
      <c r="E1627" s="86"/>
      <c r="F1627" s="308"/>
    </row>
    <row r="1628" spans="2:6">
      <c r="B1628" s="308"/>
      <c r="C1628" s="86"/>
      <c r="D1628" s="86"/>
      <c r="E1628" s="86"/>
      <c r="F1628" s="308"/>
    </row>
    <row r="1629" spans="2:6">
      <c r="B1629" s="308"/>
      <c r="C1629" s="86"/>
      <c r="D1629" s="86"/>
      <c r="E1629" s="86"/>
      <c r="F1629" s="308"/>
    </row>
    <row r="1630" spans="2:6">
      <c r="B1630" s="308"/>
      <c r="C1630" s="86"/>
      <c r="D1630" s="86"/>
      <c r="E1630" s="86"/>
      <c r="F1630" s="308"/>
    </row>
    <row r="1631" spans="2:6">
      <c r="B1631" s="308"/>
      <c r="C1631" s="86"/>
      <c r="D1631" s="86"/>
      <c r="E1631" s="86"/>
      <c r="F1631" s="308"/>
    </row>
    <row r="1632" spans="2:6">
      <c r="B1632" s="308"/>
      <c r="C1632" s="86"/>
      <c r="D1632" s="86"/>
      <c r="E1632" s="86"/>
      <c r="F1632" s="308"/>
    </row>
    <row r="1633" spans="2:6">
      <c r="B1633" s="308"/>
      <c r="C1633" s="86"/>
      <c r="D1633" s="86"/>
      <c r="E1633" s="86"/>
      <c r="F1633" s="308"/>
    </row>
    <row r="1634" spans="2:6">
      <c r="B1634" s="308"/>
      <c r="C1634" s="86"/>
      <c r="D1634" s="86"/>
      <c r="E1634" s="86"/>
      <c r="F1634" s="308"/>
    </row>
    <row r="1635" spans="2:6">
      <c r="B1635" s="308"/>
      <c r="C1635" s="86"/>
      <c r="D1635" s="86"/>
      <c r="E1635" s="86"/>
      <c r="F1635" s="308"/>
    </row>
    <row r="1636" spans="2:6">
      <c r="B1636" s="308"/>
      <c r="C1636" s="86"/>
      <c r="D1636" s="86"/>
      <c r="E1636" s="86"/>
      <c r="F1636" s="308"/>
    </row>
    <row r="1637" spans="2:6">
      <c r="B1637" s="308"/>
      <c r="C1637" s="86"/>
      <c r="D1637" s="86"/>
      <c r="E1637" s="86"/>
      <c r="F1637" s="308"/>
    </row>
    <row r="1638" spans="2:6">
      <c r="B1638" s="308"/>
      <c r="C1638" s="86"/>
      <c r="D1638" s="86"/>
      <c r="E1638" s="86"/>
      <c r="F1638" s="308"/>
    </row>
    <row r="1639" spans="2:6">
      <c r="B1639" s="308"/>
      <c r="C1639" s="86"/>
      <c r="D1639" s="86"/>
      <c r="E1639" s="86"/>
      <c r="F1639" s="308"/>
    </row>
    <row r="1640" spans="2:6">
      <c r="B1640" s="308"/>
      <c r="C1640" s="86"/>
      <c r="D1640" s="86"/>
      <c r="E1640" s="86"/>
      <c r="F1640" s="308"/>
    </row>
    <row r="1641" spans="2:6">
      <c r="B1641" s="308"/>
      <c r="C1641" s="86"/>
      <c r="D1641" s="86"/>
      <c r="E1641" s="86"/>
      <c r="F1641" s="308"/>
    </row>
    <row r="1642" spans="2:6">
      <c r="B1642" s="308"/>
      <c r="C1642" s="86"/>
      <c r="D1642" s="86"/>
      <c r="E1642" s="86"/>
      <c r="F1642" s="308"/>
    </row>
    <row r="1643" spans="2:6">
      <c r="B1643" s="308"/>
      <c r="C1643" s="86"/>
      <c r="D1643" s="86"/>
      <c r="E1643" s="86"/>
      <c r="F1643" s="308"/>
    </row>
    <row r="1644" spans="2:6">
      <c r="B1644" s="308"/>
      <c r="C1644" s="86"/>
      <c r="D1644" s="86"/>
      <c r="E1644" s="86"/>
      <c r="F1644" s="308"/>
    </row>
    <row r="1645" spans="2:6">
      <c r="B1645" s="308"/>
      <c r="C1645" s="86"/>
      <c r="D1645" s="86"/>
      <c r="E1645" s="86"/>
      <c r="F1645" s="308"/>
    </row>
    <row r="1646" spans="2:6">
      <c r="B1646" s="308"/>
      <c r="C1646" s="86"/>
      <c r="D1646" s="86"/>
      <c r="E1646" s="86"/>
      <c r="F1646" s="308"/>
    </row>
    <row r="1647" spans="2:6">
      <c r="B1647" s="308"/>
      <c r="C1647" s="86"/>
      <c r="D1647" s="86"/>
      <c r="E1647" s="86"/>
      <c r="F1647" s="308"/>
    </row>
    <row r="1648" spans="2:6">
      <c r="B1648" s="308"/>
      <c r="C1648" s="86"/>
      <c r="D1648" s="86"/>
      <c r="E1648" s="86"/>
      <c r="F1648" s="308"/>
    </row>
    <row r="1649" spans="2:6">
      <c r="B1649" s="308"/>
      <c r="C1649" s="86"/>
      <c r="D1649" s="86"/>
      <c r="E1649" s="86"/>
      <c r="F1649" s="308"/>
    </row>
    <row r="1650" spans="2:6">
      <c r="B1650" s="308"/>
      <c r="C1650" s="86"/>
      <c r="D1650" s="86"/>
      <c r="E1650" s="86"/>
      <c r="F1650" s="308"/>
    </row>
    <row r="1651" spans="2:6">
      <c r="B1651" s="308"/>
      <c r="C1651" s="86"/>
      <c r="D1651" s="86"/>
      <c r="E1651" s="86"/>
      <c r="F1651" s="308"/>
    </row>
    <row r="1652" spans="2:6">
      <c r="B1652" s="308"/>
      <c r="C1652" s="86"/>
      <c r="D1652" s="86"/>
      <c r="E1652" s="86"/>
      <c r="F1652" s="308"/>
    </row>
    <row r="1653" spans="2:6">
      <c r="B1653" s="308"/>
      <c r="C1653" s="86"/>
      <c r="D1653" s="86"/>
      <c r="E1653" s="86"/>
      <c r="F1653" s="308"/>
    </row>
    <row r="1654" spans="2:6">
      <c r="B1654" s="308"/>
      <c r="C1654" s="86"/>
      <c r="D1654" s="86"/>
      <c r="E1654" s="86"/>
      <c r="F1654" s="308"/>
    </row>
    <row r="1655" spans="2:6">
      <c r="B1655" s="308"/>
      <c r="C1655" s="86"/>
      <c r="D1655" s="86"/>
      <c r="E1655" s="86"/>
      <c r="F1655" s="308"/>
    </row>
    <row r="1656" spans="2:6">
      <c r="B1656" s="308"/>
      <c r="C1656" s="86"/>
      <c r="D1656" s="86"/>
      <c r="E1656" s="86"/>
      <c r="F1656" s="308"/>
    </row>
    <row r="1657" spans="2:6">
      <c r="B1657" s="308"/>
      <c r="C1657" s="86"/>
      <c r="D1657" s="86"/>
      <c r="E1657" s="86"/>
      <c r="F1657" s="308"/>
    </row>
    <row r="1658" spans="2:6">
      <c r="B1658" s="308"/>
      <c r="C1658" s="86"/>
      <c r="D1658" s="86"/>
      <c r="E1658" s="86"/>
      <c r="F1658" s="308"/>
    </row>
    <row r="1659" spans="2:6">
      <c r="B1659" s="308"/>
      <c r="C1659" s="86"/>
      <c r="D1659" s="86"/>
      <c r="E1659" s="86"/>
      <c r="F1659" s="308"/>
    </row>
    <row r="1660" spans="2:6">
      <c r="B1660" s="308"/>
      <c r="C1660" s="86"/>
      <c r="D1660" s="86"/>
      <c r="E1660" s="86"/>
      <c r="F1660" s="308"/>
    </row>
    <row r="1661" spans="2:6">
      <c r="B1661" s="308"/>
      <c r="C1661" s="86"/>
      <c r="D1661" s="86"/>
      <c r="E1661" s="86"/>
      <c r="F1661" s="308"/>
    </row>
    <row r="1662" spans="2:6">
      <c r="B1662" s="308"/>
      <c r="C1662" s="86"/>
      <c r="D1662" s="86"/>
      <c r="E1662" s="86"/>
      <c r="F1662" s="308"/>
    </row>
    <row r="1663" spans="2:6">
      <c r="B1663" s="308"/>
      <c r="C1663" s="86"/>
      <c r="D1663" s="86"/>
      <c r="E1663" s="86"/>
      <c r="F1663" s="308"/>
    </row>
    <row r="1664" spans="2:6">
      <c r="B1664" s="308"/>
      <c r="C1664" s="86"/>
      <c r="D1664" s="86"/>
      <c r="E1664" s="86"/>
      <c r="F1664" s="308"/>
    </row>
    <row r="1665" spans="2:6">
      <c r="B1665" s="308"/>
      <c r="C1665" s="86"/>
      <c r="D1665" s="86"/>
      <c r="E1665" s="86"/>
      <c r="F1665" s="308"/>
    </row>
    <row r="1666" spans="2:6">
      <c r="B1666" s="308"/>
      <c r="C1666" s="86"/>
      <c r="D1666" s="86"/>
      <c r="E1666" s="86"/>
      <c r="F1666" s="308"/>
    </row>
    <row r="1667" spans="2:6">
      <c r="B1667" s="308"/>
      <c r="C1667" s="86"/>
      <c r="D1667" s="86"/>
      <c r="E1667" s="86"/>
      <c r="F1667" s="308"/>
    </row>
    <row r="1668" spans="2:6">
      <c r="B1668" s="308"/>
      <c r="C1668" s="86"/>
      <c r="D1668" s="86"/>
      <c r="E1668" s="86"/>
      <c r="F1668" s="308"/>
    </row>
    <row r="1669" spans="2:6">
      <c r="B1669" s="308"/>
      <c r="C1669" s="86"/>
      <c r="D1669" s="86"/>
      <c r="E1669" s="86"/>
      <c r="F1669" s="308"/>
    </row>
    <row r="1670" spans="2:6">
      <c r="B1670" s="308"/>
      <c r="C1670" s="86"/>
      <c r="D1670" s="86"/>
      <c r="E1670" s="86"/>
      <c r="F1670" s="308"/>
    </row>
    <row r="1671" spans="2:6">
      <c r="B1671" s="308"/>
      <c r="C1671" s="86"/>
      <c r="D1671" s="86"/>
      <c r="E1671" s="86"/>
      <c r="F1671" s="308"/>
    </row>
    <row r="1672" spans="2:6">
      <c r="B1672" s="308"/>
      <c r="C1672" s="86"/>
      <c r="D1672" s="86"/>
      <c r="E1672" s="86"/>
      <c r="F1672" s="308"/>
    </row>
    <row r="1673" spans="2:6">
      <c r="B1673" s="308"/>
      <c r="C1673" s="86"/>
      <c r="D1673" s="86"/>
      <c r="E1673" s="86"/>
      <c r="F1673" s="308"/>
    </row>
    <row r="1674" spans="2:6">
      <c r="B1674" s="308"/>
      <c r="C1674" s="86"/>
      <c r="D1674" s="86"/>
      <c r="E1674" s="86"/>
      <c r="F1674" s="308"/>
    </row>
    <row r="1675" spans="2:6">
      <c r="B1675" s="308"/>
      <c r="C1675" s="86"/>
      <c r="D1675" s="86"/>
      <c r="E1675" s="86"/>
      <c r="F1675" s="308"/>
    </row>
    <row r="1676" spans="2:6">
      <c r="B1676" s="308"/>
      <c r="C1676" s="86"/>
      <c r="D1676" s="86"/>
      <c r="E1676" s="86"/>
      <c r="F1676" s="308"/>
    </row>
    <row r="1677" spans="2:6">
      <c r="B1677" s="308"/>
      <c r="C1677" s="86"/>
      <c r="D1677" s="86"/>
      <c r="E1677" s="86"/>
      <c r="F1677" s="308"/>
    </row>
    <row r="1678" spans="2:6">
      <c r="B1678" s="308"/>
      <c r="C1678" s="86"/>
      <c r="D1678" s="86"/>
      <c r="E1678" s="86"/>
      <c r="F1678" s="308"/>
    </row>
    <row r="1679" spans="2:6">
      <c r="B1679" s="308"/>
      <c r="C1679" s="86"/>
      <c r="D1679" s="86"/>
      <c r="E1679" s="86"/>
      <c r="F1679" s="308"/>
    </row>
    <row r="1680" spans="2:6">
      <c r="B1680" s="308"/>
      <c r="C1680" s="86"/>
      <c r="D1680" s="86"/>
      <c r="E1680" s="86"/>
      <c r="F1680" s="308"/>
    </row>
    <row r="1681" spans="2:6">
      <c r="B1681" s="308"/>
      <c r="C1681" s="86"/>
      <c r="D1681" s="86"/>
      <c r="E1681" s="86"/>
      <c r="F1681" s="308"/>
    </row>
    <row r="1682" spans="2:6">
      <c r="B1682" s="308"/>
      <c r="C1682" s="86"/>
      <c r="D1682" s="86"/>
      <c r="E1682" s="86"/>
      <c r="F1682" s="308"/>
    </row>
    <row r="1683" spans="2:6">
      <c r="B1683" s="308"/>
      <c r="C1683" s="86"/>
      <c r="D1683" s="86"/>
      <c r="E1683" s="86"/>
      <c r="F1683" s="308"/>
    </row>
    <row r="1684" spans="2:6">
      <c r="B1684" s="308"/>
      <c r="C1684" s="86"/>
      <c r="D1684" s="86"/>
      <c r="E1684" s="86"/>
      <c r="F1684" s="308"/>
    </row>
    <row r="1685" spans="2:6">
      <c r="B1685" s="308"/>
      <c r="C1685" s="86"/>
      <c r="D1685" s="86"/>
      <c r="E1685" s="86"/>
      <c r="F1685" s="308"/>
    </row>
    <row r="1686" spans="2:6">
      <c r="B1686" s="308"/>
      <c r="C1686" s="86"/>
      <c r="D1686" s="86"/>
      <c r="E1686" s="86"/>
      <c r="F1686" s="308"/>
    </row>
    <row r="1687" spans="2:6">
      <c r="B1687" s="308"/>
      <c r="C1687" s="86"/>
      <c r="D1687" s="86"/>
      <c r="E1687" s="86"/>
      <c r="F1687" s="308"/>
    </row>
    <row r="1688" spans="2:6">
      <c r="B1688" s="308"/>
      <c r="C1688" s="86"/>
      <c r="D1688" s="86"/>
      <c r="E1688" s="86"/>
      <c r="F1688" s="308"/>
    </row>
    <row r="1689" spans="2:6">
      <c r="B1689" s="308"/>
      <c r="C1689" s="86"/>
      <c r="D1689" s="86"/>
      <c r="E1689" s="86"/>
      <c r="F1689" s="308"/>
    </row>
    <row r="1690" spans="2:6">
      <c r="B1690" s="308"/>
      <c r="C1690" s="86"/>
      <c r="D1690" s="86"/>
      <c r="E1690" s="86"/>
      <c r="F1690" s="308"/>
    </row>
    <row r="1691" spans="2:6">
      <c r="B1691" s="308"/>
      <c r="C1691" s="86"/>
      <c r="D1691" s="86"/>
      <c r="E1691" s="86"/>
      <c r="F1691" s="308"/>
    </row>
    <row r="1692" spans="2:6">
      <c r="B1692" s="308"/>
      <c r="C1692" s="86"/>
      <c r="D1692" s="86"/>
      <c r="E1692" s="86"/>
      <c r="F1692" s="308"/>
    </row>
    <row r="1693" spans="2:6">
      <c r="B1693" s="308"/>
      <c r="C1693" s="86"/>
      <c r="D1693" s="86"/>
      <c r="E1693" s="86"/>
      <c r="F1693" s="308"/>
    </row>
    <row r="1694" spans="2:6">
      <c r="B1694" s="308"/>
      <c r="C1694" s="86"/>
      <c r="D1694" s="86"/>
      <c r="E1694" s="86"/>
      <c r="F1694" s="308"/>
    </row>
    <row r="1695" spans="2:6">
      <c r="B1695" s="308"/>
      <c r="C1695" s="86"/>
      <c r="D1695" s="86"/>
      <c r="E1695" s="86"/>
      <c r="F1695" s="308"/>
    </row>
    <row r="1696" spans="2:6">
      <c r="B1696" s="308"/>
      <c r="C1696" s="86"/>
      <c r="D1696" s="86"/>
      <c r="E1696" s="86"/>
      <c r="F1696" s="308"/>
    </row>
    <row r="1697" spans="2:6">
      <c r="B1697" s="308"/>
      <c r="C1697" s="86"/>
      <c r="D1697" s="86"/>
      <c r="E1697" s="86"/>
      <c r="F1697" s="308"/>
    </row>
    <row r="1698" spans="2:6">
      <c r="B1698" s="308"/>
      <c r="C1698" s="86"/>
      <c r="D1698" s="86"/>
      <c r="E1698" s="86"/>
      <c r="F1698" s="308"/>
    </row>
    <row r="1699" spans="2:6">
      <c r="B1699" s="308"/>
      <c r="C1699" s="86"/>
      <c r="D1699" s="86"/>
      <c r="E1699" s="86"/>
      <c r="F1699" s="308"/>
    </row>
    <row r="1700" spans="2:6">
      <c r="B1700" s="308"/>
      <c r="C1700" s="86"/>
      <c r="D1700" s="86"/>
      <c r="E1700" s="86"/>
      <c r="F1700" s="308"/>
    </row>
    <row r="1701" spans="2:6">
      <c r="B1701" s="308"/>
      <c r="C1701" s="86"/>
      <c r="D1701" s="86"/>
      <c r="E1701" s="86"/>
      <c r="F1701" s="308"/>
    </row>
    <row r="1702" spans="2:6">
      <c r="B1702" s="308"/>
      <c r="C1702" s="86"/>
      <c r="D1702" s="86"/>
      <c r="E1702" s="86"/>
      <c r="F1702" s="308"/>
    </row>
    <row r="1703" spans="2:6">
      <c r="B1703" s="308"/>
      <c r="C1703" s="86"/>
      <c r="D1703" s="86"/>
      <c r="E1703" s="86"/>
      <c r="F1703" s="308"/>
    </row>
    <row r="1704" spans="2:6">
      <c r="B1704" s="308"/>
      <c r="C1704" s="86"/>
      <c r="D1704" s="86"/>
      <c r="E1704" s="86"/>
      <c r="F1704" s="308"/>
    </row>
    <row r="1705" spans="2:6">
      <c r="B1705" s="308"/>
      <c r="C1705" s="86"/>
      <c r="D1705" s="86"/>
      <c r="E1705" s="86"/>
      <c r="F1705" s="308"/>
    </row>
    <row r="1706" spans="2:6">
      <c r="B1706" s="308"/>
      <c r="C1706" s="86"/>
      <c r="D1706" s="86"/>
      <c r="E1706" s="86"/>
      <c r="F1706" s="308"/>
    </row>
    <row r="1707" spans="2:6">
      <c r="B1707" s="308"/>
      <c r="C1707" s="86"/>
      <c r="D1707" s="86"/>
      <c r="E1707" s="86"/>
      <c r="F1707" s="308"/>
    </row>
    <row r="1708" spans="2:6">
      <c r="B1708" s="308"/>
      <c r="C1708" s="86"/>
      <c r="D1708" s="86"/>
      <c r="E1708" s="86"/>
      <c r="F1708" s="308"/>
    </row>
    <row r="1709" spans="2:6">
      <c r="B1709" s="308"/>
      <c r="C1709" s="86"/>
      <c r="D1709" s="86"/>
      <c r="E1709" s="86"/>
      <c r="F1709" s="308"/>
    </row>
    <row r="1710" spans="2:6">
      <c r="B1710" s="308"/>
      <c r="C1710" s="86"/>
      <c r="D1710" s="86"/>
      <c r="E1710" s="86"/>
      <c r="F1710" s="308"/>
    </row>
    <row r="1711" spans="2:6">
      <c r="B1711" s="308"/>
      <c r="C1711" s="86"/>
      <c r="D1711" s="86"/>
      <c r="E1711" s="86"/>
      <c r="F1711" s="308"/>
    </row>
    <row r="1712" spans="2:6">
      <c r="B1712" s="308"/>
      <c r="C1712" s="86"/>
      <c r="D1712" s="86"/>
      <c r="E1712" s="86"/>
      <c r="F1712" s="308"/>
    </row>
    <row r="1713" spans="2:6">
      <c r="B1713" s="308"/>
      <c r="C1713" s="86"/>
      <c r="D1713" s="86"/>
      <c r="E1713" s="86"/>
      <c r="F1713" s="308"/>
    </row>
    <row r="1714" spans="2:6">
      <c r="B1714" s="308"/>
      <c r="C1714" s="86"/>
      <c r="D1714" s="86"/>
      <c r="E1714" s="86"/>
      <c r="F1714" s="308"/>
    </row>
    <row r="1715" spans="2:6">
      <c r="B1715" s="308"/>
      <c r="C1715" s="86"/>
      <c r="D1715" s="86"/>
      <c r="E1715" s="86"/>
      <c r="F1715" s="308"/>
    </row>
    <row r="1716" spans="2:6">
      <c r="B1716" s="308"/>
      <c r="C1716" s="86"/>
      <c r="D1716" s="86"/>
      <c r="E1716" s="86"/>
      <c r="F1716" s="308"/>
    </row>
    <row r="1717" spans="2:6">
      <c r="B1717" s="308"/>
      <c r="C1717" s="86"/>
      <c r="D1717" s="86"/>
      <c r="E1717" s="86"/>
      <c r="F1717" s="308"/>
    </row>
    <row r="1718" spans="2:6">
      <c r="B1718" s="308"/>
      <c r="C1718" s="86"/>
      <c r="D1718" s="86"/>
      <c r="E1718" s="86"/>
      <c r="F1718" s="308"/>
    </row>
    <row r="1719" spans="2:6">
      <c r="B1719" s="308"/>
      <c r="C1719" s="86"/>
      <c r="D1719" s="86"/>
      <c r="E1719" s="86"/>
      <c r="F1719" s="308"/>
    </row>
    <row r="1720" spans="2:6">
      <c r="B1720" s="308"/>
      <c r="C1720" s="86"/>
      <c r="D1720" s="86"/>
      <c r="E1720" s="86"/>
      <c r="F1720" s="308"/>
    </row>
    <row r="1721" spans="2:6">
      <c r="B1721" s="308"/>
      <c r="C1721" s="86"/>
      <c r="D1721" s="86"/>
      <c r="E1721" s="86"/>
      <c r="F1721" s="308"/>
    </row>
    <row r="1722" spans="2:6">
      <c r="B1722" s="308"/>
      <c r="C1722" s="86"/>
      <c r="D1722" s="86"/>
      <c r="E1722" s="86"/>
      <c r="F1722" s="308"/>
    </row>
    <row r="1723" spans="2:6">
      <c r="B1723" s="308"/>
      <c r="C1723" s="86"/>
      <c r="D1723" s="86"/>
      <c r="E1723" s="86"/>
      <c r="F1723" s="308"/>
    </row>
    <row r="1724" spans="2:6">
      <c r="B1724" s="308"/>
      <c r="C1724" s="86"/>
      <c r="D1724" s="86"/>
      <c r="E1724" s="86"/>
      <c r="F1724" s="308"/>
    </row>
    <row r="1725" spans="2:6">
      <c r="B1725" s="308"/>
      <c r="C1725" s="86"/>
      <c r="D1725" s="86"/>
      <c r="E1725" s="86"/>
      <c r="F1725" s="308"/>
    </row>
    <row r="1726" spans="2:6">
      <c r="B1726" s="308"/>
      <c r="C1726" s="86"/>
      <c r="D1726" s="86"/>
      <c r="E1726" s="86"/>
      <c r="F1726" s="308"/>
    </row>
    <row r="1727" spans="2:6">
      <c r="B1727" s="308"/>
      <c r="C1727" s="86"/>
      <c r="D1727" s="86"/>
      <c r="E1727" s="86"/>
      <c r="F1727" s="308"/>
    </row>
    <row r="1728" spans="2:6">
      <c r="B1728" s="308"/>
      <c r="C1728" s="86"/>
      <c r="D1728" s="86"/>
      <c r="E1728" s="86"/>
      <c r="F1728" s="308"/>
    </row>
    <row r="1729" spans="2:6">
      <c r="B1729" s="308"/>
      <c r="C1729" s="86"/>
      <c r="D1729" s="86"/>
      <c r="E1729" s="86"/>
      <c r="F1729" s="308"/>
    </row>
    <row r="1730" spans="2:6">
      <c r="B1730" s="308"/>
      <c r="C1730" s="86"/>
      <c r="D1730" s="86"/>
      <c r="E1730" s="86"/>
      <c r="F1730" s="308"/>
    </row>
    <row r="1731" spans="2:6">
      <c r="B1731" s="308"/>
      <c r="C1731" s="86"/>
      <c r="D1731" s="86"/>
      <c r="E1731" s="86"/>
      <c r="F1731" s="308"/>
    </row>
    <row r="1732" spans="2:6">
      <c r="B1732" s="308"/>
      <c r="C1732" s="86"/>
      <c r="D1732" s="86"/>
      <c r="E1732" s="86"/>
      <c r="F1732" s="308"/>
    </row>
    <row r="1733" spans="2:6">
      <c r="B1733" s="308"/>
      <c r="C1733" s="86"/>
      <c r="D1733" s="86"/>
      <c r="E1733" s="86"/>
      <c r="F1733" s="308"/>
    </row>
    <row r="1734" spans="2:6">
      <c r="B1734" s="308"/>
      <c r="C1734" s="86"/>
      <c r="D1734" s="86"/>
      <c r="E1734" s="86"/>
      <c r="F1734" s="308"/>
    </row>
    <row r="1735" spans="2:6">
      <c r="B1735" s="308"/>
      <c r="C1735" s="86"/>
      <c r="D1735" s="86"/>
      <c r="E1735" s="86"/>
      <c r="F1735" s="308"/>
    </row>
    <row r="1736" spans="2:6">
      <c r="B1736" s="308"/>
      <c r="C1736" s="86"/>
      <c r="D1736" s="86"/>
      <c r="E1736" s="86"/>
      <c r="F1736" s="308"/>
    </row>
    <row r="1737" spans="2:6">
      <c r="B1737" s="308"/>
      <c r="C1737" s="86"/>
      <c r="D1737" s="86"/>
      <c r="E1737" s="86"/>
      <c r="F1737" s="308"/>
    </row>
    <row r="1738" spans="2:6">
      <c r="B1738" s="308"/>
      <c r="C1738" s="86"/>
      <c r="D1738" s="86"/>
      <c r="E1738" s="86"/>
      <c r="F1738" s="308"/>
    </row>
    <row r="1739" spans="2:6">
      <c r="B1739" s="308"/>
      <c r="C1739" s="86"/>
      <c r="D1739" s="86"/>
      <c r="E1739" s="86"/>
      <c r="F1739" s="308"/>
    </row>
    <row r="1740" spans="2:6">
      <c r="B1740" s="308"/>
      <c r="C1740" s="86"/>
      <c r="D1740" s="86"/>
      <c r="E1740" s="86"/>
      <c r="F1740" s="308"/>
    </row>
    <row r="1741" spans="2:6">
      <c r="B1741" s="308"/>
      <c r="C1741" s="86"/>
      <c r="D1741" s="86"/>
      <c r="E1741" s="86"/>
      <c r="F1741" s="308"/>
    </row>
    <row r="1742" spans="2:6">
      <c r="B1742" s="308"/>
      <c r="C1742" s="86"/>
      <c r="D1742" s="86"/>
      <c r="E1742" s="86"/>
      <c r="F1742" s="308"/>
    </row>
    <row r="1743" spans="2:6">
      <c r="B1743" s="308"/>
      <c r="C1743" s="86"/>
      <c r="D1743" s="86"/>
      <c r="E1743" s="86"/>
      <c r="F1743" s="308"/>
    </row>
    <row r="1744" spans="2:6">
      <c r="B1744" s="308"/>
      <c r="C1744" s="86"/>
      <c r="D1744" s="86"/>
      <c r="E1744" s="86"/>
      <c r="F1744" s="308"/>
    </row>
    <row r="1745" spans="2:6">
      <c r="B1745" s="308"/>
      <c r="C1745" s="86"/>
      <c r="D1745" s="86"/>
      <c r="E1745" s="86"/>
      <c r="F1745" s="308"/>
    </row>
    <row r="1746" spans="2:6">
      <c r="B1746" s="308"/>
      <c r="C1746" s="86"/>
      <c r="D1746" s="86"/>
      <c r="E1746" s="86"/>
      <c r="F1746" s="308"/>
    </row>
    <row r="1747" spans="2:6">
      <c r="B1747" s="308"/>
      <c r="C1747" s="86"/>
      <c r="D1747" s="86"/>
      <c r="E1747" s="86"/>
      <c r="F1747" s="308"/>
    </row>
    <row r="1748" spans="2:6">
      <c r="B1748" s="308"/>
      <c r="C1748" s="86"/>
      <c r="D1748" s="86"/>
      <c r="E1748" s="86"/>
      <c r="F1748" s="308"/>
    </row>
    <row r="1749" spans="2:6">
      <c r="B1749" s="308"/>
      <c r="C1749" s="86"/>
      <c r="D1749" s="86"/>
      <c r="E1749" s="86"/>
      <c r="F1749" s="308"/>
    </row>
    <row r="1750" spans="2:6">
      <c r="B1750" s="308"/>
      <c r="C1750" s="86"/>
      <c r="D1750" s="86"/>
      <c r="E1750" s="86"/>
      <c r="F1750" s="308"/>
    </row>
    <row r="1751" spans="2:6">
      <c r="B1751" s="308"/>
      <c r="C1751" s="86"/>
      <c r="D1751" s="86"/>
      <c r="E1751" s="86"/>
      <c r="F1751" s="308"/>
    </row>
    <row r="1752" spans="2:6">
      <c r="B1752" s="308"/>
      <c r="C1752" s="86"/>
      <c r="D1752" s="86"/>
      <c r="E1752" s="86"/>
      <c r="F1752" s="308"/>
    </row>
    <row r="1753" spans="2:6">
      <c r="B1753" s="308"/>
      <c r="C1753" s="86"/>
      <c r="D1753" s="86"/>
      <c r="E1753" s="86"/>
      <c r="F1753" s="308"/>
    </row>
    <row r="1754" spans="2:6">
      <c r="B1754" s="308"/>
      <c r="C1754" s="86"/>
      <c r="D1754" s="86"/>
      <c r="E1754" s="86"/>
      <c r="F1754" s="308"/>
    </row>
    <row r="1755" spans="2:6">
      <c r="B1755" s="308"/>
      <c r="C1755" s="86"/>
      <c r="D1755" s="86"/>
      <c r="E1755" s="86"/>
      <c r="F1755" s="308"/>
    </row>
    <row r="1756" spans="2:6">
      <c r="B1756" s="308"/>
      <c r="C1756" s="86"/>
      <c r="D1756" s="86"/>
      <c r="E1756" s="86"/>
      <c r="F1756" s="308"/>
    </row>
    <row r="1757" spans="2:6">
      <c r="B1757" s="308"/>
      <c r="C1757" s="86"/>
      <c r="D1757" s="86"/>
      <c r="E1757" s="86"/>
      <c r="F1757" s="308"/>
    </row>
    <row r="1758" spans="2:6">
      <c r="B1758" s="308"/>
      <c r="C1758" s="86"/>
      <c r="D1758" s="86"/>
      <c r="E1758" s="86"/>
      <c r="F1758" s="308"/>
    </row>
    <row r="1759" spans="2:6">
      <c r="B1759" s="308"/>
      <c r="C1759" s="86"/>
      <c r="D1759" s="86"/>
      <c r="E1759" s="86"/>
      <c r="F1759" s="308"/>
    </row>
    <row r="1760" spans="2:6">
      <c r="B1760" s="308"/>
      <c r="C1760" s="86"/>
      <c r="D1760" s="86"/>
      <c r="E1760" s="86"/>
      <c r="F1760" s="308"/>
    </row>
    <row r="1761" spans="2:6">
      <c r="B1761" s="308"/>
      <c r="C1761" s="86"/>
      <c r="D1761" s="86"/>
      <c r="E1761" s="86"/>
      <c r="F1761" s="308"/>
    </row>
    <row r="1762" spans="2:6">
      <c r="B1762" s="308"/>
      <c r="C1762" s="86"/>
      <c r="D1762" s="86"/>
      <c r="E1762" s="86"/>
      <c r="F1762" s="308"/>
    </row>
    <row r="1763" spans="2:6">
      <c r="B1763" s="308"/>
      <c r="C1763" s="86"/>
      <c r="D1763" s="86"/>
      <c r="E1763" s="86"/>
      <c r="F1763" s="308"/>
    </row>
    <row r="1764" spans="2:6">
      <c r="B1764" s="308"/>
      <c r="C1764" s="86"/>
      <c r="D1764" s="86"/>
      <c r="E1764" s="86"/>
      <c r="F1764" s="308"/>
    </row>
    <row r="1765" spans="2:6">
      <c r="B1765" s="308"/>
      <c r="C1765" s="86"/>
      <c r="D1765" s="86"/>
      <c r="E1765" s="86"/>
      <c r="F1765" s="308"/>
    </row>
    <row r="1766" spans="2:6">
      <c r="B1766" s="308"/>
      <c r="C1766" s="86"/>
      <c r="D1766" s="86"/>
      <c r="E1766" s="86"/>
      <c r="F1766" s="308"/>
    </row>
    <row r="1767" spans="2:6">
      <c r="B1767" s="308"/>
      <c r="C1767" s="86"/>
      <c r="D1767" s="86"/>
      <c r="E1767" s="86"/>
      <c r="F1767" s="308"/>
    </row>
    <row r="1768" spans="2:6">
      <c r="B1768" s="308"/>
      <c r="C1768" s="86"/>
      <c r="D1768" s="86"/>
      <c r="E1768" s="86"/>
      <c r="F1768" s="308"/>
    </row>
    <row r="1769" spans="2:6">
      <c r="B1769" s="308"/>
      <c r="C1769" s="86"/>
      <c r="D1769" s="86"/>
      <c r="E1769" s="86"/>
      <c r="F1769" s="308"/>
    </row>
    <row r="1770" spans="2:6">
      <c r="B1770" s="308"/>
      <c r="C1770" s="86"/>
      <c r="D1770" s="86"/>
      <c r="E1770" s="86"/>
      <c r="F1770" s="308"/>
    </row>
    <row r="1771" spans="2:6">
      <c r="B1771" s="308"/>
      <c r="C1771" s="86"/>
      <c r="D1771" s="86"/>
      <c r="E1771" s="86"/>
      <c r="F1771" s="308"/>
    </row>
    <row r="1772" spans="2:6">
      <c r="B1772" s="308"/>
      <c r="C1772" s="86"/>
      <c r="D1772" s="86"/>
      <c r="E1772" s="86"/>
      <c r="F1772" s="308"/>
    </row>
    <row r="1773" spans="2:6">
      <c r="B1773" s="308"/>
      <c r="C1773" s="86"/>
      <c r="D1773" s="86"/>
      <c r="E1773" s="86"/>
      <c r="F1773" s="308"/>
    </row>
    <row r="1774" spans="2:6">
      <c r="B1774" s="308"/>
      <c r="C1774" s="86"/>
      <c r="D1774" s="86"/>
      <c r="E1774" s="86"/>
      <c r="F1774" s="308"/>
    </row>
    <row r="1775" spans="2:6">
      <c r="B1775" s="308"/>
      <c r="C1775" s="86"/>
      <c r="D1775" s="86"/>
      <c r="E1775" s="86"/>
      <c r="F1775" s="308"/>
    </row>
    <row r="1776" spans="2:6">
      <c r="B1776" s="308"/>
      <c r="C1776" s="86"/>
      <c r="D1776" s="86"/>
      <c r="E1776" s="86"/>
      <c r="F1776" s="308"/>
    </row>
    <row r="1777" spans="2:6">
      <c r="B1777" s="308"/>
      <c r="C1777" s="86"/>
      <c r="D1777" s="86"/>
      <c r="E1777" s="86"/>
      <c r="F1777" s="308"/>
    </row>
    <row r="1778" spans="2:6">
      <c r="B1778" s="308"/>
      <c r="C1778" s="86"/>
      <c r="D1778" s="86"/>
      <c r="E1778" s="86"/>
      <c r="F1778" s="308"/>
    </row>
    <row r="1779" spans="2:6">
      <c r="B1779" s="308"/>
      <c r="C1779" s="86"/>
      <c r="D1779" s="86"/>
      <c r="E1779" s="86"/>
      <c r="F1779" s="308"/>
    </row>
    <row r="1780" spans="2:6">
      <c r="B1780" s="308"/>
      <c r="C1780" s="86"/>
      <c r="D1780" s="86"/>
      <c r="E1780" s="86"/>
      <c r="F1780" s="308"/>
    </row>
    <row r="1781" spans="2:6">
      <c r="B1781" s="308"/>
      <c r="C1781" s="86"/>
      <c r="D1781" s="86"/>
      <c r="E1781" s="86"/>
      <c r="F1781" s="308"/>
    </row>
    <row r="1782" spans="2:6">
      <c r="B1782" s="308"/>
      <c r="C1782" s="86"/>
      <c r="D1782" s="86"/>
      <c r="E1782" s="86"/>
      <c r="F1782" s="308"/>
    </row>
    <row r="1783" spans="2:6">
      <c r="B1783" s="308"/>
      <c r="C1783" s="86"/>
      <c r="D1783" s="86"/>
      <c r="E1783" s="86"/>
      <c r="F1783" s="308"/>
    </row>
    <row r="1784" spans="2:6">
      <c r="B1784" s="308"/>
      <c r="C1784" s="86"/>
      <c r="D1784" s="86"/>
      <c r="E1784" s="86"/>
      <c r="F1784" s="308"/>
    </row>
    <row r="1785" spans="2:6">
      <c r="B1785" s="308"/>
      <c r="C1785" s="86"/>
      <c r="D1785" s="86"/>
      <c r="E1785" s="86"/>
      <c r="F1785" s="308"/>
    </row>
    <row r="1786" spans="2:6">
      <c r="B1786" s="308"/>
      <c r="C1786" s="86"/>
      <c r="D1786" s="86"/>
      <c r="E1786" s="86"/>
      <c r="F1786" s="308"/>
    </row>
    <row r="1787" spans="2:6">
      <c r="B1787" s="308"/>
      <c r="C1787" s="86"/>
      <c r="D1787" s="86"/>
      <c r="E1787" s="86"/>
      <c r="F1787" s="308"/>
    </row>
    <row r="1788" spans="2:6">
      <c r="B1788" s="308"/>
      <c r="C1788" s="86"/>
      <c r="D1788" s="86"/>
      <c r="E1788" s="86"/>
      <c r="F1788" s="308"/>
    </row>
    <row r="1789" spans="2:6">
      <c r="B1789" s="308"/>
      <c r="C1789" s="86"/>
      <c r="D1789" s="86"/>
      <c r="E1789" s="86"/>
      <c r="F1789" s="308"/>
    </row>
    <row r="1790" spans="2:6">
      <c r="B1790" s="308"/>
      <c r="C1790" s="86"/>
      <c r="D1790" s="86"/>
      <c r="E1790" s="86"/>
      <c r="F1790" s="308"/>
    </row>
    <row r="1791" spans="2:6">
      <c r="B1791" s="308"/>
      <c r="C1791" s="86"/>
      <c r="D1791" s="86"/>
      <c r="E1791" s="86"/>
      <c r="F1791" s="308"/>
    </row>
    <row r="1792" spans="2:6">
      <c r="B1792" s="308"/>
      <c r="C1792" s="86"/>
      <c r="D1792" s="86"/>
      <c r="E1792" s="86"/>
      <c r="F1792" s="308"/>
    </row>
    <row r="1793" spans="2:6">
      <c r="B1793" s="308"/>
      <c r="C1793" s="86"/>
      <c r="D1793" s="86"/>
      <c r="E1793" s="86"/>
      <c r="F1793" s="308"/>
    </row>
    <row r="1794" spans="2:6">
      <c r="B1794" s="308"/>
      <c r="C1794" s="86"/>
      <c r="D1794" s="86"/>
      <c r="E1794" s="86"/>
      <c r="F1794" s="308"/>
    </row>
    <row r="1795" spans="2:6">
      <c r="B1795" s="308"/>
      <c r="C1795" s="86"/>
      <c r="D1795" s="86"/>
      <c r="E1795" s="86"/>
      <c r="F1795" s="308"/>
    </row>
    <row r="1796" spans="2:6">
      <c r="B1796" s="308"/>
      <c r="C1796" s="86"/>
      <c r="D1796" s="86"/>
      <c r="E1796" s="86"/>
      <c r="F1796" s="308"/>
    </row>
    <row r="1797" spans="2:6">
      <c r="B1797" s="308"/>
      <c r="C1797" s="86"/>
      <c r="D1797" s="86"/>
      <c r="E1797" s="86"/>
      <c r="F1797" s="308"/>
    </row>
    <row r="1798" spans="2:6">
      <c r="B1798" s="308"/>
      <c r="C1798" s="86"/>
      <c r="D1798" s="86"/>
      <c r="E1798" s="86"/>
      <c r="F1798" s="308"/>
    </row>
    <row r="1799" spans="2:6">
      <c r="B1799" s="308"/>
      <c r="C1799" s="86"/>
      <c r="D1799" s="86"/>
      <c r="E1799" s="86"/>
      <c r="F1799" s="308"/>
    </row>
    <row r="1800" spans="2:6">
      <c r="B1800" s="308"/>
      <c r="C1800" s="86"/>
      <c r="D1800" s="86"/>
      <c r="E1800" s="86"/>
      <c r="F1800" s="308"/>
    </row>
    <row r="1801" spans="2:6">
      <c r="B1801" s="308"/>
      <c r="C1801" s="86"/>
      <c r="D1801" s="86"/>
      <c r="E1801" s="86"/>
      <c r="F1801" s="308"/>
    </row>
    <row r="1802" spans="2:6">
      <c r="B1802" s="308"/>
      <c r="C1802" s="86"/>
      <c r="D1802" s="86"/>
      <c r="E1802" s="86"/>
      <c r="F1802" s="308"/>
    </row>
    <row r="1803" spans="2:6">
      <c r="B1803" s="308"/>
      <c r="C1803" s="86"/>
      <c r="D1803" s="86"/>
      <c r="E1803" s="86"/>
      <c r="F1803" s="308"/>
    </row>
    <row r="1804" spans="2:6">
      <c r="B1804" s="308"/>
      <c r="C1804" s="86"/>
      <c r="D1804" s="86"/>
      <c r="E1804" s="86"/>
      <c r="F1804" s="308"/>
    </row>
    <row r="1805" spans="2:6">
      <c r="B1805" s="308"/>
      <c r="C1805" s="86"/>
      <c r="D1805" s="86"/>
      <c r="E1805" s="86"/>
      <c r="F1805" s="308"/>
    </row>
    <row r="1806" spans="2:6">
      <c r="B1806" s="308"/>
      <c r="C1806" s="86"/>
      <c r="D1806" s="86"/>
      <c r="E1806" s="86"/>
      <c r="F1806" s="308"/>
    </row>
    <row r="1807" spans="2:6">
      <c r="B1807" s="308"/>
      <c r="C1807" s="86"/>
      <c r="D1807" s="86"/>
      <c r="E1807" s="86"/>
      <c r="F1807" s="308"/>
    </row>
    <row r="1808" spans="2:6">
      <c r="B1808" s="308"/>
      <c r="C1808" s="86"/>
      <c r="D1808" s="86"/>
      <c r="E1808" s="86"/>
      <c r="F1808" s="308"/>
    </row>
    <row r="1809" spans="2:6">
      <c r="B1809" s="308"/>
      <c r="C1809" s="86"/>
      <c r="D1809" s="86"/>
      <c r="E1809" s="86"/>
      <c r="F1809" s="308"/>
    </row>
    <row r="1810" spans="2:6">
      <c r="B1810" s="308"/>
      <c r="C1810" s="86"/>
      <c r="D1810" s="86"/>
      <c r="E1810" s="86"/>
      <c r="F1810" s="308"/>
    </row>
    <row r="1811" spans="2:6">
      <c r="B1811" s="308"/>
      <c r="C1811" s="86"/>
      <c r="D1811" s="86"/>
      <c r="E1811" s="86"/>
      <c r="F1811" s="308"/>
    </row>
    <row r="1812" spans="2:6">
      <c r="B1812" s="308"/>
      <c r="C1812" s="86"/>
      <c r="D1812" s="86"/>
      <c r="E1812" s="86"/>
      <c r="F1812" s="308"/>
    </row>
    <row r="1813" spans="2:6">
      <c r="B1813" s="308"/>
      <c r="C1813" s="86"/>
      <c r="D1813" s="86"/>
      <c r="E1813" s="86"/>
      <c r="F1813" s="308"/>
    </row>
    <row r="1814" spans="2:6">
      <c r="B1814" s="308"/>
      <c r="C1814" s="86"/>
      <c r="D1814" s="86"/>
      <c r="E1814" s="86"/>
      <c r="F1814" s="308"/>
    </row>
    <row r="1815" spans="2:6">
      <c r="B1815" s="308"/>
      <c r="C1815" s="86"/>
      <c r="D1815" s="86"/>
      <c r="E1815" s="86"/>
      <c r="F1815" s="308"/>
    </row>
    <row r="1816" spans="2:6">
      <c r="B1816" s="308"/>
      <c r="C1816" s="86"/>
      <c r="D1816" s="86"/>
      <c r="E1816" s="86"/>
      <c r="F1816" s="308"/>
    </row>
    <row r="1817" spans="2:6">
      <c r="B1817" s="308"/>
      <c r="C1817" s="86"/>
      <c r="D1817" s="86"/>
      <c r="E1817" s="86"/>
      <c r="F1817" s="308"/>
    </row>
    <row r="1818" spans="2:6">
      <c r="B1818" s="308"/>
      <c r="C1818" s="86"/>
      <c r="D1818" s="86"/>
      <c r="E1818" s="86"/>
      <c r="F1818" s="308"/>
    </row>
    <row r="1819" spans="2:6">
      <c r="B1819" s="308"/>
      <c r="C1819" s="86"/>
      <c r="D1819" s="86"/>
      <c r="E1819" s="86"/>
      <c r="F1819" s="308"/>
    </row>
    <row r="1820" spans="2:6">
      <c r="B1820" s="308"/>
      <c r="C1820" s="86"/>
      <c r="D1820" s="86"/>
      <c r="E1820" s="86"/>
      <c r="F1820" s="308"/>
    </row>
    <row r="1821" spans="2:6">
      <c r="B1821" s="308"/>
      <c r="C1821" s="86"/>
      <c r="D1821" s="86"/>
      <c r="E1821" s="86"/>
      <c r="F1821" s="308"/>
    </row>
    <row r="1822" spans="2:6">
      <c r="B1822" s="308"/>
      <c r="C1822" s="86"/>
      <c r="D1822" s="86"/>
      <c r="E1822" s="86"/>
      <c r="F1822" s="308"/>
    </row>
    <row r="1823" spans="2:6">
      <c r="B1823" s="308"/>
      <c r="C1823" s="86"/>
      <c r="D1823" s="86"/>
      <c r="E1823" s="86"/>
      <c r="F1823" s="308"/>
    </row>
    <row r="1824" spans="2:6">
      <c r="B1824" s="308"/>
      <c r="C1824" s="86"/>
      <c r="D1824" s="86"/>
      <c r="E1824" s="86"/>
      <c r="F1824" s="308"/>
    </row>
    <row r="1825" spans="2:6">
      <c r="B1825" s="308"/>
      <c r="C1825" s="86"/>
      <c r="D1825" s="86"/>
      <c r="E1825" s="86"/>
      <c r="F1825" s="308"/>
    </row>
    <row r="1826" spans="2:6">
      <c r="B1826" s="308"/>
      <c r="C1826" s="86"/>
      <c r="D1826" s="86"/>
      <c r="E1826" s="86"/>
      <c r="F1826" s="308"/>
    </row>
    <row r="1827" spans="2:6">
      <c r="B1827" s="308"/>
      <c r="C1827" s="86"/>
      <c r="D1827" s="86"/>
      <c r="E1827" s="86"/>
      <c r="F1827" s="308"/>
    </row>
    <row r="1828" spans="2:6">
      <c r="B1828" s="308"/>
      <c r="C1828" s="86"/>
      <c r="D1828" s="86"/>
      <c r="E1828" s="86"/>
      <c r="F1828" s="308"/>
    </row>
    <row r="1829" spans="2:6">
      <c r="B1829" s="308"/>
      <c r="C1829" s="86"/>
      <c r="D1829" s="86"/>
      <c r="E1829" s="86"/>
      <c r="F1829" s="308"/>
    </row>
    <row r="1830" spans="2:6">
      <c r="B1830" s="308"/>
      <c r="C1830" s="86"/>
      <c r="D1830" s="86"/>
      <c r="E1830" s="86"/>
      <c r="F1830" s="308"/>
    </row>
    <row r="1831" spans="2:6">
      <c r="B1831" s="308"/>
      <c r="C1831" s="86"/>
      <c r="D1831" s="86"/>
      <c r="E1831" s="86"/>
      <c r="F1831" s="308"/>
    </row>
    <row r="1832" spans="2:6">
      <c r="B1832" s="308"/>
      <c r="C1832" s="86"/>
      <c r="D1832" s="86"/>
      <c r="E1832" s="86"/>
      <c r="F1832" s="308"/>
    </row>
    <row r="1833" spans="2:6">
      <c r="B1833" s="308"/>
      <c r="C1833" s="86"/>
      <c r="D1833" s="86"/>
      <c r="E1833" s="86"/>
      <c r="F1833" s="308"/>
    </row>
    <row r="1834" spans="2:6">
      <c r="B1834" s="308"/>
      <c r="C1834" s="86"/>
      <c r="D1834" s="86"/>
      <c r="E1834" s="86"/>
      <c r="F1834" s="308"/>
    </row>
    <row r="1835" spans="2:6">
      <c r="B1835" s="308"/>
      <c r="C1835" s="86"/>
      <c r="D1835" s="86"/>
      <c r="E1835" s="86"/>
      <c r="F1835" s="308"/>
    </row>
    <row r="1836" spans="2:6">
      <c r="B1836" s="308"/>
      <c r="C1836" s="86"/>
      <c r="D1836" s="86"/>
      <c r="E1836" s="86"/>
      <c r="F1836" s="308"/>
    </row>
    <row r="1837" spans="2:6">
      <c r="B1837" s="308"/>
      <c r="C1837" s="86"/>
      <c r="D1837" s="86"/>
      <c r="E1837" s="86"/>
      <c r="F1837" s="308"/>
    </row>
    <row r="1838" spans="2:6">
      <c r="B1838" s="308"/>
      <c r="C1838" s="86"/>
      <c r="D1838" s="86"/>
      <c r="E1838" s="86"/>
      <c r="F1838" s="308"/>
    </row>
    <row r="1839" spans="2:6">
      <c r="B1839" s="308"/>
      <c r="C1839" s="86"/>
      <c r="D1839" s="86"/>
      <c r="E1839" s="86"/>
      <c r="F1839" s="308"/>
    </row>
    <row r="1840" spans="2:6">
      <c r="B1840" s="308"/>
      <c r="C1840" s="86"/>
      <c r="D1840" s="86"/>
      <c r="E1840" s="86"/>
      <c r="F1840" s="308"/>
    </row>
    <row r="1841" spans="2:6">
      <c r="B1841" s="308"/>
      <c r="C1841" s="86"/>
      <c r="D1841" s="86"/>
      <c r="E1841" s="86"/>
      <c r="F1841" s="308"/>
    </row>
    <row r="1842" spans="2:6">
      <c r="B1842" s="308"/>
      <c r="C1842" s="86"/>
      <c r="D1842" s="86"/>
      <c r="E1842" s="86"/>
      <c r="F1842" s="308"/>
    </row>
    <row r="1843" spans="2:6">
      <c r="B1843" s="308"/>
      <c r="C1843" s="86"/>
      <c r="D1843" s="86"/>
      <c r="E1843" s="86"/>
      <c r="F1843" s="308"/>
    </row>
    <row r="1844" spans="2:6">
      <c r="B1844" s="308"/>
      <c r="C1844" s="86"/>
      <c r="D1844" s="86"/>
      <c r="E1844" s="86"/>
      <c r="F1844" s="308"/>
    </row>
    <row r="1845" spans="2:6">
      <c r="B1845" s="308"/>
      <c r="C1845" s="86"/>
      <c r="D1845" s="86"/>
      <c r="E1845" s="86"/>
      <c r="F1845" s="308"/>
    </row>
    <row r="1846" spans="2:6">
      <c r="B1846" s="308"/>
      <c r="C1846" s="86"/>
      <c r="D1846" s="86"/>
      <c r="E1846" s="86"/>
      <c r="F1846" s="308"/>
    </row>
    <row r="1847" spans="2:6">
      <c r="B1847" s="308"/>
      <c r="C1847" s="86"/>
      <c r="D1847" s="86"/>
      <c r="E1847" s="86"/>
      <c r="F1847" s="308"/>
    </row>
    <row r="1848" spans="2:6">
      <c r="B1848" s="308"/>
      <c r="C1848" s="86"/>
      <c r="D1848" s="86"/>
      <c r="E1848" s="86"/>
      <c r="F1848" s="308"/>
    </row>
    <row r="1849" spans="2:6">
      <c r="B1849" s="308"/>
      <c r="C1849" s="86"/>
      <c r="D1849" s="86"/>
      <c r="E1849" s="86"/>
      <c r="F1849" s="308"/>
    </row>
    <row r="1850" spans="2:6">
      <c r="B1850" s="308"/>
      <c r="C1850" s="86"/>
      <c r="D1850" s="86"/>
      <c r="E1850" s="86"/>
      <c r="F1850" s="308"/>
    </row>
    <row r="1851" spans="2:6">
      <c r="B1851" s="308"/>
      <c r="C1851" s="86"/>
      <c r="D1851" s="86"/>
      <c r="E1851" s="86"/>
      <c r="F1851" s="308"/>
    </row>
    <row r="1852" spans="2:6">
      <c r="B1852" s="308"/>
      <c r="C1852" s="86"/>
      <c r="D1852" s="86"/>
      <c r="E1852" s="86"/>
      <c r="F1852" s="308"/>
    </row>
    <row r="1853" spans="2:6">
      <c r="B1853" s="308"/>
      <c r="C1853" s="86"/>
      <c r="D1853" s="86"/>
      <c r="E1853" s="86"/>
      <c r="F1853" s="308"/>
    </row>
    <row r="1854" spans="2:6">
      <c r="B1854" s="308"/>
      <c r="C1854" s="86"/>
      <c r="D1854" s="86"/>
      <c r="E1854" s="86"/>
      <c r="F1854" s="308"/>
    </row>
    <row r="1855" spans="2:6">
      <c r="B1855" s="308"/>
      <c r="C1855" s="86"/>
      <c r="D1855" s="86"/>
      <c r="E1855" s="86"/>
      <c r="F1855" s="308"/>
    </row>
    <row r="1856" spans="2:6">
      <c r="B1856" s="308"/>
      <c r="C1856" s="86"/>
      <c r="D1856" s="86"/>
      <c r="E1856" s="86"/>
      <c r="F1856" s="308"/>
    </row>
    <row r="1857" spans="2:6">
      <c r="B1857" s="308"/>
      <c r="C1857" s="86"/>
      <c r="D1857" s="86"/>
      <c r="E1857" s="86"/>
      <c r="F1857" s="308"/>
    </row>
    <row r="1858" spans="2:6">
      <c r="B1858" s="308"/>
      <c r="C1858" s="86"/>
      <c r="D1858" s="86"/>
      <c r="E1858" s="86"/>
      <c r="F1858" s="308"/>
    </row>
    <row r="1859" spans="2:6">
      <c r="B1859" s="308"/>
      <c r="C1859" s="86"/>
      <c r="D1859" s="86"/>
      <c r="E1859" s="86"/>
      <c r="F1859" s="308"/>
    </row>
    <row r="1860" spans="2:6">
      <c r="B1860" s="308"/>
      <c r="C1860" s="86"/>
      <c r="D1860" s="86"/>
      <c r="E1860" s="86"/>
      <c r="F1860" s="308"/>
    </row>
    <row r="1861" spans="2:6">
      <c r="B1861" s="308"/>
      <c r="C1861" s="86"/>
      <c r="D1861" s="86"/>
      <c r="E1861" s="86"/>
      <c r="F1861" s="308"/>
    </row>
    <row r="1862" spans="2:6">
      <c r="B1862" s="308"/>
      <c r="C1862" s="86"/>
      <c r="D1862" s="86"/>
      <c r="E1862" s="86"/>
      <c r="F1862" s="308"/>
    </row>
    <row r="1863" spans="2:6">
      <c r="B1863" s="308"/>
      <c r="C1863" s="86"/>
      <c r="D1863" s="86"/>
      <c r="E1863" s="86"/>
      <c r="F1863" s="308"/>
    </row>
    <row r="1864" spans="2:6">
      <c r="B1864" s="308"/>
      <c r="C1864" s="86"/>
      <c r="D1864" s="86"/>
      <c r="E1864" s="86"/>
      <c r="F1864" s="308"/>
    </row>
    <row r="1865" spans="2:6">
      <c r="B1865" s="308"/>
      <c r="C1865" s="86"/>
      <c r="D1865" s="86"/>
      <c r="E1865" s="86"/>
      <c r="F1865" s="308"/>
    </row>
    <row r="1866" spans="2:6">
      <c r="B1866" s="308"/>
      <c r="C1866" s="86"/>
      <c r="D1866" s="86"/>
      <c r="E1866" s="86"/>
      <c r="F1866" s="308"/>
    </row>
    <row r="1867" spans="2:6">
      <c r="B1867" s="308"/>
      <c r="C1867" s="86"/>
      <c r="D1867" s="86"/>
      <c r="E1867" s="86"/>
      <c r="F1867" s="308"/>
    </row>
    <row r="1868" spans="2:6">
      <c r="B1868" s="308"/>
      <c r="C1868" s="86"/>
      <c r="D1868" s="86"/>
      <c r="E1868" s="86"/>
      <c r="F1868" s="308"/>
    </row>
    <row r="1869" spans="2:6">
      <c r="B1869" s="308"/>
      <c r="C1869" s="86"/>
      <c r="D1869" s="86"/>
      <c r="E1869" s="86"/>
      <c r="F1869" s="308"/>
    </row>
    <row r="1870" spans="2:6">
      <c r="B1870" s="308"/>
      <c r="C1870" s="86"/>
      <c r="D1870" s="86"/>
      <c r="E1870" s="86"/>
      <c r="F1870" s="308"/>
    </row>
    <row r="1871" spans="2:6">
      <c r="B1871" s="308"/>
      <c r="C1871" s="86"/>
      <c r="D1871" s="86"/>
      <c r="E1871" s="86"/>
      <c r="F1871" s="308"/>
    </row>
    <row r="1872" spans="2:6">
      <c r="B1872" s="308"/>
      <c r="C1872" s="86"/>
      <c r="D1872" s="86"/>
      <c r="E1872" s="86"/>
      <c r="F1872" s="308"/>
    </row>
    <row r="1873" spans="2:6">
      <c r="B1873" s="308"/>
      <c r="C1873" s="86"/>
      <c r="D1873" s="86"/>
      <c r="E1873" s="86"/>
      <c r="F1873" s="308"/>
    </row>
    <row r="1874" spans="2:6">
      <c r="B1874" s="308"/>
      <c r="C1874" s="86"/>
      <c r="D1874" s="86"/>
      <c r="E1874" s="86"/>
      <c r="F1874" s="308"/>
    </row>
    <row r="1875" spans="2:6">
      <c r="B1875" s="308"/>
      <c r="C1875" s="86"/>
      <c r="D1875" s="86"/>
      <c r="E1875" s="86"/>
      <c r="F1875" s="308"/>
    </row>
    <row r="1876" spans="2:6">
      <c r="B1876" s="308"/>
      <c r="C1876" s="86"/>
      <c r="D1876" s="86"/>
      <c r="E1876" s="86"/>
      <c r="F1876" s="308"/>
    </row>
    <row r="1877" spans="2:6">
      <c r="B1877" s="308"/>
      <c r="C1877" s="86"/>
      <c r="D1877" s="86"/>
      <c r="E1877" s="86"/>
      <c r="F1877" s="308"/>
    </row>
    <row r="1878" spans="2:6">
      <c r="B1878" s="308"/>
      <c r="C1878" s="86"/>
      <c r="D1878" s="86"/>
      <c r="E1878" s="86"/>
      <c r="F1878" s="308"/>
    </row>
    <row r="1879" spans="2:6">
      <c r="B1879" s="308"/>
      <c r="C1879" s="86"/>
      <c r="D1879" s="86"/>
      <c r="E1879" s="86"/>
      <c r="F1879" s="308"/>
    </row>
    <row r="1880" spans="2:6">
      <c r="B1880" s="308"/>
      <c r="C1880" s="86"/>
      <c r="D1880" s="86"/>
      <c r="E1880" s="86"/>
      <c r="F1880" s="308"/>
    </row>
    <row r="1881" spans="2:6">
      <c r="B1881" s="308"/>
      <c r="C1881" s="86"/>
      <c r="D1881" s="86"/>
      <c r="E1881" s="86"/>
      <c r="F1881" s="308"/>
    </row>
    <row r="1882" spans="2:6">
      <c r="B1882" s="308"/>
      <c r="C1882" s="86"/>
      <c r="D1882" s="86"/>
      <c r="E1882" s="86"/>
      <c r="F1882" s="308"/>
    </row>
    <row r="1883" spans="2:6">
      <c r="B1883" s="308"/>
      <c r="C1883" s="86"/>
      <c r="D1883" s="86"/>
      <c r="E1883" s="86"/>
      <c r="F1883" s="308"/>
    </row>
    <row r="1884" spans="2:6">
      <c r="B1884" s="308"/>
      <c r="C1884" s="86"/>
      <c r="D1884" s="86"/>
      <c r="E1884" s="86"/>
      <c r="F1884" s="308"/>
    </row>
    <row r="1885" spans="2:6">
      <c r="B1885" s="308"/>
      <c r="C1885" s="86"/>
      <c r="D1885" s="86"/>
      <c r="E1885" s="86"/>
      <c r="F1885" s="308"/>
    </row>
    <row r="1886" spans="2:6">
      <c r="B1886" s="308"/>
      <c r="C1886" s="86"/>
      <c r="D1886" s="86"/>
      <c r="E1886" s="86"/>
      <c r="F1886" s="308"/>
    </row>
    <row r="1887" spans="2:6">
      <c r="B1887" s="308"/>
      <c r="C1887" s="86"/>
      <c r="D1887" s="86"/>
      <c r="E1887" s="86"/>
      <c r="F1887" s="308"/>
    </row>
    <row r="1888" spans="2:6">
      <c r="B1888" s="308"/>
      <c r="C1888" s="86"/>
      <c r="D1888" s="86"/>
      <c r="E1888" s="86"/>
      <c r="F1888" s="308"/>
    </row>
    <row r="1889" spans="2:6">
      <c r="B1889" s="308"/>
      <c r="C1889" s="86"/>
      <c r="D1889" s="86"/>
      <c r="E1889" s="86"/>
      <c r="F1889" s="308"/>
    </row>
    <row r="1890" spans="2:6">
      <c r="B1890" s="308"/>
      <c r="C1890" s="86"/>
      <c r="D1890" s="86"/>
      <c r="E1890" s="86"/>
      <c r="F1890" s="308"/>
    </row>
    <row r="1891" spans="2:6">
      <c r="B1891" s="308"/>
      <c r="C1891" s="86"/>
      <c r="D1891" s="86"/>
      <c r="E1891" s="86"/>
      <c r="F1891" s="308"/>
    </row>
    <row r="1892" spans="2:6">
      <c r="B1892" s="308"/>
      <c r="C1892" s="86"/>
      <c r="D1892" s="86"/>
      <c r="E1892" s="86"/>
      <c r="F1892" s="308"/>
    </row>
    <row r="1893" spans="2:6">
      <c r="B1893" s="308"/>
      <c r="C1893" s="86"/>
      <c r="D1893" s="86"/>
      <c r="E1893" s="86"/>
      <c r="F1893" s="308"/>
    </row>
    <row r="1894" spans="2:6">
      <c r="B1894" s="308"/>
      <c r="C1894" s="86"/>
      <c r="D1894" s="86"/>
      <c r="E1894" s="86"/>
      <c r="F1894" s="308"/>
    </row>
    <row r="1895" spans="2:6">
      <c r="B1895" s="308"/>
      <c r="C1895" s="86"/>
      <c r="D1895" s="86"/>
      <c r="E1895" s="86"/>
      <c r="F1895" s="308"/>
    </row>
    <row r="1896" spans="2:6">
      <c r="B1896" s="308"/>
      <c r="C1896" s="86"/>
      <c r="D1896" s="86"/>
      <c r="E1896" s="86"/>
      <c r="F1896" s="308"/>
    </row>
    <row r="1897" spans="2:6">
      <c r="B1897" s="308"/>
      <c r="C1897" s="86"/>
      <c r="D1897" s="86"/>
      <c r="E1897" s="86"/>
      <c r="F1897" s="308"/>
    </row>
    <row r="1898" spans="2:6">
      <c r="B1898" s="308"/>
      <c r="C1898" s="86"/>
      <c r="D1898" s="86"/>
      <c r="E1898" s="86"/>
      <c r="F1898" s="308"/>
    </row>
    <row r="1899" spans="2:6">
      <c r="B1899" s="308"/>
      <c r="C1899" s="86"/>
      <c r="D1899" s="86"/>
      <c r="E1899" s="86"/>
      <c r="F1899" s="308"/>
    </row>
    <row r="1900" spans="2:6">
      <c r="B1900" s="308"/>
      <c r="C1900" s="86"/>
      <c r="D1900" s="86"/>
      <c r="E1900" s="86"/>
      <c r="F1900" s="308"/>
    </row>
    <row r="1901" spans="2:6">
      <c r="B1901" s="308"/>
      <c r="C1901" s="86"/>
      <c r="D1901" s="86"/>
      <c r="E1901" s="86"/>
      <c r="F1901" s="308"/>
    </row>
    <row r="1902" spans="2:6">
      <c r="B1902" s="308"/>
      <c r="C1902" s="86"/>
      <c r="D1902" s="86"/>
      <c r="E1902" s="86"/>
      <c r="F1902" s="308"/>
    </row>
    <row r="1903" spans="2:6">
      <c r="B1903" s="308"/>
      <c r="C1903" s="86"/>
      <c r="D1903" s="86"/>
      <c r="E1903" s="86"/>
      <c r="F1903" s="308"/>
    </row>
    <row r="1904" spans="2:6">
      <c r="B1904" s="308"/>
      <c r="C1904" s="86"/>
      <c r="D1904" s="86"/>
      <c r="E1904" s="86"/>
      <c r="F1904" s="308"/>
    </row>
    <row r="1905" spans="2:6">
      <c r="B1905" s="308"/>
      <c r="C1905" s="86"/>
      <c r="D1905" s="86"/>
      <c r="E1905" s="86"/>
      <c r="F1905" s="308"/>
    </row>
    <row r="1906" spans="2:6">
      <c r="B1906" s="308"/>
      <c r="C1906" s="86"/>
      <c r="D1906" s="86"/>
      <c r="E1906" s="86"/>
      <c r="F1906" s="308"/>
    </row>
    <row r="1907" spans="2:6">
      <c r="B1907" s="308"/>
      <c r="C1907" s="86"/>
      <c r="D1907" s="86"/>
      <c r="E1907" s="86"/>
      <c r="F1907" s="308"/>
    </row>
    <row r="1908" spans="2:6">
      <c r="B1908" s="308"/>
      <c r="C1908" s="86"/>
      <c r="D1908" s="86"/>
      <c r="E1908" s="86"/>
      <c r="F1908" s="308"/>
    </row>
    <row r="1909" spans="2:6">
      <c r="B1909" s="308"/>
      <c r="C1909" s="86"/>
      <c r="D1909" s="86"/>
      <c r="E1909" s="86"/>
      <c r="F1909" s="308"/>
    </row>
    <row r="1910" spans="2:6">
      <c r="B1910" s="308"/>
      <c r="C1910" s="86"/>
      <c r="D1910" s="86"/>
      <c r="E1910" s="86"/>
      <c r="F1910" s="308"/>
    </row>
    <row r="1911" spans="2:6">
      <c r="B1911" s="308"/>
      <c r="C1911" s="86"/>
      <c r="D1911" s="86"/>
      <c r="E1911" s="86"/>
      <c r="F1911" s="308"/>
    </row>
    <row r="1912" spans="2:6">
      <c r="B1912" s="308"/>
      <c r="C1912" s="86"/>
      <c r="D1912" s="86"/>
      <c r="E1912" s="86"/>
      <c r="F1912" s="308"/>
    </row>
    <row r="1913" spans="2:6">
      <c r="B1913" s="308"/>
      <c r="C1913" s="86"/>
      <c r="D1913" s="86"/>
      <c r="E1913" s="86"/>
      <c r="F1913" s="308"/>
    </row>
    <row r="1914" spans="2:6">
      <c r="B1914" s="308"/>
      <c r="C1914" s="86"/>
      <c r="D1914" s="86"/>
      <c r="E1914" s="86"/>
      <c r="F1914" s="308"/>
    </row>
    <row r="1915" spans="2:6">
      <c r="B1915" s="308"/>
      <c r="C1915" s="86"/>
      <c r="D1915" s="86"/>
      <c r="E1915" s="86"/>
      <c r="F1915" s="308"/>
    </row>
    <row r="1916" spans="2:6">
      <c r="B1916" s="308"/>
      <c r="C1916" s="86"/>
      <c r="D1916" s="86"/>
      <c r="E1916" s="86"/>
      <c r="F1916" s="308"/>
    </row>
    <row r="1917" spans="2:6">
      <c r="B1917" s="308"/>
      <c r="C1917" s="86"/>
      <c r="D1917" s="86"/>
      <c r="E1917" s="86"/>
      <c r="F1917" s="308"/>
    </row>
    <row r="1918" spans="2:6">
      <c r="B1918" s="308"/>
      <c r="C1918" s="86"/>
      <c r="D1918" s="86"/>
      <c r="E1918" s="86"/>
      <c r="F1918" s="308"/>
    </row>
    <row r="1919" spans="2:6">
      <c r="B1919" s="308"/>
      <c r="C1919" s="86"/>
      <c r="D1919" s="86"/>
      <c r="E1919" s="86"/>
      <c r="F1919" s="308"/>
    </row>
    <row r="1920" spans="2:6">
      <c r="B1920" s="308"/>
      <c r="C1920" s="86"/>
      <c r="D1920" s="86"/>
      <c r="E1920" s="86"/>
      <c r="F1920" s="308"/>
    </row>
    <row r="1921" spans="2:6">
      <c r="B1921" s="308"/>
      <c r="C1921" s="86"/>
      <c r="D1921" s="86"/>
      <c r="E1921" s="86"/>
      <c r="F1921" s="308"/>
    </row>
    <row r="1922" spans="2:6">
      <c r="B1922" s="308"/>
      <c r="C1922" s="86"/>
      <c r="D1922" s="86"/>
      <c r="E1922" s="86"/>
      <c r="F1922" s="308"/>
    </row>
    <row r="1923" spans="2:6">
      <c r="B1923" s="308"/>
      <c r="C1923" s="86"/>
      <c r="D1923" s="86"/>
      <c r="E1923" s="86"/>
      <c r="F1923" s="308"/>
    </row>
    <row r="1924" spans="2:6">
      <c r="B1924" s="308"/>
      <c r="C1924" s="86"/>
      <c r="D1924" s="86"/>
      <c r="E1924" s="86"/>
      <c r="F1924" s="308"/>
    </row>
    <row r="1925" spans="2:6">
      <c r="B1925" s="308"/>
      <c r="C1925" s="86"/>
      <c r="D1925" s="86"/>
      <c r="E1925" s="86"/>
      <c r="F1925" s="308"/>
    </row>
    <row r="1926" spans="2:6">
      <c r="B1926" s="308"/>
      <c r="C1926" s="86"/>
      <c r="D1926" s="86"/>
      <c r="E1926" s="86"/>
      <c r="F1926" s="308"/>
    </row>
    <row r="1927" spans="2:6">
      <c r="B1927" s="308"/>
      <c r="C1927" s="86"/>
      <c r="D1927" s="86"/>
      <c r="E1927" s="86"/>
      <c r="F1927" s="308"/>
    </row>
    <row r="1928" spans="2:6">
      <c r="B1928" s="308"/>
      <c r="C1928" s="86"/>
      <c r="D1928" s="86"/>
      <c r="E1928" s="86"/>
      <c r="F1928" s="308"/>
    </row>
    <row r="1929" spans="2:6">
      <c r="B1929" s="308"/>
      <c r="C1929" s="86"/>
      <c r="D1929" s="86"/>
      <c r="E1929" s="86"/>
      <c r="F1929" s="308"/>
    </row>
    <row r="1930" spans="2:6">
      <c r="B1930" s="308"/>
      <c r="C1930" s="86"/>
      <c r="D1930" s="86"/>
      <c r="E1930" s="86"/>
      <c r="F1930" s="308"/>
    </row>
    <row r="1931" spans="2:6">
      <c r="B1931" s="308"/>
      <c r="C1931" s="86"/>
      <c r="D1931" s="86"/>
      <c r="E1931" s="86"/>
      <c r="F1931" s="308"/>
    </row>
    <row r="1932" spans="2:6">
      <c r="B1932" s="308"/>
      <c r="C1932" s="86"/>
      <c r="D1932" s="86"/>
      <c r="E1932" s="86"/>
      <c r="F1932" s="308"/>
    </row>
    <row r="1933" spans="2:6">
      <c r="B1933" s="308"/>
      <c r="C1933" s="86"/>
      <c r="D1933" s="86"/>
      <c r="E1933" s="86"/>
      <c r="F1933" s="308"/>
    </row>
    <row r="1934" spans="2:6">
      <c r="B1934" s="308"/>
      <c r="C1934" s="86"/>
      <c r="D1934" s="86"/>
      <c r="E1934" s="86"/>
      <c r="F1934" s="308"/>
    </row>
    <row r="1935" spans="2:6">
      <c r="B1935" s="308"/>
      <c r="C1935" s="86"/>
      <c r="D1935" s="86"/>
      <c r="E1935" s="86"/>
      <c r="F1935" s="308"/>
    </row>
    <row r="1936" spans="2:6">
      <c r="B1936" s="308"/>
      <c r="C1936" s="86"/>
      <c r="D1936" s="86"/>
      <c r="E1936" s="86"/>
      <c r="F1936" s="308"/>
    </row>
    <row r="1937" spans="2:6">
      <c r="B1937" s="308"/>
      <c r="C1937" s="86"/>
      <c r="D1937" s="86"/>
      <c r="E1937" s="86"/>
      <c r="F1937" s="308"/>
    </row>
    <row r="1938" spans="2:6">
      <c r="B1938" s="308"/>
      <c r="C1938" s="86"/>
      <c r="D1938" s="86"/>
      <c r="E1938" s="86"/>
      <c r="F1938" s="308"/>
    </row>
    <row r="1939" spans="2:6">
      <c r="B1939" s="308"/>
      <c r="C1939" s="86"/>
      <c r="D1939" s="86"/>
      <c r="E1939" s="86"/>
      <c r="F1939" s="308"/>
    </row>
    <row r="1940" spans="2:6">
      <c r="B1940" s="308"/>
      <c r="C1940" s="86"/>
      <c r="D1940" s="86"/>
      <c r="E1940" s="86"/>
      <c r="F1940" s="308"/>
    </row>
    <row r="1941" spans="2:6">
      <c r="B1941" s="308"/>
      <c r="C1941" s="86"/>
      <c r="D1941" s="86"/>
      <c r="E1941" s="86"/>
      <c r="F1941" s="308"/>
    </row>
    <row r="1942" spans="2:6">
      <c r="B1942" s="308"/>
      <c r="C1942" s="86"/>
      <c r="D1942" s="86"/>
      <c r="E1942" s="86"/>
      <c r="F1942" s="308"/>
    </row>
    <row r="1943" spans="2:6">
      <c r="B1943" s="308"/>
      <c r="C1943" s="86"/>
      <c r="D1943" s="86"/>
      <c r="E1943" s="86"/>
      <c r="F1943" s="308"/>
    </row>
    <row r="1944" spans="2:6">
      <c r="B1944" s="308"/>
      <c r="C1944" s="86"/>
      <c r="D1944" s="86"/>
      <c r="E1944" s="86"/>
      <c r="F1944" s="308"/>
    </row>
    <row r="1945" spans="2:6">
      <c r="B1945" s="308"/>
      <c r="C1945" s="86"/>
      <c r="D1945" s="86"/>
      <c r="E1945" s="86"/>
      <c r="F1945" s="308"/>
    </row>
    <row r="1946" spans="2:6">
      <c r="B1946" s="308"/>
      <c r="C1946" s="86"/>
      <c r="D1946" s="86"/>
      <c r="E1946" s="86"/>
      <c r="F1946" s="308"/>
    </row>
    <row r="1947" spans="2:6">
      <c r="B1947" s="308"/>
      <c r="C1947" s="86"/>
      <c r="D1947" s="86"/>
      <c r="E1947" s="86"/>
      <c r="F1947" s="308"/>
    </row>
    <row r="1948" spans="2:6">
      <c r="B1948" s="308"/>
      <c r="C1948" s="86"/>
      <c r="D1948" s="86"/>
      <c r="E1948" s="86"/>
      <c r="F1948" s="308"/>
    </row>
    <row r="1949" spans="2:6">
      <c r="B1949" s="308"/>
      <c r="C1949" s="86"/>
      <c r="D1949" s="86"/>
      <c r="E1949" s="86"/>
      <c r="F1949" s="308"/>
    </row>
    <row r="1950" spans="2:6">
      <c r="B1950" s="308"/>
      <c r="C1950" s="86"/>
      <c r="D1950" s="86"/>
      <c r="E1950" s="86"/>
      <c r="F1950" s="308"/>
    </row>
    <row r="1951" spans="2:6">
      <c r="B1951" s="308"/>
      <c r="C1951" s="86"/>
      <c r="D1951" s="86"/>
      <c r="E1951" s="86"/>
      <c r="F1951" s="308"/>
    </row>
    <row r="1952" spans="2:6">
      <c r="B1952" s="308"/>
      <c r="C1952" s="86"/>
      <c r="D1952" s="86"/>
      <c r="E1952" s="86"/>
      <c r="F1952" s="308"/>
    </row>
    <row r="1953" spans="2:6">
      <c r="B1953" s="308"/>
      <c r="C1953" s="86"/>
      <c r="D1953" s="86"/>
      <c r="E1953" s="86"/>
      <c r="F1953" s="308"/>
    </row>
    <row r="1954" spans="2:6">
      <c r="B1954" s="308"/>
      <c r="C1954" s="86"/>
      <c r="D1954" s="86"/>
      <c r="E1954" s="86"/>
      <c r="F1954" s="308"/>
    </row>
    <row r="1955" spans="2:6">
      <c r="B1955" s="308"/>
      <c r="C1955" s="86"/>
      <c r="D1955" s="86"/>
      <c r="E1955" s="86"/>
      <c r="F1955" s="308"/>
    </row>
    <row r="1956" spans="2:6">
      <c r="B1956" s="308"/>
      <c r="C1956" s="86"/>
      <c r="D1956" s="86"/>
      <c r="E1956" s="86"/>
      <c r="F1956" s="308"/>
    </row>
    <row r="1957" spans="2:6">
      <c r="B1957" s="308"/>
      <c r="C1957" s="86"/>
      <c r="D1957" s="86"/>
      <c r="E1957" s="86"/>
      <c r="F1957" s="308"/>
    </row>
    <row r="1958" spans="2:6">
      <c r="B1958" s="308"/>
      <c r="C1958" s="86"/>
      <c r="D1958" s="86"/>
      <c r="E1958" s="86"/>
      <c r="F1958" s="308"/>
    </row>
    <row r="1959" spans="2:6">
      <c r="B1959" s="308"/>
      <c r="C1959" s="86"/>
      <c r="D1959" s="86"/>
      <c r="E1959" s="86"/>
      <c r="F1959" s="308"/>
    </row>
    <row r="1960" spans="2:6">
      <c r="B1960" s="308"/>
      <c r="C1960" s="86"/>
      <c r="D1960" s="86"/>
      <c r="E1960" s="86"/>
      <c r="F1960" s="308"/>
    </row>
    <row r="1961" spans="2:6">
      <c r="B1961" s="308"/>
      <c r="C1961" s="86"/>
      <c r="D1961" s="86"/>
      <c r="E1961" s="86"/>
      <c r="F1961" s="308"/>
    </row>
    <row r="1962" spans="2:6">
      <c r="B1962" s="308"/>
      <c r="C1962" s="86"/>
      <c r="D1962" s="86"/>
      <c r="E1962" s="86"/>
      <c r="F1962" s="308"/>
    </row>
    <row r="1963" spans="2:6">
      <c r="B1963" s="308"/>
      <c r="C1963" s="86"/>
      <c r="D1963" s="86"/>
      <c r="E1963" s="86"/>
      <c r="F1963" s="308"/>
    </row>
    <row r="1964" spans="2:6">
      <c r="B1964" s="308"/>
      <c r="C1964" s="86"/>
      <c r="D1964" s="86"/>
      <c r="E1964" s="86"/>
      <c r="F1964" s="308"/>
    </row>
    <row r="1965" spans="2:6">
      <c r="B1965" s="308"/>
      <c r="C1965" s="86"/>
      <c r="D1965" s="86"/>
      <c r="E1965" s="86"/>
      <c r="F1965" s="308"/>
    </row>
    <row r="1966" spans="2:6">
      <c r="B1966" s="308"/>
      <c r="C1966" s="86"/>
      <c r="D1966" s="86"/>
      <c r="E1966" s="86"/>
      <c r="F1966" s="308"/>
    </row>
    <row r="1967" spans="2:6">
      <c r="B1967" s="308"/>
      <c r="C1967" s="86"/>
      <c r="D1967" s="86"/>
      <c r="E1967" s="86"/>
      <c r="F1967" s="308"/>
    </row>
    <row r="1968" spans="2:6">
      <c r="B1968" s="308"/>
      <c r="C1968" s="86"/>
      <c r="D1968" s="86"/>
      <c r="E1968" s="86"/>
      <c r="F1968" s="308"/>
    </row>
    <row r="1969" spans="2:6">
      <c r="B1969" s="308"/>
      <c r="C1969" s="86"/>
      <c r="D1969" s="86"/>
      <c r="E1969" s="86"/>
      <c r="F1969" s="308"/>
    </row>
    <row r="1970" spans="2:6">
      <c r="B1970" s="308"/>
      <c r="C1970" s="86"/>
      <c r="D1970" s="86"/>
      <c r="E1970" s="86"/>
      <c r="F1970" s="308"/>
    </row>
    <row r="1971" spans="2:6">
      <c r="B1971" s="308"/>
      <c r="C1971" s="86"/>
      <c r="D1971" s="86"/>
      <c r="E1971" s="86"/>
      <c r="F1971" s="308"/>
    </row>
    <row r="1972" spans="2:6">
      <c r="B1972" s="308"/>
      <c r="C1972" s="86"/>
      <c r="D1972" s="86"/>
      <c r="E1972" s="86"/>
      <c r="F1972" s="308"/>
    </row>
    <row r="1973" spans="2:6">
      <c r="B1973" s="308"/>
      <c r="C1973" s="86"/>
      <c r="D1973" s="86"/>
      <c r="E1973" s="86"/>
      <c r="F1973" s="308"/>
    </row>
    <row r="1974" spans="2:6">
      <c r="B1974" s="308"/>
      <c r="C1974" s="86"/>
      <c r="D1974" s="86"/>
      <c r="E1974" s="86"/>
      <c r="F1974" s="308"/>
    </row>
    <row r="1975" spans="2:6">
      <c r="B1975" s="308"/>
      <c r="C1975" s="86"/>
      <c r="D1975" s="86"/>
      <c r="E1975" s="86"/>
      <c r="F1975" s="308"/>
    </row>
    <row r="1976" spans="2:6">
      <c r="B1976" s="308"/>
      <c r="C1976" s="86"/>
      <c r="D1976" s="86"/>
      <c r="E1976" s="86"/>
      <c r="F1976" s="308"/>
    </row>
    <row r="1977" spans="2:6">
      <c r="B1977" s="308"/>
      <c r="C1977" s="86"/>
      <c r="D1977" s="86"/>
      <c r="E1977" s="86"/>
      <c r="F1977" s="308"/>
    </row>
    <row r="1978" spans="2:6">
      <c r="B1978" s="308"/>
      <c r="C1978" s="86"/>
      <c r="D1978" s="86"/>
      <c r="E1978" s="86"/>
      <c r="F1978" s="308"/>
    </row>
    <row r="1979" spans="2:6">
      <c r="B1979" s="308"/>
      <c r="C1979" s="86"/>
      <c r="D1979" s="86"/>
      <c r="E1979" s="86"/>
      <c r="F1979" s="308"/>
    </row>
    <row r="1980" spans="2:6">
      <c r="B1980" s="308"/>
      <c r="C1980" s="86"/>
      <c r="D1980" s="86"/>
      <c r="E1980" s="86"/>
      <c r="F1980" s="308"/>
    </row>
    <row r="1981" spans="2:6">
      <c r="B1981" s="308"/>
      <c r="C1981" s="86"/>
      <c r="D1981" s="86"/>
      <c r="E1981" s="86"/>
      <c r="F1981" s="308"/>
    </row>
    <row r="1982" spans="2:6">
      <c r="B1982" s="308"/>
      <c r="C1982" s="86"/>
      <c r="D1982" s="86"/>
      <c r="E1982" s="86"/>
      <c r="F1982" s="308"/>
    </row>
    <row r="1983" spans="2:6">
      <c r="B1983" s="308"/>
      <c r="C1983" s="86"/>
      <c r="D1983" s="86"/>
      <c r="E1983" s="86"/>
      <c r="F1983" s="308"/>
    </row>
    <row r="1984" spans="2:6">
      <c r="B1984" s="308"/>
      <c r="C1984" s="86"/>
      <c r="D1984" s="86"/>
      <c r="E1984" s="86"/>
      <c r="F1984" s="308"/>
    </row>
    <row r="1985" spans="2:6">
      <c r="B1985" s="308"/>
      <c r="C1985" s="86"/>
      <c r="D1985" s="86"/>
      <c r="E1985" s="86"/>
      <c r="F1985" s="308"/>
    </row>
    <row r="1986" spans="2:6">
      <c r="B1986" s="308"/>
      <c r="C1986" s="86"/>
      <c r="D1986" s="86"/>
      <c r="E1986" s="86"/>
      <c r="F1986" s="308"/>
    </row>
    <row r="1987" spans="2:6">
      <c r="B1987" s="308"/>
      <c r="C1987" s="86"/>
      <c r="D1987" s="86"/>
      <c r="E1987" s="86"/>
      <c r="F1987" s="308"/>
    </row>
    <row r="1988" spans="2:6">
      <c r="B1988" s="308"/>
      <c r="C1988" s="86"/>
      <c r="D1988" s="86"/>
      <c r="E1988" s="86"/>
      <c r="F1988" s="308"/>
    </row>
    <row r="1989" spans="2:6">
      <c r="B1989" s="308"/>
      <c r="C1989" s="86"/>
      <c r="D1989" s="86"/>
      <c r="E1989" s="86"/>
      <c r="F1989" s="308"/>
    </row>
    <row r="1990" spans="2:6">
      <c r="B1990" s="308"/>
      <c r="C1990" s="86"/>
      <c r="D1990" s="86"/>
      <c r="E1990" s="86"/>
      <c r="F1990" s="308"/>
    </row>
    <row r="1991" spans="2:6">
      <c r="B1991" s="308"/>
      <c r="C1991" s="86"/>
      <c r="D1991" s="86"/>
      <c r="E1991" s="86"/>
      <c r="F1991" s="308"/>
    </row>
    <row r="1992" spans="2:6">
      <c r="B1992" s="308"/>
      <c r="C1992" s="86"/>
      <c r="D1992" s="86"/>
      <c r="E1992" s="86"/>
      <c r="F1992" s="308"/>
    </row>
    <row r="1993" spans="2:6">
      <c r="B1993" s="308"/>
      <c r="C1993" s="86"/>
      <c r="D1993" s="86"/>
      <c r="E1993" s="86"/>
      <c r="F1993" s="308"/>
    </row>
    <row r="1994" spans="2:6">
      <c r="B1994" s="308"/>
      <c r="C1994" s="86"/>
      <c r="D1994" s="86"/>
      <c r="E1994" s="86"/>
      <c r="F1994" s="308"/>
    </row>
    <row r="1995" spans="2:6">
      <c r="B1995" s="308"/>
      <c r="C1995" s="86"/>
      <c r="D1995" s="86"/>
      <c r="E1995" s="86"/>
      <c r="F1995" s="308"/>
    </row>
    <row r="1996" spans="2:6">
      <c r="B1996" s="308"/>
      <c r="C1996" s="86"/>
      <c r="D1996" s="86"/>
      <c r="E1996" s="86"/>
      <c r="F1996" s="308"/>
    </row>
    <row r="1997" spans="2:6">
      <c r="B1997" s="308"/>
      <c r="C1997" s="86"/>
      <c r="D1997" s="86"/>
      <c r="E1997" s="86"/>
      <c r="F1997" s="308"/>
    </row>
    <row r="1998" spans="2:6">
      <c r="B1998" s="308"/>
      <c r="C1998" s="86"/>
      <c r="D1998" s="86"/>
      <c r="E1998" s="86"/>
      <c r="F1998" s="308"/>
    </row>
    <row r="1999" spans="2:6">
      <c r="B1999" s="308"/>
      <c r="C1999" s="86"/>
      <c r="D1999" s="86"/>
      <c r="E1999" s="86"/>
      <c r="F1999" s="308"/>
    </row>
    <row r="2000" spans="2:6">
      <c r="B2000" s="308"/>
      <c r="C2000" s="86"/>
      <c r="D2000" s="86"/>
      <c r="E2000" s="86"/>
      <c r="F2000" s="308"/>
    </row>
    <row r="2001" spans="2:6">
      <c r="B2001" s="308"/>
      <c r="C2001" s="86"/>
      <c r="D2001" s="86"/>
      <c r="E2001" s="86"/>
      <c r="F2001" s="308"/>
    </row>
    <row r="2002" spans="2:6">
      <c r="B2002" s="308"/>
      <c r="C2002" s="86"/>
      <c r="D2002" s="86"/>
      <c r="E2002" s="86"/>
      <c r="F2002" s="308"/>
    </row>
    <row r="2003" spans="2:6">
      <c r="B2003" s="308"/>
      <c r="C2003" s="86"/>
      <c r="D2003" s="86"/>
      <c r="E2003" s="86"/>
      <c r="F2003" s="308"/>
    </row>
    <row r="2004" spans="2:6">
      <c r="B2004" s="308"/>
      <c r="C2004" s="86"/>
      <c r="D2004" s="86"/>
      <c r="E2004" s="86"/>
      <c r="F2004" s="308"/>
    </row>
    <row r="2005" spans="2:6">
      <c r="B2005" s="308"/>
      <c r="C2005" s="86"/>
      <c r="D2005" s="86"/>
      <c r="E2005" s="86"/>
      <c r="F2005" s="308"/>
    </row>
    <row r="2006" spans="2:6">
      <c r="B2006" s="308"/>
      <c r="C2006" s="86"/>
      <c r="D2006" s="86"/>
      <c r="E2006" s="86"/>
      <c r="F2006" s="308"/>
    </row>
    <row r="2007" spans="2:6">
      <c r="B2007" s="308"/>
      <c r="C2007" s="86"/>
      <c r="D2007" s="86"/>
      <c r="E2007" s="86"/>
      <c r="F2007" s="308"/>
    </row>
    <row r="2008" spans="2:6">
      <c r="B2008" s="308"/>
      <c r="C2008" s="86"/>
      <c r="D2008" s="86"/>
      <c r="E2008" s="86"/>
      <c r="F2008" s="308"/>
    </row>
    <row r="2009" spans="2:6">
      <c r="B2009" s="308"/>
      <c r="C2009" s="86"/>
      <c r="D2009" s="86"/>
      <c r="E2009" s="86"/>
      <c r="F2009" s="308"/>
    </row>
    <row r="2010" spans="2:6">
      <c r="B2010" s="308"/>
      <c r="C2010" s="86"/>
      <c r="D2010" s="86"/>
      <c r="E2010" s="86"/>
      <c r="F2010" s="308"/>
    </row>
    <row r="2011" spans="2:6">
      <c r="B2011" s="308"/>
      <c r="C2011" s="86"/>
      <c r="D2011" s="86"/>
      <c r="E2011" s="86"/>
      <c r="F2011" s="308"/>
    </row>
    <row r="2012" spans="2:6">
      <c r="B2012" s="308"/>
      <c r="C2012" s="86"/>
      <c r="D2012" s="86"/>
      <c r="E2012" s="86"/>
      <c r="F2012" s="308"/>
    </row>
    <row r="2013" spans="2:6">
      <c r="B2013" s="308"/>
      <c r="C2013" s="86"/>
      <c r="D2013" s="86"/>
      <c r="E2013" s="86"/>
      <c r="F2013" s="308"/>
    </row>
    <row r="2014" spans="2:6">
      <c r="B2014" s="308"/>
      <c r="C2014" s="86"/>
      <c r="D2014" s="86"/>
      <c r="E2014" s="86"/>
      <c r="F2014" s="308"/>
    </row>
    <row r="2015" spans="2:6">
      <c r="B2015" s="308"/>
      <c r="C2015" s="86"/>
      <c r="D2015" s="86"/>
      <c r="E2015" s="86"/>
      <c r="F2015" s="308"/>
    </row>
    <row r="2016" spans="2:6">
      <c r="B2016" s="308"/>
      <c r="C2016" s="86"/>
      <c r="D2016" s="86"/>
      <c r="E2016" s="86"/>
      <c r="F2016" s="308"/>
    </row>
    <row r="2017" spans="2:6">
      <c r="B2017" s="308"/>
      <c r="C2017" s="86"/>
      <c r="D2017" s="86"/>
      <c r="E2017" s="86"/>
      <c r="F2017" s="308"/>
    </row>
    <row r="2018" spans="2:6">
      <c r="B2018" s="308"/>
      <c r="C2018" s="86"/>
      <c r="D2018" s="86"/>
      <c r="E2018" s="86"/>
      <c r="F2018" s="308"/>
    </row>
    <row r="2019" spans="2:6">
      <c r="B2019" s="308"/>
      <c r="C2019" s="86"/>
      <c r="D2019" s="86"/>
      <c r="E2019" s="86"/>
      <c r="F2019" s="308"/>
    </row>
    <row r="2020" spans="2:6">
      <c r="B2020" s="308"/>
      <c r="C2020" s="86"/>
      <c r="D2020" s="86"/>
      <c r="E2020" s="86"/>
      <c r="F2020" s="308"/>
    </row>
    <row r="2021" spans="2:6">
      <c r="B2021" s="308"/>
      <c r="C2021" s="86"/>
      <c r="D2021" s="86"/>
      <c r="E2021" s="86"/>
      <c r="F2021" s="308"/>
    </row>
    <row r="2022" spans="2:6">
      <c r="B2022" s="308"/>
      <c r="C2022" s="86"/>
      <c r="D2022" s="86"/>
      <c r="E2022" s="86"/>
      <c r="F2022" s="308"/>
    </row>
    <row r="2023" spans="2:6">
      <c r="B2023" s="308"/>
      <c r="C2023" s="86"/>
      <c r="D2023" s="86"/>
      <c r="E2023" s="86"/>
      <c r="F2023" s="308"/>
    </row>
    <row r="2024" spans="2:6">
      <c r="B2024" s="308"/>
      <c r="C2024" s="86"/>
      <c r="D2024" s="86"/>
      <c r="E2024" s="86"/>
      <c r="F2024" s="308"/>
    </row>
    <row r="2025" spans="2:6">
      <c r="B2025" s="308"/>
      <c r="C2025" s="86"/>
      <c r="D2025" s="86"/>
      <c r="E2025" s="86"/>
      <c r="F2025" s="308"/>
    </row>
    <row r="2026" spans="2:6">
      <c r="B2026" s="308"/>
      <c r="C2026" s="86"/>
      <c r="D2026" s="86"/>
      <c r="E2026" s="86"/>
      <c r="F2026" s="308"/>
    </row>
    <row r="2027" spans="2:6">
      <c r="B2027" s="308"/>
      <c r="C2027" s="86"/>
      <c r="D2027" s="86"/>
      <c r="E2027" s="86"/>
      <c r="F2027" s="308"/>
    </row>
    <row r="2028" spans="2:6">
      <c r="B2028" s="308"/>
      <c r="C2028" s="86"/>
      <c r="D2028" s="86"/>
      <c r="E2028" s="86"/>
      <c r="F2028" s="308"/>
    </row>
    <row r="2029" spans="2:6">
      <c r="B2029" s="308"/>
      <c r="C2029" s="86"/>
      <c r="D2029" s="86"/>
      <c r="E2029" s="86"/>
      <c r="F2029" s="308"/>
    </row>
    <row r="2030" spans="2:6">
      <c r="B2030" s="308"/>
      <c r="C2030" s="86"/>
      <c r="D2030" s="86"/>
      <c r="E2030" s="86"/>
      <c r="F2030" s="308"/>
    </row>
    <row r="2031" spans="2:6">
      <c r="B2031" s="308"/>
      <c r="C2031" s="86"/>
      <c r="D2031" s="86"/>
      <c r="E2031" s="86"/>
      <c r="F2031" s="308"/>
    </row>
    <row r="2032" spans="2:6">
      <c r="B2032" s="308"/>
      <c r="C2032" s="86"/>
      <c r="D2032" s="86"/>
      <c r="E2032" s="86"/>
      <c r="F2032" s="308"/>
    </row>
    <row r="2033" spans="2:6">
      <c r="B2033" s="308"/>
      <c r="C2033" s="86"/>
      <c r="D2033" s="86"/>
      <c r="E2033" s="86"/>
      <c r="F2033" s="308"/>
    </row>
    <row r="2034" spans="2:6">
      <c r="B2034" s="308"/>
      <c r="C2034" s="86"/>
      <c r="D2034" s="86"/>
      <c r="E2034" s="86"/>
      <c r="F2034" s="308"/>
    </row>
    <row r="2035" spans="2:6">
      <c r="B2035" s="308"/>
      <c r="C2035" s="86"/>
      <c r="D2035" s="86"/>
      <c r="E2035" s="86"/>
      <c r="F2035" s="308"/>
    </row>
    <row r="2036" spans="2:6">
      <c r="B2036" s="308"/>
      <c r="C2036" s="86"/>
      <c r="D2036" s="86"/>
      <c r="E2036" s="86"/>
      <c r="F2036" s="308"/>
    </row>
    <row r="2037" spans="2:6">
      <c r="B2037" s="308"/>
      <c r="C2037" s="86"/>
      <c r="D2037" s="86"/>
      <c r="E2037" s="86"/>
      <c r="F2037" s="308"/>
    </row>
    <row r="2038" spans="2:6">
      <c r="B2038" s="308"/>
      <c r="C2038" s="86"/>
      <c r="D2038" s="86"/>
      <c r="E2038" s="86"/>
      <c r="F2038" s="308"/>
    </row>
    <row r="2039" spans="2:6">
      <c r="B2039" s="308"/>
      <c r="C2039" s="86"/>
      <c r="D2039" s="86"/>
      <c r="E2039" s="86"/>
      <c r="F2039" s="308"/>
    </row>
    <row r="2040" spans="2:6">
      <c r="B2040" s="308"/>
      <c r="C2040" s="86"/>
      <c r="D2040" s="86"/>
      <c r="E2040" s="86"/>
      <c r="F2040" s="308"/>
    </row>
    <row r="2041" spans="2:6">
      <c r="B2041" s="308"/>
      <c r="C2041" s="86"/>
      <c r="D2041" s="86"/>
      <c r="E2041" s="86"/>
      <c r="F2041" s="308"/>
    </row>
    <row r="2042" spans="2:6">
      <c r="B2042" s="308"/>
      <c r="C2042" s="86"/>
      <c r="D2042" s="86"/>
      <c r="E2042" s="86"/>
      <c r="F2042" s="308"/>
    </row>
    <row r="2043" spans="2:6">
      <c r="B2043" s="308"/>
      <c r="C2043" s="86"/>
      <c r="D2043" s="86"/>
      <c r="E2043" s="86"/>
      <c r="F2043" s="308"/>
    </row>
    <row r="2044" spans="2:6">
      <c r="B2044" s="308"/>
      <c r="C2044" s="86"/>
      <c r="D2044" s="86"/>
      <c r="E2044" s="86"/>
      <c r="F2044" s="308"/>
    </row>
    <row r="2045" spans="2:6">
      <c r="B2045" s="308"/>
      <c r="C2045" s="86"/>
      <c r="D2045" s="86"/>
      <c r="E2045" s="86"/>
      <c r="F2045" s="308"/>
    </row>
    <row r="2046" spans="2:6">
      <c r="B2046" s="308"/>
      <c r="C2046" s="86"/>
      <c r="D2046" s="86"/>
      <c r="E2046" s="86"/>
      <c r="F2046" s="308"/>
    </row>
    <row r="2047" spans="2:6">
      <c r="B2047" s="308"/>
      <c r="C2047" s="86"/>
      <c r="D2047" s="86"/>
      <c r="E2047" s="86"/>
      <c r="F2047" s="308"/>
    </row>
    <row r="2048" spans="2:6">
      <c r="B2048" s="308"/>
      <c r="C2048" s="86"/>
      <c r="D2048" s="86"/>
      <c r="E2048" s="86"/>
      <c r="F2048" s="308"/>
    </row>
    <row r="2049" spans="2:6">
      <c r="B2049" s="308"/>
      <c r="C2049" s="86"/>
      <c r="D2049" s="86"/>
      <c r="E2049" s="86"/>
      <c r="F2049" s="308"/>
    </row>
    <row r="2050" spans="2:6">
      <c r="B2050" s="308"/>
      <c r="C2050" s="86"/>
      <c r="D2050" s="86"/>
      <c r="E2050" s="86"/>
      <c r="F2050" s="308"/>
    </row>
    <row r="2051" spans="2:6">
      <c r="B2051" s="308"/>
      <c r="C2051" s="86"/>
      <c r="D2051" s="86"/>
      <c r="E2051" s="86"/>
      <c r="F2051" s="308"/>
    </row>
    <row r="2052" spans="2:6">
      <c r="B2052" s="308"/>
      <c r="C2052" s="86"/>
      <c r="D2052" s="86"/>
      <c r="E2052" s="86"/>
      <c r="F2052" s="308"/>
    </row>
    <row r="2053" spans="2:6">
      <c r="B2053" s="308"/>
      <c r="C2053" s="86"/>
      <c r="D2053" s="86"/>
      <c r="E2053" s="86"/>
      <c r="F2053" s="308"/>
    </row>
    <row r="2054" spans="2:6">
      <c r="B2054" s="308"/>
      <c r="C2054" s="86"/>
      <c r="D2054" s="86"/>
      <c r="E2054" s="86"/>
      <c r="F2054" s="308"/>
    </row>
    <row r="2055" spans="2:6">
      <c r="B2055" s="308"/>
      <c r="C2055" s="86"/>
      <c r="D2055" s="86"/>
      <c r="E2055" s="86"/>
      <c r="F2055" s="308"/>
    </row>
    <row r="2056" spans="2:6">
      <c r="B2056" s="308"/>
      <c r="C2056" s="86"/>
      <c r="D2056" s="86"/>
      <c r="E2056" s="86"/>
      <c r="F2056" s="308"/>
    </row>
    <row r="2057" spans="2:6">
      <c r="B2057" s="308"/>
      <c r="C2057" s="86"/>
      <c r="D2057" s="86"/>
      <c r="E2057" s="86"/>
      <c r="F2057" s="308"/>
    </row>
    <row r="2058" spans="2:6">
      <c r="B2058" s="308"/>
      <c r="C2058" s="86"/>
      <c r="D2058" s="86"/>
      <c r="E2058" s="86"/>
      <c r="F2058" s="308"/>
    </row>
    <row r="2059" spans="2:6">
      <c r="B2059" s="308"/>
      <c r="C2059" s="86"/>
      <c r="D2059" s="86"/>
      <c r="E2059" s="86"/>
      <c r="F2059" s="308"/>
    </row>
    <row r="2060" spans="2:6">
      <c r="B2060" s="308"/>
      <c r="C2060" s="86"/>
      <c r="D2060" s="86"/>
      <c r="E2060" s="86"/>
      <c r="F2060" s="308"/>
    </row>
    <row r="2061" spans="2:6">
      <c r="B2061" s="308"/>
      <c r="C2061" s="86"/>
      <c r="D2061" s="86"/>
      <c r="E2061" s="86"/>
      <c r="F2061" s="308"/>
    </row>
    <row r="2062" spans="2:6">
      <c r="B2062" s="308"/>
      <c r="C2062" s="86"/>
      <c r="D2062" s="86"/>
      <c r="E2062" s="86"/>
      <c r="F2062" s="308"/>
    </row>
    <row r="2063" spans="2:6">
      <c r="B2063" s="308"/>
      <c r="C2063" s="86"/>
      <c r="D2063" s="86"/>
      <c r="E2063" s="86"/>
      <c r="F2063" s="308"/>
    </row>
    <row r="2064" spans="2:6">
      <c r="B2064" s="308"/>
      <c r="C2064" s="86"/>
      <c r="D2064" s="86"/>
      <c r="E2064" s="86"/>
      <c r="F2064" s="308"/>
    </row>
    <row r="2065" spans="2:6">
      <c r="B2065" s="308"/>
      <c r="C2065" s="86"/>
      <c r="D2065" s="86"/>
      <c r="E2065" s="86"/>
      <c r="F2065" s="308"/>
    </row>
    <row r="2066" spans="2:6">
      <c r="B2066" s="308"/>
      <c r="C2066" s="86"/>
      <c r="D2066" s="86"/>
      <c r="E2066" s="86"/>
      <c r="F2066" s="308"/>
    </row>
    <row r="2067" spans="2:6">
      <c r="B2067" s="308"/>
      <c r="C2067" s="86"/>
      <c r="D2067" s="86"/>
      <c r="E2067" s="86"/>
      <c r="F2067" s="308"/>
    </row>
    <row r="2068" spans="2:6">
      <c r="B2068" s="308"/>
      <c r="C2068" s="86"/>
      <c r="D2068" s="86"/>
      <c r="E2068" s="86"/>
      <c r="F2068" s="308"/>
    </row>
    <row r="2069" spans="2:6">
      <c r="B2069" s="308"/>
      <c r="C2069" s="86"/>
      <c r="D2069" s="86"/>
      <c r="E2069" s="86"/>
      <c r="F2069" s="308"/>
    </row>
    <row r="2070" spans="2:6">
      <c r="B2070" s="308"/>
      <c r="C2070" s="86"/>
      <c r="D2070" s="86"/>
      <c r="E2070" s="86"/>
      <c r="F2070" s="308"/>
    </row>
    <row r="2071" spans="2:6">
      <c r="B2071" s="308"/>
      <c r="C2071" s="86"/>
      <c r="D2071" s="86"/>
      <c r="E2071" s="86"/>
      <c r="F2071" s="308"/>
    </row>
    <row r="2072" spans="2:6">
      <c r="B2072" s="308"/>
      <c r="C2072" s="86"/>
      <c r="D2072" s="86"/>
      <c r="E2072" s="86"/>
      <c r="F2072" s="308"/>
    </row>
    <row r="2073" spans="2:6">
      <c r="B2073" s="308"/>
      <c r="C2073" s="86"/>
      <c r="D2073" s="86"/>
      <c r="E2073" s="86"/>
      <c r="F2073" s="308"/>
    </row>
    <row r="2074" spans="2:6">
      <c r="B2074" s="308"/>
      <c r="C2074" s="86"/>
      <c r="D2074" s="86"/>
      <c r="E2074" s="86"/>
      <c r="F2074" s="308"/>
    </row>
    <row r="2075" spans="2:6">
      <c r="B2075" s="308"/>
      <c r="C2075" s="86"/>
      <c r="D2075" s="86"/>
      <c r="E2075" s="86"/>
      <c r="F2075" s="308"/>
    </row>
    <row r="2076" spans="2:6">
      <c r="B2076" s="308"/>
      <c r="C2076" s="86"/>
      <c r="D2076" s="86"/>
      <c r="E2076" s="86"/>
      <c r="F2076" s="308"/>
    </row>
    <row r="2077" spans="2:6">
      <c r="B2077" s="308"/>
      <c r="C2077" s="86"/>
      <c r="D2077" s="86"/>
      <c r="E2077" s="86"/>
      <c r="F2077" s="308"/>
    </row>
    <row r="2078" spans="2:6">
      <c r="B2078" s="308"/>
      <c r="C2078" s="86"/>
      <c r="D2078" s="86"/>
      <c r="E2078" s="86"/>
      <c r="F2078" s="308"/>
    </row>
    <row r="2079" spans="2:6">
      <c r="B2079" s="308"/>
      <c r="C2079" s="86"/>
      <c r="D2079" s="86"/>
      <c r="E2079" s="86"/>
      <c r="F2079" s="308"/>
    </row>
    <row r="2080" spans="2:6">
      <c r="B2080" s="308"/>
      <c r="C2080" s="86"/>
      <c r="D2080" s="86"/>
      <c r="E2080" s="86"/>
      <c r="F2080" s="308"/>
    </row>
    <row r="2081" spans="2:6">
      <c r="B2081" s="308"/>
      <c r="C2081" s="86"/>
      <c r="D2081" s="86"/>
      <c r="E2081" s="86"/>
      <c r="F2081" s="308"/>
    </row>
    <row r="2082" spans="2:6">
      <c r="B2082" s="308"/>
      <c r="C2082" s="86"/>
      <c r="D2082" s="86"/>
      <c r="E2082" s="86"/>
      <c r="F2082" s="308"/>
    </row>
    <row r="2083" spans="2:6">
      <c r="B2083" s="308"/>
      <c r="C2083" s="86"/>
      <c r="D2083" s="86"/>
      <c r="E2083" s="86"/>
      <c r="F2083" s="308"/>
    </row>
    <row r="2084" spans="2:6">
      <c r="B2084" s="308"/>
      <c r="C2084" s="86"/>
      <c r="D2084" s="86"/>
      <c r="E2084" s="86"/>
      <c r="F2084" s="308"/>
    </row>
    <row r="2085" spans="2:6">
      <c r="B2085" s="308"/>
      <c r="C2085" s="86"/>
      <c r="D2085" s="86"/>
      <c r="E2085" s="86"/>
      <c r="F2085" s="308"/>
    </row>
    <row r="2086" spans="2:6">
      <c r="B2086" s="308"/>
      <c r="C2086" s="86"/>
      <c r="D2086" s="86"/>
      <c r="E2086" s="86"/>
      <c r="F2086" s="308"/>
    </row>
    <row r="2087" spans="2:6">
      <c r="B2087" s="308"/>
      <c r="C2087" s="86"/>
      <c r="D2087" s="86"/>
      <c r="E2087" s="86"/>
      <c r="F2087" s="308"/>
    </row>
    <row r="2088" spans="2:6">
      <c r="B2088" s="308"/>
      <c r="C2088" s="86"/>
      <c r="D2088" s="86"/>
      <c r="E2088" s="86"/>
      <c r="F2088" s="308"/>
    </row>
    <row r="2089" spans="2:6">
      <c r="B2089" s="308"/>
      <c r="C2089" s="86"/>
      <c r="D2089" s="86"/>
      <c r="E2089" s="86"/>
      <c r="F2089" s="308"/>
    </row>
    <row r="2090" spans="2:6">
      <c r="B2090" s="308"/>
      <c r="C2090" s="86"/>
      <c r="D2090" s="86"/>
      <c r="E2090" s="86"/>
      <c r="F2090" s="308"/>
    </row>
    <row r="2091" spans="2:6">
      <c r="B2091" s="308"/>
      <c r="C2091" s="86"/>
      <c r="D2091" s="86"/>
      <c r="E2091" s="86"/>
      <c r="F2091" s="308"/>
    </row>
    <row r="2092" spans="2:6">
      <c r="B2092" s="308"/>
      <c r="C2092" s="86"/>
      <c r="D2092" s="86"/>
      <c r="E2092" s="86"/>
      <c r="F2092" s="308"/>
    </row>
    <row r="2093" spans="2:6">
      <c r="B2093" s="308"/>
      <c r="C2093" s="86"/>
      <c r="D2093" s="86"/>
      <c r="E2093" s="86"/>
      <c r="F2093" s="308"/>
    </row>
    <row r="2094" spans="2:6">
      <c r="B2094" s="308"/>
      <c r="C2094" s="86"/>
      <c r="D2094" s="86"/>
      <c r="E2094" s="86"/>
      <c r="F2094" s="308"/>
    </row>
    <row r="2095" spans="2:6">
      <c r="B2095" s="308"/>
      <c r="C2095" s="86"/>
      <c r="D2095" s="86"/>
      <c r="E2095" s="86"/>
      <c r="F2095" s="308"/>
    </row>
    <row r="2096" spans="2:6">
      <c r="B2096" s="308"/>
      <c r="C2096" s="86"/>
      <c r="D2096" s="86"/>
      <c r="E2096" s="86"/>
      <c r="F2096" s="308"/>
    </row>
    <row r="2097" spans="2:6">
      <c r="B2097" s="308"/>
      <c r="C2097" s="86"/>
      <c r="D2097" s="86"/>
      <c r="E2097" s="86"/>
      <c r="F2097" s="308"/>
    </row>
    <row r="2098" spans="2:6">
      <c r="B2098" s="308"/>
      <c r="C2098" s="86"/>
      <c r="D2098" s="86"/>
      <c r="E2098" s="86"/>
      <c r="F2098" s="308"/>
    </row>
    <row r="2099" spans="2:6">
      <c r="B2099" s="308"/>
      <c r="C2099" s="86"/>
      <c r="D2099" s="86"/>
      <c r="E2099" s="86"/>
      <c r="F2099" s="308"/>
    </row>
    <row r="2100" spans="2:6">
      <c r="B2100" s="308"/>
      <c r="C2100" s="86"/>
      <c r="D2100" s="86"/>
      <c r="E2100" s="86"/>
      <c r="F2100" s="308"/>
    </row>
    <row r="2101" spans="2:6">
      <c r="B2101" s="308"/>
      <c r="C2101" s="86"/>
      <c r="D2101" s="86"/>
      <c r="E2101" s="86"/>
      <c r="F2101" s="308"/>
    </row>
    <row r="2102" spans="2:6">
      <c r="B2102" s="308"/>
      <c r="C2102" s="86"/>
      <c r="D2102" s="86"/>
      <c r="E2102" s="86"/>
      <c r="F2102" s="308"/>
    </row>
    <row r="2103" spans="2:6">
      <c r="B2103" s="308"/>
      <c r="C2103" s="86"/>
      <c r="D2103" s="86"/>
      <c r="E2103" s="86"/>
      <c r="F2103" s="308"/>
    </row>
    <row r="2104" spans="2:6">
      <c r="B2104" s="308"/>
      <c r="C2104" s="86"/>
      <c r="D2104" s="86"/>
      <c r="E2104" s="86"/>
      <c r="F2104" s="308"/>
    </row>
    <row r="2105" spans="2:6">
      <c r="B2105" s="308"/>
      <c r="C2105" s="86"/>
      <c r="D2105" s="86"/>
      <c r="E2105" s="86"/>
      <c r="F2105" s="308"/>
    </row>
    <row r="2106" spans="2:6">
      <c r="B2106" s="308"/>
      <c r="C2106" s="86"/>
      <c r="D2106" s="86"/>
      <c r="E2106" s="86"/>
      <c r="F2106" s="308"/>
    </row>
    <row r="2107" spans="2:6">
      <c r="B2107" s="308"/>
      <c r="C2107" s="86"/>
      <c r="D2107" s="86"/>
      <c r="E2107" s="86"/>
      <c r="F2107" s="308"/>
    </row>
    <row r="2108" spans="2:6">
      <c r="B2108" s="308"/>
      <c r="C2108" s="86"/>
      <c r="D2108" s="86"/>
      <c r="E2108" s="86"/>
      <c r="F2108" s="308"/>
    </row>
    <row r="2109" spans="2:6">
      <c r="B2109" s="308"/>
      <c r="C2109" s="86"/>
      <c r="D2109" s="86"/>
      <c r="E2109" s="86"/>
      <c r="F2109" s="308"/>
    </row>
    <row r="2110" spans="2:6">
      <c r="B2110" s="308"/>
      <c r="C2110" s="86"/>
      <c r="D2110" s="86"/>
      <c r="E2110" s="86"/>
      <c r="F2110" s="308"/>
    </row>
    <row r="2111" spans="2:6">
      <c r="B2111" s="308"/>
      <c r="C2111" s="86"/>
      <c r="D2111" s="86"/>
      <c r="E2111" s="86"/>
      <c r="F2111" s="308"/>
    </row>
    <row r="2112" spans="2:6">
      <c r="B2112" s="308"/>
      <c r="C2112" s="86"/>
      <c r="D2112" s="86"/>
      <c r="E2112" s="86"/>
      <c r="F2112" s="308"/>
    </row>
    <row r="2113" spans="2:6">
      <c r="B2113" s="308"/>
      <c r="C2113" s="86"/>
      <c r="D2113" s="86"/>
      <c r="E2113" s="86"/>
      <c r="F2113" s="308"/>
    </row>
    <row r="2114" spans="2:6">
      <c r="B2114" s="308"/>
      <c r="C2114" s="86"/>
      <c r="D2114" s="86"/>
      <c r="E2114" s="86"/>
      <c r="F2114" s="308"/>
    </row>
    <row r="2115" spans="2:6">
      <c r="B2115" s="308"/>
      <c r="C2115" s="86"/>
      <c r="D2115" s="86"/>
      <c r="E2115" s="86"/>
      <c r="F2115" s="308"/>
    </row>
    <row r="2116" spans="2:6">
      <c r="B2116" s="308"/>
      <c r="C2116" s="86"/>
      <c r="D2116" s="86"/>
      <c r="E2116" s="86"/>
      <c r="F2116" s="308"/>
    </row>
    <row r="2117" spans="2:6">
      <c r="B2117" s="308"/>
      <c r="C2117" s="86"/>
      <c r="D2117" s="86"/>
      <c r="E2117" s="86"/>
      <c r="F2117" s="308"/>
    </row>
    <row r="2118" spans="2:6">
      <c r="B2118" s="308"/>
      <c r="C2118" s="86"/>
      <c r="D2118" s="86"/>
      <c r="E2118" s="86"/>
      <c r="F2118" s="308"/>
    </row>
    <row r="2119" spans="2:6">
      <c r="B2119" s="308"/>
      <c r="C2119" s="86"/>
      <c r="D2119" s="86"/>
      <c r="E2119" s="86"/>
      <c r="F2119" s="308"/>
    </row>
    <row r="2120" spans="2:6">
      <c r="B2120" s="308"/>
      <c r="C2120" s="86"/>
      <c r="D2120" s="86"/>
      <c r="E2120" s="86"/>
      <c r="F2120" s="308"/>
    </row>
    <row r="2121" spans="2:6">
      <c r="B2121" s="308"/>
      <c r="C2121" s="86"/>
      <c r="D2121" s="86"/>
      <c r="E2121" s="86"/>
      <c r="F2121" s="308"/>
    </row>
    <row r="2122" spans="2:6">
      <c r="B2122" s="308"/>
      <c r="C2122" s="86"/>
      <c r="D2122" s="86"/>
      <c r="E2122" s="86"/>
      <c r="F2122" s="308"/>
    </row>
    <row r="2123" spans="2:6">
      <c r="B2123" s="308"/>
      <c r="C2123" s="86"/>
      <c r="D2123" s="86"/>
      <c r="E2123" s="86"/>
      <c r="F2123" s="308"/>
    </row>
    <row r="2124" spans="2:6">
      <c r="B2124" s="308"/>
      <c r="C2124" s="86"/>
      <c r="D2124" s="86"/>
      <c r="E2124" s="86"/>
      <c r="F2124" s="308"/>
    </row>
    <row r="2125" spans="2:6">
      <c r="B2125" s="308"/>
      <c r="C2125" s="86"/>
      <c r="D2125" s="86"/>
      <c r="E2125" s="86"/>
      <c r="F2125" s="308"/>
    </row>
    <row r="2126" spans="2:6">
      <c r="B2126" s="308"/>
      <c r="C2126" s="86"/>
      <c r="D2126" s="86"/>
      <c r="E2126" s="86"/>
      <c r="F2126" s="308"/>
    </row>
    <row r="2127" spans="2:6">
      <c r="B2127" s="308"/>
      <c r="C2127" s="86"/>
      <c r="D2127" s="86"/>
      <c r="E2127" s="86"/>
      <c r="F2127" s="308"/>
    </row>
    <row r="2128" spans="2:6">
      <c r="B2128" s="308"/>
      <c r="C2128" s="86"/>
      <c r="D2128" s="86"/>
      <c r="E2128" s="86"/>
      <c r="F2128" s="308"/>
    </row>
    <row r="2129" spans="2:6">
      <c r="B2129" s="308"/>
      <c r="C2129" s="86"/>
      <c r="D2129" s="86"/>
      <c r="E2129" s="86"/>
      <c r="F2129" s="308"/>
    </row>
    <row r="2130" spans="2:6">
      <c r="B2130" s="308"/>
      <c r="C2130" s="86"/>
      <c r="D2130" s="86"/>
      <c r="E2130" s="86"/>
      <c r="F2130" s="308"/>
    </row>
    <row r="2131" spans="2:6">
      <c r="B2131" s="308"/>
      <c r="C2131" s="86"/>
      <c r="D2131" s="86"/>
      <c r="E2131" s="86"/>
      <c r="F2131" s="308"/>
    </row>
    <row r="2132" spans="2:6">
      <c r="B2132" s="308"/>
      <c r="C2132" s="86"/>
      <c r="D2132" s="86"/>
      <c r="E2132" s="86"/>
      <c r="F2132" s="308"/>
    </row>
    <row r="2133" spans="2:6">
      <c r="B2133" s="308"/>
      <c r="C2133" s="86"/>
      <c r="D2133" s="86"/>
      <c r="E2133" s="86"/>
      <c r="F2133" s="308"/>
    </row>
    <row r="2134" spans="2:6">
      <c r="B2134" s="308"/>
      <c r="C2134" s="86"/>
      <c r="D2134" s="86"/>
      <c r="E2134" s="86"/>
      <c r="F2134" s="308"/>
    </row>
    <row r="2135" spans="2:6">
      <c r="B2135" s="308"/>
      <c r="C2135" s="86"/>
      <c r="D2135" s="86"/>
      <c r="E2135" s="86"/>
      <c r="F2135" s="308"/>
    </row>
    <row r="2136" spans="2:6">
      <c r="B2136" s="308"/>
      <c r="C2136" s="86"/>
      <c r="D2136" s="86"/>
      <c r="E2136" s="86"/>
      <c r="F2136" s="308"/>
    </row>
    <row r="2137" spans="2:6">
      <c r="B2137" s="308"/>
      <c r="C2137" s="86"/>
      <c r="D2137" s="86"/>
      <c r="E2137" s="86"/>
      <c r="F2137" s="308"/>
    </row>
    <row r="2138" spans="2:6">
      <c r="B2138" s="308"/>
      <c r="C2138" s="86"/>
      <c r="D2138" s="86"/>
      <c r="E2138" s="86"/>
      <c r="F2138" s="308"/>
    </row>
    <row r="2139" spans="2:6">
      <c r="B2139" s="308"/>
      <c r="C2139" s="86"/>
      <c r="D2139" s="86"/>
      <c r="E2139" s="86"/>
      <c r="F2139" s="308"/>
    </row>
    <row r="2140" spans="2:6">
      <c r="B2140" s="308"/>
      <c r="C2140" s="86"/>
      <c r="D2140" s="86"/>
      <c r="E2140" s="86"/>
      <c r="F2140" s="308"/>
    </row>
    <row r="2141" spans="2:6">
      <c r="B2141" s="308"/>
      <c r="C2141" s="86"/>
      <c r="D2141" s="86"/>
      <c r="E2141" s="86"/>
      <c r="F2141" s="308"/>
    </row>
    <row r="2142" spans="2:6">
      <c r="B2142" s="308"/>
      <c r="C2142" s="86"/>
      <c r="D2142" s="86"/>
      <c r="E2142" s="86"/>
      <c r="F2142" s="308"/>
    </row>
    <row r="2143" spans="2:6">
      <c r="B2143" s="308"/>
      <c r="C2143" s="86"/>
      <c r="D2143" s="86"/>
      <c r="E2143" s="86"/>
      <c r="F2143" s="308"/>
    </row>
    <row r="2144" spans="2:6">
      <c r="B2144" s="308"/>
      <c r="C2144" s="86"/>
      <c r="D2144" s="86"/>
      <c r="E2144" s="86"/>
      <c r="F2144" s="308"/>
    </row>
    <row r="2145" spans="2:6">
      <c r="B2145" s="308"/>
      <c r="C2145" s="86"/>
      <c r="D2145" s="86"/>
      <c r="E2145" s="86"/>
      <c r="F2145" s="308"/>
    </row>
    <row r="2146" spans="2:6">
      <c r="B2146" s="308"/>
      <c r="C2146" s="86"/>
      <c r="D2146" s="86"/>
      <c r="E2146" s="86"/>
      <c r="F2146" s="308"/>
    </row>
    <row r="2147" spans="2:6">
      <c r="B2147" s="308"/>
      <c r="C2147" s="86"/>
      <c r="D2147" s="86"/>
      <c r="E2147" s="86"/>
      <c r="F2147" s="308"/>
    </row>
    <row r="2148" spans="2:6">
      <c r="B2148" s="308"/>
      <c r="C2148" s="86"/>
      <c r="D2148" s="86"/>
      <c r="E2148" s="86"/>
      <c r="F2148" s="308"/>
    </row>
    <row r="2149" spans="2:6">
      <c r="B2149" s="308"/>
      <c r="C2149" s="86"/>
      <c r="D2149" s="86"/>
      <c r="E2149" s="86"/>
      <c r="F2149" s="308"/>
    </row>
    <row r="2150" spans="2:6">
      <c r="B2150" s="308"/>
      <c r="C2150" s="86"/>
      <c r="D2150" s="86"/>
      <c r="E2150" s="86"/>
      <c r="F2150" s="308"/>
    </row>
    <row r="2151" spans="2:6">
      <c r="B2151" s="308"/>
      <c r="C2151" s="86"/>
      <c r="D2151" s="86"/>
      <c r="E2151" s="86"/>
      <c r="F2151" s="308"/>
    </row>
    <row r="2152" spans="2:6">
      <c r="B2152" s="308"/>
      <c r="C2152" s="86"/>
      <c r="D2152" s="86"/>
      <c r="E2152" s="86"/>
      <c r="F2152" s="308"/>
    </row>
    <row r="2153" spans="2:6">
      <c r="B2153" s="308"/>
      <c r="C2153" s="86"/>
      <c r="D2153" s="86"/>
      <c r="E2153" s="86"/>
      <c r="F2153" s="308"/>
    </row>
    <row r="2154" spans="2:6">
      <c r="B2154" s="308"/>
      <c r="C2154" s="86"/>
      <c r="D2154" s="86"/>
      <c r="E2154" s="86"/>
      <c r="F2154" s="308"/>
    </row>
    <row r="2155" spans="2:6">
      <c r="B2155" s="308"/>
      <c r="C2155" s="86"/>
      <c r="D2155" s="86"/>
      <c r="E2155" s="86"/>
      <c r="F2155" s="308"/>
    </row>
    <row r="2156" spans="2:6">
      <c r="B2156" s="308"/>
      <c r="C2156" s="86"/>
      <c r="D2156" s="86"/>
      <c r="E2156" s="86"/>
      <c r="F2156" s="308"/>
    </row>
    <row r="2157" spans="2:6">
      <c r="B2157" s="308"/>
      <c r="C2157" s="86"/>
      <c r="D2157" s="86"/>
      <c r="E2157" s="86"/>
      <c r="F2157" s="308"/>
    </row>
    <row r="2158" spans="2:6">
      <c r="B2158" s="308"/>
      <c r="C2158" s="86"/>
      <c r="D2158" s="86"/>
      <c r="E2158" s="86"/>
      <c r="F2158" s="308"/>
    </row>
    <row r="2159" spans="2:6">
      <c r="B2159" s="308"/>
      <c r="C2159" s="86"/>
      <c r="D2159" s="86"/>
      <c r="E2159" s="86"/>
      <c r="F2159" s="308"/>
    </row>
    <row r="2160" spans="2:6">
      <c r="B2160" s="308"/>
      <c r="C2160" s="86"/>
      <c r="D2160" s="86"/>
      <c r="E2160" s="86"/>
      <c r="F2160" s="308"/>
    </row>
    <row r="2161" spans="2:6">
      <c r="B2161" s="308"/>
      <c r="C2161" s="86"/>
      <c r="D2161" s="86"/>
      <c r="E2161" s="86"/>
      <c r="F2161" s="308"/>
    </row>
    <row r="2162" spans="2:6">
      <c r="B2162" s="308"/>
      <c r="C2162" s="86"/>
      <c r="D2162" s="86"/>
      <c r="E2162" s="86"/>
      <c r="F2162" s="308"/>
    </row>
    <row r="2163" spans="2:6">
      <c r="B2163" s="308"/>
      <c r="C2163" s="86"/>
      <c r="D2163" s="86"/>
      <c r="E2163" s="86"/>
      <c r="F2163" s="308"/>
    </row>
    <row r="2164" spans="2:6">
      <c r="B2164" s="308"/>
      <c r="C2164" s="86"/>
      <c r="D2164" s="86"/>
      <c r="E2164" s="86"/>
      <c r="F2164" s="308"/>
    </row>
    <row r="2165" spans="2:6">
      <c r="B2165" s="308"/>
      <c r="C2165" s="86"/>
      <c r="D2165" s="86"/>
      <c r="E2165" s="86"/>
      <c r="F2165" s="308"/>
    </row>
    <row r="2166" spans="2:6">
      <c r="B2166" s="308"/>
      <c r="C2166" s="86"/>
      <c r="D2166" s="86"/>
      <c r="E2166" s="86"/>
      <c r="F2166" s="308"/>
    </row>
    <row r="2167" spans="2:6">
      <c r="B2167" s="308"/>
      <c r="C2167" s="86"/>
      <c r="D2167" s="86"/>
      <c r="E2167" s="86"/>
      <c r="F2167" s="308"/>
    </row>
    <row r="2168" spans="2:6">
      <c r="B2168" s="308"/>
      <c r="C2168" s="86"/>
      <c r="D2168" s="86"/>
      <c r="E2168" s="86"/>
      <c r="F2168" s="308"/>
    </row>
    <row r="2169" spans="2:6">
      <c r="B2169" s="308"/>
      <c r="C2169" s="86"/>
      <c r="D2169" s="86"/>
      <c r="E2169" s="86"/>
      <c r="F2169" s="308"/>
    </row>
    <row r="2170" spans="2:6">
      <c r="B2170" s="308"/>
      <c r="C2170" s="86"/>
      <c r="D2170" s="86"/>
      <c r="E2170" s="86"/>
      <c r="F2170" s="308"/>
    </row>
    <row r="2171" spans="2:6">
      <c r="B2171" s="308"/>
      <c r="C2171" s="86"/>
      <c r="D2171" s="86"/>
      <c r="E2171" s="86"/>
      <c r="F2171" s="308"/>
    </row>
    <row r="2172" spans="2:6">
      <c r="B2172" s="308"/>
      <c r="C2172" s="86"/>
      <c r="D2172" s="86"/>
      <c r="E2172" s="86"/>
      <c r="F2172" s="308"/>
    </row>
    <row r="2173" spans="2:6">
      <c r="B2173" s="308"/>
      <c r="C2173" s="86"/>
      <c r="D2173" s="86"/>
      <c r="E2173" s="86"/>
      <c r="F2173" s="308"/>
    </row>
    <row r="2174" spans="2:6">
      <c r="B2174" s="308"/>
      <c r="C2174" s="86"/>
      <c r="D2174" s="86"/>
      <c r="E2174" s="86"/>
      <c r="F2174" s="308"/>
    </row>
    <row r="2175" spans="2:6">
      <c r="B2175" s="308"/>
      <c r="C2175" s="86"/>
      <c r="D2175" s="86"/>
      <c r="E2175" s="86"/>
      <c r="F2175" s="308"/>
    </row>
    <row r="2176" spans="2:6">
      <c r="B2176" s="308"/>
      <c r="C2176" s="86"/>
      <c r="D2176" s="86"/>
      <c r="E2176" s="86"/>
      <c r="F2176" s="308"/>
    </row>
    <row r="2177" spans="2:6">
      <c r="B2177" s="308"/>
      <c r="C2177" s="86"/>
      <c r="D2177" s="86"/>
      <c r="E2177" s="86"/>
      <c r="F2177" s="308"/>
    </row>
    <row r="2178" spans="2:6">
      <c r="B2178" s="308"/>
      <c r="C2178" s="86"/>
      <c r="D2178" s="86"/>
      <c r="E2178" s="86"/>
      <c r="F2178" s="308"/>
    </row>
    <row r="2179" spans="2:6">
      <c r="B2179" s="308"/>
      <c r="C2179" s="86"/>
      <c r="D2179" s="86"/>
      <c r="E2179" s="86"/>
      <c r="F2179" s="308"/>
    </row>
    <row r="2180" spans="2:6">
      <c r="B2180" s="308"/>
      <c r="C2180" s="86"/>
      <c r="D2180" s="86"/>
      <c r="E2180" s="86"/>
      <c r="F2180" s="308"/>
    </row>
    <row r="2181" spans="2:6">
      <c r="B2181" s="308"/>
      <c r="C2181" s="86"/>
      <c r="D2181" s="86"/>
      <c r="E2181" s="86"/>
      <c r="F2181" s="308"/>
    </row>
    <row r="2182" spans="2:6">
      <c r="B2182" s="308"/>
      <c r="C2182" s="86"/>
      <c r="D2182" s="86"/>
      <c r="E2182" s="86"/>
      <c r="F2182" s="308"/>
    </row>
    <row r="2183" spans="2:6">
      <c r="B2183" s="308"/>
      <c r="C2183" s="86"/>
      <c r="D2183" s="86"/>
      <c r="E2183" s="86"/>
      <c r="F2183" s="308"/>
    </row>
    <row r="2184" spans="2:6">
      <c r="B2184" s="308"/>
      <c r="C2184" s="86"/>
      <c r="D2184" s="86"/>
      <c r="E2184" s="86"/>
      <c r="F2184" s="308"/>
    </row>
    <row r="2185" spans="2:6">
      <c r="B2185" s="308"/>
      <c r="C2185" s="86"/>
      <c r="D2185" s="86"/>
      <c r="E2185" s="86"/>
      <c r="F2185" s="308"/>
    </row>
    <row r="2186" spans="2:6">
      <c r="B2186" s="308"/>
      <c r="C2186" s="86"/>
      <c r="D2186" s="86"/>
      <c r="E2186" s="86"/>
      <c r="F2186" s="308"/>
    </row>
    <row r="2187" spans="2:6">
      <c r="B2187" s="308"/>
      <c r="C2187" s="86"/>
      <c r="D2187" s="86"/>
      <c r="E2187" s="86"/>
      <c r="F2187" s="308"/>
    </row>
    <row r="2188" spans="2:6">
      <c r="B2188" s="308"/>
      <c r="C2188" s="86"/>
      <c r="D2188" s="86"/>
      <c r="E2188" s="86"/>
      <c r="F2188" s="308"/>
    </row>
    <row r="2189" spans="2:6">
      <c r="B2189" s="308"/>
      <c r="C2189" s="86"/>
      <c r="D2189" s="86"/>
      <c r="E2189" s="86"/>
      <c r="F2189" s="308"/>
    </row>
    <row r="2190" spans="2:6">
      <c r="B2190" s="308"/>
      <c r="C2190" s="86"/>
      <c r="D2190" s="86"/>
      <c r="E2190" s="86"/>
      <c r="F2190" s="308"/>
    </row>
    <row r="2191" spans="2:6">
      <c r="B2191" s="308"/>
      <c r="C2191" s="86"/>
      <c r="D2191" s="86"/>
      <c r="E2191" s="86"/>
      <c r="F2191" s="308"/>
    </row>
    <row r="2192" spans="2:6">
      <c r="B2192" s="308"/>
      <c r="C2192" s="86"/>
      <c r="D2192" s="86"/>
      <c r="E2192" s="86"/>
      <c r="F2192" s="308"/>
    </row>
    <row r="2193" spans="2:6">
      <c r="B2193" s="308"/>
      <c r="C2193" s="86"/>
      <c r="D2193" s="86"/>
      <c r="E2193" s="86"/>
      <c r="F2193" s="308"/>
    </row>
    <row r="2194" spans="2:6">
      <c r="B2194" s="308"/>
      <c r="C2194" s="86"/>
      <c r="D2194" s="86"/>
      <c r="E2194" s="86"/>
      <c r="F2194" s="308"/>
    </row>
    <row r="2195" spans="2:6">
      <c r="B2195" s="308"/>
      <c r="C2195" s="86"/>
      <c r="D2195" s="86"/>
      <c r="E2195" s="86"/>
      <c r="F2195" s="308"/>
    </row>
    <row r="2196" spans="2:6">
      <c r="B2196" s="308"/>
      <c r="C2196" s="86"/>
      <c r="D2196" s="86"/>
      <c r="E2196" s="86"/>
      <c r="F2196" s="308"/>
    </row>
    <row r="2197" spans="2:6">
      <c r="B2197" s="308"/>
      <c r="C2197" s="86"/>
      <c r="D2197" s="86"/>
      <c r="E2197" s="86"/>
      <c r="F2197" s="308"/>
    </row>
    <row r="2198" spans="2:6">
      <c r="B2198" s="308"/>
      <c r="C2198" s="86"/>
      <c r="D2198" s="86"/>
      <c r="E2198" s="86"/>
      <c r="F2198" s="308"/>
    </row>
    <row r="2199" spans="2:6">
      <c r="B2199" s="308"/>
      <c r="C2199" s="86"/>
      <c r="D2199" s="86"/>
      <c r="E2199" s="86"/>
      <c r="F2199" s="308"/>
    </row>
    <row r="2200" spans="2:6">
      <c r="B2200" s="308"/>
      <c r="C2200" s="86"/>
      <c r="D2200" s="86"/>
      <c r="E2200" s="86"/>
      <c r="F2200" s="308"/>
    </row>
    <row r="2201" spans="2:6">
      <c r="B2201" s="308"/>
      <c r="C2201" s="86"/>
      <c r="D2201" s="86"/>
      <c r="E2201" s="86"/>
      <c r="F2201" s="308"/>
    </row>
    <row r="2202" spans="2:6">
      <c r="B2202" s="308"/>
      <c r="C2202" s="86"/>
      <c r="D2202" s="86"/>
      <c r="E2202" s="86"/>
      <c r="F2202" s="308"/>
    </row>
    <row r="2203" spans="2:6">
      <c r="B2203" s="308"/>
      <c r="C2203" s="86"/>
      <c r="D2203" s="86"/>
      <c r="E2203" s="86"/>
      <c r="F2203" s="308"/>
    </row>
    <row r="2204" spans="2:6">
      <c r="B2204" s="308"/>
      <c r="C2204" s="86"/>
      <c r="D2204" s="86"/>
      <c r="E2204" s="86"/>
      <c r="F2204" s="308"/>
    </row>
    <row r="2205" spans="2:6">
      <c r="B2205" s="308"/>
      <c r="C2205" s="86"/>
      <c r="D2205" s="86"/>
      <c r="E2205" s="86"/>
      <c r="F2205" s="308"/>
    </row>
    <row r="2206" spans="2:6">
      <c r="B2206" s="308"/>
      <c r="C2206" s="86"/>
      <c r="D2206" s="86"/>
      <c r="E2206" s="86"/>
      <c r="F2206" s="308"/>
    </row>
    <row r="2207" spans="2:6">
      <c r="B2207" s="308"/>
      <c r="C2207" s="86"/>
      <c r="D2207" s="86"/>
      <c r="E2207" s="86"/>
      <c r="F2207" s="308"/>
    </row>
    <row r="2208" spans="2:6">
      <c r="B2208" s="308"/>
      <c r="C2208" s="86"/>
      <c r="D2208" s="86"/>
      <c r="E2208" s="86"/>
      <c r="F2208" s="308"/>
    </row>
    <row r="2209" spans="2:6">
      <c r="B2209" s="308"/>
      <c r="C2209" s="86"/>
      <c r="D2209" s="86"/>
      <c r="E2209" s="86"/>
      <c r="F2209" s="308"/>
    </row>
    <row r="2210" spans="2:6">
      <c r="B2210" s="308"/>
      <c r="C2210" s="86"/>
      <c r="D2210" s="86"/>
      <c r="E2210" s="86"/>
      <c r="F2210" s="308"/>
    </row>
    <row r="2211" spans="2:6">
      <c r="B2211" s="308"/>
      <c r="C2211" s="86"/>
      <c r="D2211" s="86"/>
      <c r="E2211" s="86"/>
      <c r="F2211" s="308"/>
    </row>
    <row r="2212" spans="2:6">
      <c r="B2212" s="308"/>
      <c r="C2212" s="86"/>
      <c r="D2212" s="86"/>
      <c r="E2212" s="86"/>
      <c r="F2212" s="308"/>
    </row>
    <row r="2213" spans="2:6">
      <c r="B2213" s="308"/>
      <c r="C2213" s="86"/>
      <c r="D2213" s="86"/>
      <c r="E2213" s="86"/>
      <c r="F2213" s="308"/>
    </row>
    <row r="2214" spans="2:6">
      <c r="B2214" s="308"/>
      <c r="C2214" s="86"/>
      <c r="D2214" s="86"/>
      <c r="E2214" s="86"/>
      <c r="F2214" s="308"/>
    </row>
    <row r="2215" spans="2:6">
      <c r="B2215" s="308"/>
      <c r="C2215" s="86"/>
      <c r="D2215" s="86"/>
      <c r="E2215" s="86"/>
      <c r="F2215" s="308"/>
    </row>
    <row r="2216" spans="2:6">
      <c r="B2216" s="308"/>
      <c r="C2216" s="86"/>
      <c r="D2216" s="86"/>
      <c r="E2216" s="86"/>
      <c r="F2216" s="308"/>
    </row>
    <row r="2217" spans="2:6">
      <c r="B2217" s="308"/>
      <c r="C2217" s="86"/>
      <c r="D2217" s="86"/>
      <c r="E2217" s="86"/>
      <c r="F2217" s="308"/>
    </row>
    <row r="2218" spans="2:6">
      <c r="B2218" s="308"/>
      <c r="C2218" s="86"/>
      <c r="D2218" s="86"/>
      <c r="E2218" s="86"/>
      <c r="F2218" s="308"/>
    </row>
    <row r="2219" spans="2:6">
      <c r="B2219" s="308"/>
      <c r="C2219" s="86"/>
      <c r="D2219" s="86"/>
      <c r="E2219" s="86"/>
      <c r="F2219" s="308"/>
    </row>
    <row r="2220" spans="2:6">
      <c r="B2220" s="308"/>
      <c r="C2220" s="86"/>
      <c r="D2220" s="86"/>
      <c r="E2220" s="86"/>
      <c r="F2220" s="308"/>
    </row>
    <row r="2221" spans="2:6">
      <c r="B2221" s="308"/>
      <c r="C2221" s="86"/>
      <c r="D2221" s="86"/>
      <c r="E2221" s="86"/>
      <c r="F2221" s="308"/>
    </row>
    <row r="2222" spans="2:6">
      <c r="B2222" s="308"/>
      <c r="C2222" s="86"/>
      <c r="D2222" s="86"/>
      <c r="E2222" s="86"/>
      <c r="F2222" s="308"/>
    </row>
    <row r="2223" spans="2:6">
      <c r="B2223" s="308"/>
      <c r="C2223" s="86"/>
      <c r="D2223" s="86"/>
      <c r="E2223" s="86"/>
      <c r="F2223" s="308"/>
    </row>
    <row r="2224" spans="2:6">
      <c r="B2224" s="308"/>
      <c r="C2224" s="86"/>
      <c r="D2224" s="86"/>
      <c r="E2224" s="86"/>
      <c r="F2224" s="308"/>
    </row>
    <row r="2225" spans="2:6">
      <c r="B2225" s="308"/>
      <c r="C2225" s="86"/>
      <c r="D2225" s="86"/>
      <c r="E2225" s="86"/>
      <c r="F2225" s="308"/>
    </row>
    <row r="2226" spans="2:6">
      <c r="B2226" s="308"/>
      <c r="C2226" s="86"/>
      <c r="D2226" s="86"/>
      <c r="E2226" s="86"/>
      <c r="F2226" s="308"/>
    </row>
    <row r="2227" spans="2:6">
      <c r="B2227" s="308"/>
      <c r="C2227" s="86"/>
      <c r="D2227" s="86"/>
      <c r="E2227" s="86"/>
      <c r="F2227" s="308"/>
    </row>
    <row r="2228" spans="2:6">
      <c r="B2228" s="308"/>
      <c r="C2228" s="86"/>
      <c r="D2228" s="86"/>
      <c r="E2228" s="86"/>
      <c r="F2228" s="308"/>
    </row>
    <row r="2229" spans="2:6">
      <c r="B2229" s="308"/>
      <c r="C2229" s="86"/>
      <c r="D2229" s="86"/>
      <c r="E2229" s="86"/>
      <c r="F2229" s="308"/>
    </row>
    <row r="2230" spans="2:6">
      <c r="B2230" s="308"/>
      <c r="C2230" s="86"/>
      <c r="D2230" s="86"/>
      <c r="E2230" s="86"/>
      <c r="F2230" s="308"/>
    </row>
    <row r="2231" spans="2:6">
      <c r="B2231" s="308"/>
      <c r="C2231" s="86"/>
      <c r="D2231" s="86"/>
      <c r="E2231" s="86"/>
      <c r="F2231" s="308"/>
    </row>
    <row r="2232" spans="2:6">
      <c r="B2232" s="308"/>
      <c r="C2232" s="86"/>
      <c r="D2232" s="86"/>
      <c r="E2232" s="86"/>
      <c r="F2232" s="308"/>
    </row>
    <row r="2233" spans="2:6">
      <c r="B2233" s="308"/>
      <c r="C2233" s="86"/>
      <c r="D2233" s="86"/>
      <c r="E2233" s="86"/>
      <c r="F2233" s="308"/>
    </row>
    <row r="2234" spans="2:6">
      <c r="B2234" s="308"/>
      <c r="C2234" s="86"/>
      <c r="D2234" s="86"/>
      <c r="E2234" s="86"/>
      <c r="F2234" s="308"/>
    </row>
    <row r="2235" spans="2:6">
      <c r="B2235" s="308"/>
      <c r="C2235" s="86"/>
      <c r="D2235" s="86"/>
      <c r="E2235" s="86"/>
      <c r="F2235" s="308"/>
    </row>
    <row r="2236" spans="2:6">
      <c r="B2236" s="308"/>
      <c r="C2236" s="86"/>
      <c r="D2236" s="86"/>
      <c r="E2236" s="86"/>
      <c r="F2236" s="308"/>
    </row>
    <row r="2237" spans="2:6">
      <c r="B2237" s="308"/>
      <c r="C2237" s="86"/>
      <c r="D2237" s="86"/>
      <c r="E2237" s="86"/>
      <c r="F2237" s="308"/>
    </row>
    <row r="2238" spans="2:6">
      <c r="B2238" s="308"/>
      <c r="C2238" s="86"/>
      <c r="D2238" s="86"/>
      <c r="E2238" s="86"/>
      <c r="F2238" s="308"/>
    </row>
    <row r="2239" spans="2:6">
      <c r="B2239" s="308"/>
      <c r="C2239" s="86"/>
      <c r="D2239" s="86"/>
      <c r="E2239" s="86"/>
      <c r="F2239" s="308"/>
    </row>
    <row r="2240" spans="2:6">
      <c r="B2240" s="308"/>
      <c r="C2240" s="86"/>
      <c r="D2240" s="86"/>
      <c r="E2240" s="86"/>
      <c r="F2240" s="308"/>
    </row>
    <row r="2241" spans="2:6">
      <c r="B2241" s="308"/>
      <c r="C2241" s="86"/>
      <c r="D2241" s="86"/>
      <c r="E2241" s="86"/>
      <c r="F2241" s="308"/>
    </row>
    <row r="2242" spans="2:6">
      <c r="B2242" s="308"/>
      <c r="C2242" s="86"/>
      <c r="D2242" s="86"/>
      <c r="E2242" s="86"/>
      <c r="F2242" s="308"/>
    </row>
    <row r="2243" spans="2:6">
      <c r="B2243" s="308"/>
      <c r="C2243" s="86"/>
      <c r="D2243" s="86"/>
      <c r="E2243" s="86"/>
      <c r="F2243" s="308"/>
    </row>
    <row r="2244" spans="2:6">
      <c r="B2244" s="308"/>
      <c r="C2244" s="86"/>
      <c r="D2244" s="86"/>
      <c r="E2244" s="86"/>
      <c r="F2244" s="308"/>
    </row>
    <row r="2245" spans="2:6">
      <c r="B2245" s="308"/>
      <c r="C2245" s="86"/>
      <c r="D2245" s="86"/>
      <c r="E2245" s="86"/>
      <c r="F2245" s="308"/>
    </row>
    <row r="2246" spans="2:6">
      <c r="B2246" s="308"/>
      <c r="C2246" s="86"/>
      <c r="D2246" s="86"/>
      <c r="E2246" s="86"/>
      <c r="F2246" s="308"/>
    </row>
    <row r="2247" spans="2:6">
      <c r="B2247" s="308"/>
      <c r="C2247" s="86"/>
      <c r="D2247" s="86"/>
      <c r="E2247" s="86"/>
      <c r="F2247" s="308"/>
    </row>
    <row r="2248" spans="2:6">
      <c r="B2248" s="308"/>
      <c r="C2248" s="86"/>
      <c r="D2248" s="86"/>
      <c r="E2248" s="86"/>
      <c r="F2248" s="308"/>
    </row>
    <row r="2249" spans="2:6">
      <c r="B2249" s="308"/>
      <c r="C2249" s="86"/>
      <c r="D2249" s="86"/>
      <c r="E2249" s="86"/>
      <c r="F2249" s="308"/>
    </row>
    <row r="2250" spans="2:6">
      <c r="B2250" s="308"/>
      <c r="C2250" s="86"/>
      <c r="D2250" s="86"/>
      <c r="E2250" s="86"/>
      <c r="F2250" s="308"/>
    </row>
    <row r="2251" spans="2:6">
      <c r="B2251" s="308"/>
      <c r="C2251" s="86"/>
      <c r="D2251" s="86"/>
      <c r="E2251" s="86"/>
      <c r="F2251" s="308"/>
    </row>
    <row r="2252" spans="2:6">
      <c r="B2252" s="308"/>
      <c r="C2252" s="86"/>
      <c r="D2252" s="86"/>
      <c r="E2252" s="86"/>
      <c r="F2252" s="308"/>
    </row>
    <row r="2253" spans="2:6">
      <c r="B2253" s="308"/>
      <c r="C2253" s="86"/>
      <c r="D2253" s="86"/>
      <c r="E2253" s="86"/>
      <c r="F2253" s="308"/>
    </row>
    <row r="2254" spans="2:6">
      <c r="B2254" s="308"/>
      <c r="C2254" s="86"/>
      <c r="D2254" s="86"/>
      <c r="E2254" s="86"/>
      <c r="F2254" s="308"/>
    </row>
    <row r="2255" spans="2:6">
      <c r="B2255" s="308"/>
      <c r="C2255" s="86"/>
      <c r="D2255" s="86"/>
      <c r="E2255" s="86"/>
      <c r="F2255" s="308"/>
    </row>
    <row r="2256" spans="2:6">
      <c r="B2256" s="308"/>
      <c r="C2256" s="86"/>
      <c r="D2256" s="86"/>
      <c r="E2256" s="86"/>
      <c r="F2256" s="308"/>
    </row>
    <row r="2257" spans="2:6">
      <c r="B2257" s="308"/>
      <c r="C2257" s="86"/>
      <c r="D2257" s="86"/>
      <c r="E2257" s="86"/>
      <c r="F2257" s="308"/>
    </row>
    <row r="2258" spans="2:6">
      <c r="B2258" s="308"/>
      <c r="C2258" s="86"/>
      <c r="D2258" s="86"/>
      <c r="E2258" s="86"/>
      <c r="F2258" s="308"/>
    </row>
    <row r="2259" spans="2:6">
      <c r="B2259" s="308"/>
      <c r="C2259" s="86"/>
      <c r="D2259" s="86"/>
      <c r="E2259" s="86"/>
      <c r="F2259" s="308"/>
    </row>
    <row r="2260" spans="2:6">
      <c r="B2260" s="308"/>
      <c r="C2260" s="86"/>
      <c r="D2260" s="86"/>
      <c r="E2260" s="86"/>
      <c r="F2260" s="308"/>
    </row>
    <row r="2261" spans="2:6">
      <c r="B2261" s="308"/>
      <c r="C2261" s="86"/>
      <c r="D2261" s="86"/>
      <c r="E2261" s="86"/>
      <c r="F2261" s="308"/>
    </row>
    <row r="2262" spans="2:6">
      <c r="B2262" s="308"/>
      <c r="C2262" s="86"/>
      <c r="D2262" s="86"/>
      <c r="E2262" s="86"/>
      <c r="F2262" s="308"/>
    </row>
    <row r="2263" spans="2:6">
      <c r="B2263" s="308"/>
      <c r="C2263" s="86"/>
      <c r="D2263" s="86"/>
      <c r="E2263" s="86"/>
      <c r="F2263" s="308"/>
    </row>
    <row r="2264" spans="2:6">
      <c r="B2264" s="308"/>
      <c r="C2264" s="86"/>
      <c r="D2264" s="86"/>
      <c r="E2264" s="86"/>
      <c r="F2264" s="308"/>
    </row>
    <row r="2265" spans="2:6">
      <c r="B2265" s="308"/>
      <c r="C2265" s="86"/>
      <c r="D2265" s="86"/>
      <c r="E2265" s="86"/>
      <c r="F2265" s="308"/>
    </row>
    <row r="2266" spans="2:6">
      <c r="B2266" s="308"/>
      <c r="C2266" s="86"/>
      <c r="D2266" s="86"/>
      <c r="E2266" s="86"/>
      <c r="F2266" s="308"/>
    </row>
    <row r="2267" spans="2:6">
      <c r="B2267" s="308"/>
      <c r="C2267" s="86"/>
      <c r="D2267" s="86"/>
      <c r="E2267" s="86"/>
      <c r="F2267" s="308"/>
    </row>
    <row r="2268" spans="2:6">
      <c r="B2268" s="308"/>
      <c r="C2268" s="86"/>
      <c r="D2268" s="86"/>
      <c r="E2268" s="86"/>
      <c r="F2268" s="308"/>
    </row>
    <row r="2269" spans="2:6">
      <c r="B2269" s="308"/>
      <c r="C2269" s="86"/>
      <c r="D2269" s="86"/>
      <c r="E2269" s="86"/>
      <c r="F2269" s="308"/>
    </row>
    <row r="2270" spans="2:6">
      <c r="B2270" s="308"/>
      <c r="C2270" s="86"/>
      <c r="D2270" s="86"/>
      <c r="E2270" s="86"/>
      <c r="F2270" s="308"/>
    </row>
    <row r="2271" spans="2:6">
      <c r="B2271" s="308"/>
      <c r="C2271" s="86"/>
      <c r="D2271" s="86"/>
      <c r="E2271" s="86"/>
      <c r="F2271" s="308"/>
    </row>
    <row r="2272" spans="2:6">
      <c r="B2272" s="308"/>
      <c r="C2272" s="86"/>
      <c r="D2272" s="86"/>
      <c r="E2272" s="86"/>
      <c r="F2272" s="308"/>
    </row>
    <row r="2273" spans="2:6">
      <c r="B2273" s="308"/>
      <c r="C2273" s="86"/>
      <c r="D2273" s="86"/>
      <c r="E2273" s="86"/>
      <c r="F2273" s="308"/>
    </row>
    <row r="2274" spans="2:6">
      <c r="B2274" s="308"/>
      <c r="C2274" s="86"/>
      <c r="D2274" s="86"/>
      <c r="E2274" s="86"/>
      <c r="F2274" s="308"/>
    </row>
    <row r="2275" spans="2:6">
      <c r="B2275" s="308"/>
      <c r="C2275" s="86"/>
      <c r="D2275" s="86"/>
      <c r="E2275" s="86"/>
      <c r="F2275" s="308"/>
    </row>
    <row r="2276" spans="2:6">
      <c r="B2276" s="308"/>
      <c r="C2276" s="86"/>
      <c r="D2276" s="86"/>
      <c r="E2276" s="86"/>
      <c r="F2276" s="308"/>
    </row>
    <row r="2277" spans="2:6">
      <c r="B2277" s="308"/>
      <c r="C2277" s="86"/>
      <c r="D2277" s="86"/>
      <c r="E2277" s="86"/>
      <c r="F2277" s="308"/>
    </row>
    <row r="2278" spans="2:6">
      <c r="B2278" s="308"/>
      <c r="C2278" s="86"/>
      <c r="D2278" s="86"/>
      <c r="E2278" s="86"/>
      <c r="F2278" s="308"/>
    </row>
    <row r="2279" spans="2:6">
      <c r="B2279" s="308"/>
      <c r="C2279" s="86"/>
      <c r="D2279" s="86"/>
      <c r="E2279" s="86"/>
      <c r="F2279" s="308"/>
    </row>
    <row r="2280" spans="2:6">
      <c r="B2280" s="308"/>
      <c r="C2280" s="86"/>
      <c r="D2280" s="86"/>
      <c r="E2280" s="86"/>
      <c r="F2280" s="308"/>
    </row>
    <row r="2281" spans="2:6">
      <c r="B2281" s="308"/>
      <c r="C2281" s="86"/>
      <c r="D2281" s="86"/>
      <c r="E2281" s="86"/>
      <c r="F2281" s="308"/>
    </row>
    <row r="2282" spans="2:6">
      <c r="B2282" s="308"/>
      <c r="C2282" s="86"/>
      <c r="D2282" s="86"/>
      <c r="E2282" s="86"/>
      <c r="F2282" s="308"/>
    </row>
    <row r="2283" spans="2:6">
      <c r="B2283" s="308"/>
      <c r="C2283" s="86"/>
      <c r="D2283" s="86"/>
      <c r="E2283" s="86"/>
      <c r="F2283" s="308"/>
    </row>
    <row r="2284" spans="2:6">
      <c r="B2284" s="308"/>
      <c r="C2284" s="86"/>
      <c r="D2284" s="86"/>
      <c r="E2284" s="86"/>
      <c r="F2284" s="308"/>
    </row>
    <row r="2285" spans="2:6">
      <c r="B2285" s="308"/>
      <c r="C2285" s="86"/>
      <c r="D2285" s="86"/>
      <c r="E2285" s="86"/>
      <c r="F2285" s="308"/>
    </row>
    <row r="2286" spans="2:6">
      <c r="B2286" s="308"/>
      <c r="C2286" s="86"/>
      <c r="D2286" s="86"/>
      <c r="E2286" s="86"/>
      <c r="F2286" s="308"/>
    </row>
    <row r="2287" spans="2:6">
      <c r="B2287" s="308"/>
      <c r="C2287" s="86"/>
      <c r="D2287" s="86"/>
      <c r="E2287" s="86"/>
      <c r="F2287" s="308"/>
    </row>
    <row r="2288" spans="2:6">
      <c r="B2288" s="308"/>
      <c r="C2288" s="86"/>
      <c r="D2288" s="86"/>
      <c r="E2288" s="86"/>
      <c r="F2288" s="308"/>
    </row>
    <row r="2289" spans="2:6">
      <c r="B2289" s="308"/>
      <c r="C2289" s="86"/>
      <c r="D2289" s="86"/>
      <c r="E2289" s="86"/>
      <c r="F2289" s="308"/>
    </row>
    <row r="2290" spans="2:6">
      <c r="B2290" s="308"/>
      <c r="C2290" s="86"/>
      <c r="D2290" s="86"/>
      <c r="E2290" s="86"/>
      <c r="F2290" s="308"/>
    </row>
    <row r="2291" spans="2:6">
      <c r="B2291" s="308"/>
      <c r="C2291" s="86"/>
      <c r="D2291" s="86"/>
      <c r="E2291" s="86"/>
      <c r="F2291" s="308"/>
    </row>
    <row r="2292" spans="2:6">
      <c r="B2292" s="308"/>
      <c r="C2292" s="86"/>
      <c r="D2292" s="86"/>
      <c r="E2292" s="86"/>
      <c r="F2292" s="308"/>
    </row>
    <row r="2293" spans="2:6">
      <c r="B2293" s="308"/>
      <c r="C2293" s="86"/>
      <c r="D2293" s="86"/>
      <c r="E2293" s="86"/>
      <c r="F2293" s="308"/>
    </row>
    <row r="2294" spans="2:6">
      <c r="B2294" s="308"/>
      <c r="C2294" s="86"/>
      <c r="D2294" s="86"/>
      <c r="E2294" s="86"/>
      <c r="F2294" s="308"/>
    </row>
    <row r="2295" spans="2:6">
      <c r="B2295" s="308"/>
      <c r="C2295" s="86"/>
      <c r="D2295" s="86"/>
      <c r="E2295" s="86"/>
      <c r="F2295" s="308"/>
    </row>
    <row r="2296" spans="2:6">
      <c r="B2296" s="308"/>
      <c r="C2296" s="86"/>
      <c r="D2296" s="86"/>
      <c r="E2296" s="86"/>
      <c r="F2296" s="308"/>
    </row>
    <row r="2297" spans="2:6">
      <c r="B2297" s="308"/>
      <c r="C2297" s="86"/>
      <c r="D2297" s="86"/>
      <c r="E2297" s="86"/>
      <c r="F2297" s="308"/>
    </row>
    <row r="2298" spans="2:6">
      <c r="B2298" s="308"/>
      <c r="C2298" s="86"/>
      <c r="D2298" s="86"/>
      <c r="E2298" s="86"/>
      <c r="F2298" s="308"/>
    </row>
    <row r="2299" spans="2:6">
      <c r="B2299" s="308"/>
      <c r="C2299" s="86"/>
      <c r="D2299" s="86"/>
      <c r="E2299" s="86"/>
      <c r="F2299" s="308"/>
    </row>
    <row r="2300" spans="2:6">
      <c r="B2300" s="308"/>
      <c r="C2300" s="86"/>
      <c r="D2300" s="86"/>
      <c r="E2300" s="86"/>
      <c r="F2300" s="308"/>
    </row>
    <row r="2301" spans="2:6">
      <c r="B2301" s="308"/>
      <c r="C2301" s="86"/>
      <c r="D2301" s="86"/>
      <c r="E2301" s="86"/>
      <c r="F2301" s="308"/>
    </row>
    <row r="2302" spans="2:6">
      <c r="B2302" s="308"/>
      <c r="C2302" s="86"/>
      <c r="D2302" s="86"/>
      <c r="E2302" s="86"/>
      <c r="F2302" s="308"/>
    </row>
    <row r="2303" spans="2:6">
      <c r="B2303" s="308"/>
      <c r="C2303" s="86"/>
      <c r="D2303" s="86"/>
      <c r="E2303" s="86"/>
      <c r="F2303" s="308"/>
    </row>
    <row r="2304" spans="2:6">
      <c r="B2304" s="308"/>
      <c r="C2304" s="86"/>
      <c r="D2304" s="86"/>
      <c r="E2304" s="86"/>
      <c r="F2304" s="308"/>
    </row>
    <row r="2305" spans="2:6">
      <c r="B2305" s="308"/>
      <c r="C2305" s="86"/>
      <c r="D2305" s="86"/>
      <c r="E2305" s="86"/>
      <c r="F2305" s="308"/>
    </row>
    <row r="2306" spans="2:6">
      <c r="B2306" s="308"/>
      <c r="C2306" s="86"/>
      <c r="D2306" s="86"/>
      <c r="E2306" s="86"/>
      <c r="F2306" s="308"/>
    </row>
    <row r="2307" spans="2:6">
      <c r="B2307" s="308"/>
      <c r="C2307" s="86"/>
      <c r="D2307" s="86"/>
      <c r="E2307" s="86"/>
      <c r="F2307" s="308"/>
    </row>
    <row r="2308" spans="2:6">
      <c r="B2308" s="308"/>
      <c r="C2308" s="86"/>
      <c r="D2308" s="86"/>
      <c r="E2308" s="86"/>
      <c r="F2308" s="308"/>
    </row>
    <row r="2309" spans="2:6">
      <c r="B2309" s="308"/>
      <c r="C2309" s="86"/>
      <c r="D2309" s="86"/>
      <c r="E2309" s="86"/>
      <c r="F2309" s="308"/>
    </row>
    <row r="2310" spans="2:6">
      <c r="B2310" s="308"/>
      <c r="C2310" s="86"/>
      <c r="D2310" s="86"/>
      <c r="E2310" s="86"/>
      <c r="F2310" s="308"/>
    </row>
    <row r="2311" spans="2:6">
      <c r="B2311" s="308"/>
      <c r="C2311" s="86"/>
      <c r="D2311" s="86"/>
      <c r="E2311" s="86"/>
      <c r="F2311" s="308"/>
    </row>
    <row r="2312" spans="2:6">
      <c r="B2312" s="308"/>
      <c r="C2312" s="86"/>
      <c r="D2312" s="86"/>
      <c r="E2312" s="86"/>
      <c r="F2312" s="308"/>
    </row>
    <row r="2313" spans="2:6">
      <c r="B2313" s="308"/>
      <c r="C2313" s="86"/>
      <c r="D2313" s="86"/>
      <c r="E2313" s="86"/>
      <c r="F2313" s="308"/>
    </row>
    <row r="2314" spans="2:6">
      <c r="B2314" s="308"/>
      <c r="C2314" s="86"/>
      <c r="D2314" s="86"/>
      <c r="E2314" s="86"/>
      <c r="F2314" s="308"/>
    </row>
    <row r="2315" spans="2:6">
      <c r="B2315" s="308"/>
      <c r="C2315" s="86"/>
      <c r="D2315" s="86"/>
      <c r="E2315" s="86"/>
      <c r="F2315" s="308"/>
    </row>
    <row r="2316" spans="2:6">
      <c r="B2316" s="308"/>
      <c r="C2316" s="86"/>
      <c r="D2316" s="86"/>
      <c r="E2316" s="86"/>
      <c r="F2316" s="308"/>
    </row>
    <row r="2317" spans="2:6">
      <c r="B2317" s="308"/>
      <c r="C2317" s="86"/>
      <c r="D2317" s="86"/>
      <c r="E2317" s="86"/>
      <c r="F2317" s="308"/>
    </row>
    <row r="2318" spans="2:6">
      <c r="B2318" s="308"/>
      <c r="C2318" s="86"/>
      <c r="D2318" s="86"/>
      <c r="E2318" s="86"/>
      <c r="F2318" s="308"/>
    </row>
    <row r="2319" spans="2:6">
      <c r="B2319" s="308"/>
      <c r="C2319" s="86"/>
      <c r="D2319" s="86"/>
      <c r="E2319" s="86"/>
      <c r="F2319" s="308"/>
    </row>
    <row r="2320" spans="2:6">
      <c r="B2320" s="308"/>
      <c r="C2320" s="86"/>
      <c r="D2320" s="86"/>
      <c r="E2320" s="86"/>
      <c r="F2320" s="308"/>
    </row>
    <row r="2321" spans="2:6">
      <c r="B2321" s="308"/>
      <c r="C2321" s="86"/>
      <c r="D2321" s="86"/>
      <c r="E2321" s="86"/>
      <c r="F2321" s="308"/>
    </row>
    <row r="2322" spans="2:6">
      <c r="B2322" s="308"/>
      <c r="C2322" s="86"/>
      <c r="D2322" s="86"/>
      <c r="E2322" s="86"/>
      <c r="F2322" s="308"/>
    </row>
    <row r="2323" spans="2:6">
      <c r="B2323" s="308"/>
      <c r="C2323" s="86"/>
      <c r="D2323" s="86"/>
      <c r="E2323" s="86"/>
      <c r="F2323" s="308"/>
    </row>
    <row r="2324" spans="2:6">
      <c r="B2324" s="308"/>
      <c r="C2324" s="86"/>
      <c r="D2324" s="86"/>
      <c r="E2324" s="86"/>
      <c r="F2324" s="308"/>
    </row>
    <row r="2325" spans="2:6">
      <c r="B2325" s="308"/>
      <c r="C2325" s="86"/>
      <c r="D2325" s="86"/>
      <c r="E2325" s="86"/>
      <c r="F2325" s="308"/>
    </row>
    <row r="2326" spans="2:6">
      <c r="B2326" s="308"/>
      <c r="C2326" s="86"/>
      <c r="D2326" s="86"/>
      <c r="E2326" s="86"/>
      <c r="F2326" s="308"/>
    </row>
    <row r="2327" spans="2:6">
      <c r="B2327" s="308"/>
      <c r="C2327" s="86"/>
      <c r="D2327" s="86"/>
      <c r="E2327" s="86"/>
      <c r="F2327" s="308"/>
    </row>
    <row r="2328" spans="2:6">
      <c r="B2328" s="308"/>
      <c r="C2328" s="86"/>
      <c r="D2328" s="86"/>
      <c r="E2328" s="86"/>
      <c r="F2328" s="308"/>
    </row>
    <row r="2329" spans="2:6">
      <c r="B2329" s="308"/>
      <c r="C2329" s="86"/>
      <c r="D2329" s="86"/>
      <c r="E2329" s="86"/>
      <c r="F2329" s="308"/>
    </row>
    <row r="2330" spans="2:6">
      <c r="B2330" s="308"/>
      <c r="C2330" s="86"/>
      <c r="D2330" s="86"/>
      <c r="E2330" s="86"/>
      <c r="F2330" s="308"/>
    </row>
    <row r="2331" spans="2:6">
      <c r="B2331" s="308"/>
      <c r="C2331" s="86"/>
      <c r="D2331" s="86"/>
      <c r="E2331" s="86"/>
      <c r="F2331" s="308"/>
    </row>
    <row r="2332" spans="2:6">
      <c r="B2332" s="308"/>
      <c r="C2332" s="86"/>
      <c r="D2332" s="86"/>
      <c r="E2332" s="86"/>
      <c r="F2332" s="308"/>
    </row>
    <row r="2333" spans="2:6">
      <c r="B2333" s="308"/>
      <c r="C2333" s="86"/>
      <c r="D2333" s="86"/>
      <c r="E2333" s="86"/>
      <c r="F2333" s="308"/>
    </row>
    <row r="2334" spans="2:6">
      <c r="B2334" s="308"/>
      <c r="C2334" s="86"/>
      <c r="D2334" s="86"/>
      <c r="E2334" s="86"/>
      <c r="F2334" s="308"/>
    </row>
    <row r="2335" spans="2:6">
      <c r="B2335" s="308"/>
      <c r="C2335" s="86"/>
      <c r="D2335" s="86"/>
      <c r="E2335" s="86"/>
      <c r="F2335" s="308"/>
    </row>
    <row r="2336" spans="2:6">
      <c r="B2336" s="308"/>
      <c r="C2336" s="86"/>
      <c r="D2336" s="86"/>
      <c r="E2336" s="86"/>
      <c r="F2336" s="308"/>
    </row>
    <row r="2337" spans="2:6">
      <c r="B2337" s="308"/>
      <c r="C2337" s="86"/>
      <c r="D2337" s="86"/>
      <c r="E2337" s="86"/>
      <c r="F2337" s="308"/>
    </row>
    <row r="2338" spans="2:6">
      <c r="B2338" s="308"/>
      <c r="C2338" s="86"/>
      <c r="D2338" s="86"/>
      <c r="E2338" s="86"/>
      <c r="F2338" s="308"/>
    </row>
    <row r="2339" spans="2:6">
      <c r="B2339" s="308"/>
      <c r="C2339" s="86"/>
      <c r="D2339" s="86"/>
      <c r="E2339" s="86"/>
      <c r="F2339" s="308"/>
    </row>
    <row r="2340" spans="2:6">
      <c r="B2340" s="308"/>
      <c r="C2340" s="86"/>
      <c r="D2340" s="86"/>
      <c r="E2340" s="86"/>
      <c r="F2340" s="308"/>
    </row>
    <row r="2341" spans="2:6">
      <c r="B2341" s="308"/>
      <c r="C2341" s="86"/>
      <c r="D2341" s="86"/>
      <c r="E2341" s="86"/>
      <c r="F2341" s="308"/>
    </row>
    <row r="2342" spans="2:6">
      <c r="B2342" s="308"/>
      <c r="C2342" s="86"/>
      <c r="D2342" s="86"/>
      <c r="E2342" s="86"/>
      <c r="F2342" s="308"/>
    </row>
    <row r="2343" spans="2:6">
      <c r="B2343" s="308"/>
      <c r="C2343" s="86"/>
      <c r="D2343" s="86"/>
      <c r="E2343" s="86"/>
      <c r="F2343" s="308"/>
    </row>
    <row r="2344" spans="2:6">
      <c r="B2344" s="308"/>
      <c r="C2344" s="86"/>
      <c r="D2344" s="86"/>
      <c r="E2344" s="86"/>
      <c r="F2344" s="308"/>
    </row>
    <row r="2345" spans="2:6">
      <c r="B2345" s="308"/>
      <c r="C2345" s="86"/>
      <c r="D2345" s="86"/>
      <c r="E2345" s="86"/>
      <c r="F2345" s="308"/>
    </row>
    <row r="2346" spans="2:6">
      <c r="B2346" s="308"/>
      <c r="C2346" s="86"/>
      <c r="D2346" s="86"/>
      <c r="E2346" s="86"/>
      <c r="F2346" s="308"/>
    </row>
    <row r="2347" spans="2:6">
      <c r="B2347" s="308"/>
      <c r="C2347" s="86"/>
      <c r="D2347" s="86"/>
      <c r="E2347" s="86"/>
      <c r="F2347" s="308"/>
    </row>
    <row r="2348" spans="2:6">
      <c r="B2348" s="308"/>
      <c r="C2348" s="86"/>
      <c r="D2348" s="86"/>
      <c r="E2348" s="86"/>
      <c r="F2348" s="308"/>
    </row>
    <row r="2349" spans="2:6">
      <c r="B2349" s="308"/>
      <c r="C2349" s="86"/>
      <c r="D2349" s="86"/>
      <c r="E2349" s="86"/>
      <c r="F2349" s="308"/>
    </row>
    <row r="2350" spans="2:6">
      <c r="B2350" s="308"/>
      <c r="C2350" s="86"/>
      <c r="D2350" s="86"/>
      <c r="E2350" s="86"/>
      <c r="F2350" s="308"/>
    </row>
    <row r="2351" spans="2:6">
      <c r="B2351" s="308"/>
      <c r="C2351" s="86"/>
      <c r="D2351" s="86"/>
      <c r="E2351" s="86"/>
      <c r="F2351" s="308"/>
    </row>
    <row r="2352" spans="2:6">
      <c r="B2352" s="308"/>
      <c r="C2352" s="86"/>
      <c r="D2352" s="86"/>
      <c r="E2352" s="86"/>
      <c r="F2352" s="308"/>
    </row>
    <row r="2353" spans="2:6">
      <c r="B2353" s="308"/>
      <c r="C2353" s="86"/>
      <c r="D2353" s="86"/>
      <c r="E2353" s="86"/>
      <c r="F2353" s="308"/>
    </row>
    <row r="2354" spans="2:6">
      <c r="B2354" s="308"/>
      <c r="C2354" s="86"/>
      <c r="D2354" s="86"/>
      <c r="E2354" s="86"/>
      <c r="F2354" s="308"/>
    </row>
    <row r="2355" spans="2:6">
      <c r="B2355" s="308"/>
      <c r="C2355" s="86"/>
      <c r="D2355" s="86"/>
      <c r="E2355" s="86"/>
      <c r="F2355" s="308"/>
    </row>
    <row r="2356" spans="2:6">
      <c r="B2356" s="308"/>
      <c r="C2356" s="86"/>
      <c r="D2356" s="86"/>
      <c r="E2356" s="86"/>
      <c r="F2356" s="308"/>
    </row>
    <row r="2357" spans="2:6">
      <c r="B2357" s="308"/>
      <c r="C2357" s="86"/>
      <c r="D2357" s="86"/>
      <c r="E2357" s="86"/>
      <c r="F2357" s="308"/>
    </row>
    <row r="2358" spans="2:6">
      <c r="B2358" s="308"/>
      <c r="C2358" s="86"/>
      <c r="D2358" s="86"/>
      <c r="E2358" s="86"/>
      <c r="F2358" s="308"/>
    </row>
    <row r="2359" spans="2:6">
      <c r="B2359" s="308"/>
      <c r="C2359" s="86"/>
      <c r="D2359" s="86"/>
      <c r="E2359" s="86"/>
      <c r="F2359" s="308"/>
    </row>
    <row r="2360" spans="2:6">
      <c r="B2360" s="308"/>
      <c r="C2360" s="86"/>
      <c r="D2360" s="86"/>
      <c r="E2360" s="86"/>
      <c r="F2360" s="308"/>
    </row>
    <row r="2361" spans="2:6">
      <c r="B2361" s="308"/>
      <c r="C2361" s="86"/>
      <c r="D2361" s="86"/>
      <c r="E2361" s="86"/>
      <c r="F2361" s="308"/>
    </row>
    <row r="2362" spans="2:6">
      <c r="B2362" s="308"/>
      <c r="C2362" s="86"/>
      <c r="D2362" s="86"/>
      <c r="E2362" s="86"/>
      <c r="F2362" s="308"/>
    </row>
    <row r="2363" spans="2:6">
      <c r="B2363" s="308"/>
      <c r="C2363" s="86"/>
      <c r="D2363" s="86"/>
      <c r="E2363" s="86"/>
      <c r="F2363" s="308"/>
    </row>
    <row r="2364" spans="2:6">
      <c r="B2364" s="308"/>
      <c r="C2364" s="86"/>
      <c r="D2364" s="86"/>
      <c r="E2364" s="86"/>
      <c r="F2364" s="308"/>
    </row>
    <row r="2365" spans="2:6">
      <c r="B2365" s="308"/>
      <c r="C2365" s="86"/>
      <c r="D2365" s="86"/>
      <c r="E2365" s="86"/>
      <c r="F2365" s="308"/>
    </row>
    <row r="2366" spans="2:6">
      <c r="B2366" s="308"/>
      <c r="C2366" s="86"/>
      <c r="D2366" s="86"/>
      <c r="E2366" s="86"/>
      <c r="F2366" s="308"/>
    </row>
    <row r="2367" spans="2:6">
      <c r="B2367" s="308"/>
      <c r="C2367" s="86"/>
      <c r="D2367" s="86"/>
      <c r="E2367" s="86"/>
      <c r="F2367" s="308"/>
    </row>
    <row r="2368" spans="2:6">
      <c r="B2368" s="308"/>
      <c r="C2368" s="86"/>
      <c r="D2368" s="86"/>
      <c r="E2368" s="86"/>
      <c r="F2368" s="308"/>
    </row>
    <row r="2369" spans="2:6">
      <c r="B2369" s="308"/>
      <c r="C2369" s="86"/>
      <c r="D2369" s="86"/>
      <c r="E2369" s="86"/>
      <c r="F2369" s="308"/>
    </row>
    <row r="2370" spans="2:6">
      <c r="B2370" s="308"/>
      <c r="C2370" s="86"/>
      <c r="D2370" s="86"/>
      <c r="E2370" s="86"/>
      <c r="F2370" s="308"/>
    </row>
    <row r="2371" spans="2:6">
      <c r="B2371" s="308"/>
      <c r="C2371" s="86"/>
      <c r="D2371" s="86"/>
      <c r="E2371" s="86"/>
      <c r="F2371" s="308"/>
    </row>
    <row r="2372" spans="2:6">
      <c r="B2372" s="308"/>
      <c r="C2372" s="86"/>
      <c r="D2372" s="86"/>
      <c r="E2372" s="86"/>
      <c r="F2372" s="308"/>
    </row>
    <row r="2373" spans="2:6">
      <c r="B2373" s="308"/>
      <c r="C2373" s="86"/>
      <c r="D2373" s="86"/>
      <c r="E2373" s="86"/>
      <c r="F2373" s="308"/>
    </row>
    <row r="2374" spans="2:6">
      <c r="B2374" s="308"/>
      <c r="C2374" s="86"/>
      <c r="D2374" s="86"/>
      <c r="E2374" s="86"/>
      <c r="F2374" s="308"/>
    </row>
    <row r="2375" spans="2:6">
      <c r="B2375" s="308"/>
      <c r="C2375" s="86"/>
      <c r="D2375" s="86"/>
      <c r="E2375" s="86"/>
      <c r="F2375" s="308"/>
    </row>
    <row r="2376" spans="2:6">
      <c r="B2376" s="308"/>
      <c r="C2376" s="86"/>
      <c r="D2376" s="86"/>
      <c r="E2376" s="86"/>
      <c r="F2376" s="308"/>
    </row>
    <row r="2377" spans="2:6">
      <c r="B2377" s="308"/>
      <c r="C2377" s="86"/>
      <c r="D2377" s="86"/>
      <c r="E2377" s="86"/>
      <c r="F2377" s="308"/>
    </row>
    <row r="2378" spans="2:6">
      <c r="B2378" s="308"/>
      <c r="C2378" s="86"/>
      <c r="D2378" s="86"/>
      <c r="E2378" s="86"/>
      <c r="F2378" s="308"/>
    </row>
    <row r="2379" spans="2:6">
      <c r="B2379" s="308"/>
      <c r="C2379" s="86"/>
      <c r="D2379" s="86"/>
      <c r="E2379" s="86"/>
      <c r="F2379" s="308"/>
    </row>
    <row r="2380" spans="2:6">
      <c r="B2380" s="308"/>
      <c r="C2380" s="86"/>
      <c r="D2380" s="86"/>
      <c r="E2380" s="86"/>
      <c r="F2380" s="308"/>
    </row>
    <row r="2381" spans="2:6">
      <c r="B2381" s="308"/>
      <c r="C2381" s="86"/>
      <c r="D2381" s="86"/>
      <c r="E2381" s="86"/>
      <c r="F2381" s="308"/>
    </row>
    <row r="2382" spans="2:6">
      <c r="B2382" s="308"/>
      <c r="C2382" s="86"/>
      <c r="D2382" s="86"/>
      <c r="E2382" s="86"/>
      <c r="F2382" s="308"/>
    </row>
    <row r="2383" spans="2:6">
      <c r="B2383" s="308"/>
      <c r="C2383" s="86"/>
      <c r="D2383" s="86"/>
      <c r="E2383" s="86"/>
      <c r="F2383" s="308"/>
    </row>
    <row r="2384" spans="2:6">
      <c r="B2384" s="308"/>
      <c r="C2384" s="86"/>
      <c r="D2384" s="86"/>
      <c r="E2384" s="86"/>
      <c r="F2384" s="308"/>
    </row>
    <row r="2385" spans="2:6">
      <c r="B2385" s="308"/>
      <c r="C2385" s="86"/>
      <c r="D2385" s="86"/>
      <c r="E2385" s="86"/>
      <c r="F2385" s="308"/>
    </row>
    <row r="2386" spans="2:6">
      <c r="B2386" s="308"/>
      <c r="C2386" s="86"/>
      <c r="D2386" s="86"/>
      <c r="E2386" s="86"/>
      <c r="F2386" s="308"/>
    </row>
    <row r="2387" spans="2:6">
      <c r="B2387" s="308"/>
      <c r="C2387" s="86"/>
      <c r="D2387" s="86"/>
      <c r="E2387" s="86"/>
      <c r="F2387" s="308"/>
    </row>
    <row r="2388" spans="2:6">
      <c r="B2388" s="308"/>
      <c r="C2388" s="86"/>
      <c r="D2388" s="86"/>
      <c r="E2388" s="86"/>
      <c r="F2388" s="308"/>
    </row>
    <row r="2389" spans="2:6">
      <c r="B2389" s="308"/>
      <c r="C2389" s="86"/>
      <c r="D2389" s="86"/>
      <c r="E2389" s="86"/>
      <c r="F2389" s="308"/>
    </row>
    <row r="2390" spans="2:6">
      <c r="B2390" s="308"/>
      <c r="C2390" s="86"/>
      <c r="D2390" s="86"/>
      <c r="E2390" s="86"/>
      <c r="F2390" s="308"/>
    </row>
    <row r="2391" spans="2:6">
      <c r="B2391" s="308"/>
      <c r="C2391" s="86"/>
      <c r="D2391" s="86"/>
      <c r="E2391" s="86"/>
      <c r="F2391" s="308"/>
    </row>
    <row r="2392" spans="2:6">
      <c r="B2392" s="308"/>
      <c r="C2392" s="86"/>
      <c r="D2392" s="86"/>
      <c r="E2392" s="86"/>
      <c r="F2392" s="308"/>
    </row>
    <row r="2393" spans="2:6">
      <c r="B2393" s="308"/>
      <c r="C2393" s="86"/>
      <c r="D2393" s="86"/>
      <c r="E2393" s="86"/>
      <c r="F2393" s="308"/>
    </row>
    <row r="2394" spans="2:6">
      <c r="B2394" s="308"/>
      <c r="C2394" s="86"/>
      <c r="D2394" s="86"/>
      <c r="E2394" s="86"/>
      <c r="F2394" s="308"/>
    </row>
    <row r="2395" spans="2:6">
      <c r="B2395" s="308"/>
      <c r="C2395" s="86"/>
      <c r="D2395" s="86"/>
      <c r="E2395" s="86"/>
      <c r="F2395" s="308"/>
    </row>
    <row r="2396" spans="2:6">
      <c r="B2396" s="308"/>
      <c r="C2396" s="86"/>
      <c r="D2396" s="86"/>
      <c r="E2396" s="86"/>
      <c r="F2396" s="308"/>
    </row>
    <row r="2397" spans="2:6">
      <c r="B2397" s="308"/>
      <c r="C2397" s="86"/>
      <c r="D2397" s="86"/>
      <c r="E2397" s="86"/>
      <c r="F2397" s="308"/>
    </row>
    <row r="2398" spans="2:6">
      <c r="B2398" s="308"/>
      <c r="C2398" s="86"/>
      <c r="D2398" s="86"/>
      <c r="E2398" s="86"/>
      <c r="F2398" s="308"/>
    </row>
    <row r="2399" spans="2:6">
      <c r="B2399" s="308"/>
      <c r="C2399" s="86"/>
      <c r="D2399" s="86"/>
      <c r="E2399" s="86"/>
      <c r="F2399" s="308"/>
    </row>
    <row r="2400" spans="2:6">
      <c r="B2400" s="308"/>
      <c r="C2400" s="86"/>
      <c r="D2400" s="86"/>
      <c r="E2400" s="86"/>
      <c r="F2400" s="308"/>
    </row>
    <row r="2401" spans="2:6">
      <c r="B2401" s="308"/>
      <c r="C2401" s="86"/>
      <c r="D2401" s="86"/>
      <c r="E2401" s="86"/>
      <c r="F2401" s="308"/>
    </row>
    <row r="2402" spans="2:6">
      <c r="B2402" s="308"/>
      <c r="C2402" s="86"/>
      <c r="D2402" s="86"/>
      <c r="E2402" s="86"/>
      <c r="F2402" s="308"/>
    </row>
    <row r="2403" spans="2:6">
      <c r="B2403" s="308"/>
      <c r="C2403" s="86"/>
      <c r="D2403" s="86"/>
      <c r="E2403" s="86"/>
      <c r="F2403" s="308"/>
    </row>
    <row r="2404" spans="2:6">
      <c r="B2404" s="308"/>
      <c r="C2404" s="86"/>
      <c r="D2404" s="86"/>
      <c r="E2404" s="86"/>
      <c r="F2404" s="308"/>
    </row>
    <row r="2405" spans="2:6">
      <c r="B2405" s="308"/>
      <c r="C2405" s="86"/>
      <c r="D2405" s="86"/>
      <c r="E2405" s="86"/>
      <c r="F2405" s="308"/>
    </row>
    <row r="2406" spans="2:6">
      <c r="B2406" s="308"/>
      <c r="C2406" s="86"/>
      <c r="D2406" s="86"/>
      <c r="E2406" s="86"/>
      <c r="F2406" s="308"/>
    </row>
    <row r="2407" spans="2:6">
      <c r="B2407" s="308"/>
      <c r="C2407" s="86"/>
      <c r="D2407" s="86"/>
      <c r="E2407" s="86"/>
      <c r="F2407" s="308"/>
    </row>
    <row r="2408" spans="2:6">
      <c r="B2408" s="308"/>
      <c r="C2408" s="86"/>
      <c r="D2408" s="86"/>
      <c r="E2408" s="86"/>
      <c r="F2408" s="308"/>
    </row>
    <row r="2409" spans="2:6">
      <c r="B2409" s="308"/>
      <c r="C2409" s="86"/>
      <c r="D2409" s="86"/>
      <c r="E2409" s="86"/>
      <c r="F2409" s="308"/>
    </row>
    <row r="2410" spans="2:6">
      <c r="B2410" s="308"/>
      <c r="C2410" s="86"/>
      <c r="D2410" s="86"/>
      <c r="E2410" s="86"/>
      <c r="F2410" s="308"/>
    </row>
    <row r="2411" spans="2:6">
      <c r="B2411" s="308"/>
      <c r="C2411" s="86"/>
      <c r="D2411" s="86"/>
      <c r="E2411" s="86"/>
      <c r="F2411" s="308"/>
    </row>
    <row r="2412" spans="2:6">
      <c r="B2412" s="308"/>
      <c r="C2412" s="86"/>
      <c r="D2412" s="86"/>
      <c r="E2412" s="86"/>
      <c r="F2412" s="308"/>
    </row>
    <row r="2413" spans="2:6">
      <c r="B2413" s="308"/>
      <c r="C2413" s="86"/>
      <c r="D2413" s="86"/>
      <c r="E2413" s="86"/>
      <c r="F2413" s="308"/>
    </row>
    <row r="2414" spans="2:6">
      <c r="B2414" s="308"/>
      <c r="C2414" s="86"/>
      <c r="D2414" s="86"/>
      <c r="E2414" s="86"/>
      <c r="F2414" s="308"/>
    </row>
    <row r="2415" spans="2:6">
      <c r="B2415" s="308"/>
      <c r="C2415" s="86"/>
      <c r="D2415" s="86"/>
      <c r="E2415" s="86"/>
      <c r="F2415" s="308"/>
    </row>
    <row r="2416" spans="2:6">
      <c r="B2416" s="308"/>
      <c r="C2416" s="86"/>
      <c r="D2416" s="86"/>
      <c r="E2416" s="86"/>
      <c r="F2416" s="308"/>
    </row>
    <row r="2417" spans="2:6">
      <c r="B2417" s="308"/>
      <c r="C2417" s="86"/>
      <c r="D2417" s="86"/>
      <c r="E2417" s="86"/>
      <c r="F2417" s="308"/>
    </row>
    <row r="2418" spans="2:6">
      <c r="B2418" s="308"/>
      <c r="C2418" s="86"/>
      <c r="D2418" s="86"/>
      <c r="E2418" s="86"/>
      <c r="F2418" s="308"/>
    </row>
    <row r="2419" spans="2:6">
      <c r="B2419" s="308"/>
      <c r="C2419" s="86"/>
      <c r="D2419" s="86"/>
      <c r="E2419" s="86"/>
      <c r="F2419" s="308"/>
    </row>
    <row r="2420" spans="2:6">
      <c r="B2420" s="308"/>
      <c r="C2420" s="86"/>
      <c r="D2420" s="86"/>
      <c r="E2420" s="86"/>
      <c r="F2420" s="308"/>
    </row>
    <row r="2421" spans="2:6">
      <c r="B2421" s="308"/>
      <c r="C2421" s="86"/>
      <c r="D2421" s="86"/>
      <c r="E2421" s="86"/>
      <c r="F2421" s="308"/>
    </row>
    <row r="2422" spans="2:6">
      <c r="B2422" s="308"/>
      <c r="C2422" s="86"/>
      <c r="D2422" s="86"/>
      <c r="E2422" s="86"/>
      <c r="F2422" s="308"/>
    </row>
    <row r="2423" spans="2:6">
      <c r="B2423" s="308"/>
      <c r="C2423" s="86"/>
      <c r="D2423" s="86"/>
      <c r="E2423" s="86"/>
      <c r="F2423" s="308"/>
    </row>
    <row r="2424" spans="2:6">
      <c r="B2424" s="308"/>
      <c r="C2424" s="86"/>
      <c r="D2424" s="86"/>
      <c r="E2424" s="86"/>
      <c r="F2424" s="308"/>
    </row>
    <row r="2425" spans="2:6">
      <c r="B2425" s="308"/>
      <c r="C2425" s="86"/>
      <c r="D2425" s="86"/>
      <c r="E2425" s="86"/>
      <c r="F2425" s="308"/>
    </row>
    <row r="2426" spans="2:6">
      <c r="B2426" s="308"/>
      <c r="C2426" s="86"/>
      <c r="D2426" s="86"/>
      <c r="E2426" s="86"/>
      <c r="F2426" s="308"/>
    </row>
    <row r="2427" spans="2:6">
      <c r="B2427" s="308"/>
      <c r="C2427" s="86"/>
      <c r="D2427" s="86"/>
      <c r="E2427" s="86"/>
      <c r="F2427" s="308"/>
    </row>
    <row r="2428" spans="2:6">
      <c r="B2428" s="308"/>
      <c r="C2428" s="86"/>
      <c r="D2428" s="86"/>
      <c r="E2428" s="86"/>
      <c r="F2428" s="308"/>
    </row>
    <row r="2429" spans="2:6">
      <c r="B2429" s="308"/>
      <c r="C2429" s="86"/>
      <c r="D2429" s="86"/>
      <c r="E2429" s="86"/>
      <c r="F2429" s="308"/>
    </row>
    <row r="2430" spans="2:6">
      <c r="B2430" s="308"/>
      <c r="C2430" s="86"/>
      <c r="D2430" s="86"/>
      <c r="E2430" s="86"/>
      <c r="F2430" s="308"/>
    </row>
    <row r="2431" spans="2:6">
      <c r="B2431" s="308"/>
      <c r="C2431" s="86"/>
      <c r="D2431" s="86"/>
      <c r="E2431" s="86"/>
      <c r="F2431" s="308"/>
    </row>
    <row r="2432" spans="2:6">
      <c r="B2432" s="308"/>
      <c r="C2432" s="86"/>
      <c r="D2432" s="86"/>
      <c r="E2432" s="86"/>
      <c r="F2432" s="308"/>
    </row>
    <row r="2433" spans="2:6">
      <c r="B2433" s="308"/>
      <c r="C2433" s="86"/>
      <c r="D2433" s="86"/>
      <c r="E2433" s="86"/>
      <c r="F2433" s="308"/>
    </row>
    <row r="2434" spans="2:6">
      <c r="B2434" s="308"/>
      <c r="C2434" s="86"/>
      <c r="D2434" s="86"/>
      <c r="E2434" s="86"/>
      <c r="F2434" s="308"/>
    </row>
    <row r="2435" spans="2:6">
      <c r="B2435" s="308"/>
      <c r="C2435" s="86"/>
      <c r="D2435" s="86"/>
      <c r="E2435" s="86"/>
      <c r="F2435" s="308"/>
    </row>
    <row r="2436" spans="2:6">
      <c r="B2436" s="308"/>
      <c r="C2436" s="86"/>
      <c r="D2436" s="86"/>
      <c r="E2436" s="86"/>
      <c r="F2436" s="308"/>
    </row>
    <row r="2437" spans="2:6">
      <c r="B2437" s="308"/>
      <c r="C2437" s="86"/>
      <c r="D2437" s="86"/>
      <c r="E2437" s="86"/>
      <c r="F2437" s="308"/>
    </row>
    <row r="2438" spans="2:6">
      <c r="B2438" s="308"/>
      <c r="C2438" s="86"/>
      <c r="D2438" s="86"/>
      <c r="E2438" s="86"/>
      <c r="F2438" s="308"/>
    </row>
    <row r="2439" spans="2:6">
      <c r="B2439" s="308"/>
      <c r="C2439" s="86"/>
      <c r="D2439" s="86"/>
      <c r="E2439" s="86"/>
      <c r="F2439" s="308"/>
    </row>
    <row r="2440" spans="2:6">
      <c r="B2440" s="308"/>
      <c r="C2440" s="86"/>
      <c r="D2440" s="86"/>
      <c r="E2440" s="86"/>
      <c r="F2440" s="308"/>
    </row>
    <row r="2441" spans="2:6">
      <c r="B2441" s="308"/>
      <c r="C2441" s="86"/>
      <c r="D2441" s="86"/>
      <c r="E2441" s="86"/>
      <c r="F2441" s="308"/>
    </row>
    <row r="2442" spans="2:6">
      <c r="B2442" s="308"/>
      <c r="C2442" s="86"/>
      <c r="D2442" s="86"/>
      <c r="E2442" s="86"/>
      <c r="F2442" s="308"/>
    </row>
    <row r="2443" spans="2:6">
      <c r="B2443" s="308"/>
      <c r="C2443" s="86"/>
      <c r="D2443" s="86"/>
      <c r="E2443" s="86"/>
      <c r="F2443" s="308"/>
    </row>
    <row r="2444" spans="2:6">
      <c r="B2444" s="308"/>
      <c r="C2444" s="86"/>
      <c r="D2444" s="86"/>
      <c r="E2444" s="86"/>
      <c r="F2444" s="308"/>
    </row>
    <row r="2445" spans="2:6">
      <c r="B2445" s="308"/>
      <c r="C2445" s="86"/>
      <c r="D2445" s="86"/>
      <c r="E2445" s="86"/>
      <c r="F2445" s="308"/>
    </row>
    <row r="2446" spans="2:6">
      <c r="B2446" s="308"/>
      <c r="C2446" s="86"/>
      <c r="D2446" s="86"/>
      <c r="E2446" s="86"/>
      <c r="F2446" s="308"/>
    </row>
    <row r="2447" spans="2:6">
      <c r="B2447" s="308"/>
      <c r="C2447" s="86"/>
      <c r="D2447" s="86"/>
      <c r="E2447" s="86"/>
      <c r="F2447" s="308"/>
    </row>
    <row r="2448" spans="2:6">
      <c r="B2448" s="308"/>
      <c r="C2448" s="86"/>
      <c r="D2448" s="86"/>
      <c r="E2448" s="86"/>
      <c r="F2448" s="308"/>
    </row>
    <row r="2449" spans="2:6">
      <c r="B2449" s="308"/>
      <c r="C2449" s="86"/>
      <c r="D2449" s="86"/>
      <c r="E2449" s="86"/>
      <c r="F2449" s="308"/>
    </row>
    <row r="2450" spans="2:6">
      <c r="B2450" s="308"/>
      <c r="C2450" s="86"/>
      <c r="D2450" s="86"/>
      <c r="E2450" s="86"/>
      <c r="F2450" s="308"/>
    </row>
    <row r="2451" spans="2:6">
      <c r="B2451" s="308"/>
      <c r="C2451" s="86"/>
      <c r="D2451" s="86"/>
      <c r="E2451" s="86"/>
      <c r="F2451" s="308"/>
    </row>
    <row r="2452" spans="2:6">
      <c r="B2452" s="308"/>
      <c r="C2452" s="86"/>
      <c r="D2452" s="86"/>
      <c r="E2452" s="86"/>
      <c r="F2452" s="308"/>
    </row>
    <row r="2453" spans="2:6">
      <c r="B2453" s="308"/>
      <c r="C2453" s="86"/>
      <c r="D2453" s="86"/>
      <c r="E2453" s="86"/>
      <c r="F2453" s="308"/>
    </row>
    <row r="2454" spans="2:6">
      <c r="B2454" s="308"/>
      <c r="C2454" s="86"/>
      <c r="D2454" s="86"/>
      <c r="E2454" s="86"/>
      <c r="F2454" s="308"/>
    </row>
    <row r="2455" spans="2:6">
      <c r="B2455" s="308"/>
      <c r="C2455" s="86"/>
      <c r="D2455" s="86"/>
      <c r="E2455" s="86"/>
      <c r="F2455" s="308"/>
    </row>
    <row r="2456" spans="2:6">
      <c r="B2456" s="308"/>
      <c r="C2456" s="86"/>
      <c r="D2456" s="86"/>
      <c r="E2456" s="86"/>
      <c r="F2456" s="308"/>
    </row>
    <row r="2457" spans="2:6">
      <c r="B2457" s="308"/>
      <c r="C2457" s="86"/>
      <c r="D2457" s="86"/>
      <c r="E2457" s="86"/>
      <c r="F2457" s="308"/>
    </row>
    <row r="2458" spans="2:6">
      <c r="B2458" s="308"/>
      <c r="C2458" s="86"/>
      <c r="D2458" s="86"/>
      <c r="E2458" s="86"/>
      <c r="F2458" s="308"/>
    </row>
    <row r="2459" spans="2:6">
      <c r="B2459" s="308"/>
      <c r="C2459" s="86"/>
      <c r="D2459" s="86"/>
      <c r="E2459" s="86"/>
      <c r="F2459" s="308"/>
    </row>
    <row r="2460" spans="2:6">
      <c r="B2460" s="308"/>
      <c r="C2460" s="86"/>
      <c r="D2460" s="86"/>
      <c r="E2460" s="86"/>
      <c r="F2460" s="308"/>
    </row>
    <row r="2461" spans="2:6">
      <c r="B2461" s="308"/>
      <c r="C2461" s="86"/>
      <c r="D2461" s="86"/>
      <c r="E2461" s="86"/>
      <c r="F2461" s="308"/>
    </row>
    <row r="2462" spans="2:6">
      <c r="B2462" s="308"/>
      <c r="C2462" s="86"/>
      <c r="D2462" s="86"/>
      <c r="E2462" s="86"/>
      <c r="F2462" s="308"/>
    </row>
    <row r="2463" spans="2:6">
      <c r="B2463" s="308"/>
      <c r="C2463" s="86"/>
      <c r="D2463" s="86"/>
      <c r="E2463" s="86"/>
      <c r="F2463" s="308"/>
    </row>
    <row r="2464" spans="2:6">
      <c r="B2464" s="308"/>
      <c r="C2464" s="86"/>
      <c r="D2464" s="86"/>
      <c r="E2464" s="86"/>
      <c r="F2464" s="308"/>
    </row>
    <row r="2465" spans="2:6">
      <c r="B2465" s="308"/>
      <c r="C2465" s="86"/>
      <c r="D2465" s="86"/>
      <c r="E2465" s="86"/>
      <c r="F2465" s="308"/>
    </row>
    <row r="2466" spans="2:6">
      <c r="B2466" s="308"/>
      <c r="C2466" s="86"/>
      <c r="D2466" s="86"/>
      <c r="E2466" s="86"/>
      <c r="F2466" s="308"/>
    </row>
    <row r="2467" spans="2:6">
      <c r="B2467" s="308"/>
      <c r="C2467" s="86"/>
      <c r="D2467" s="86"/>
      <c r="E2467" s="86"/>
      <c r="F2467" s="308"/>
    </row>
    <row r="2468" spans="2:6">
      <c r="B2468" s="308"/>
      <c r="C2468" s="86"/>
      <c r="D2468" s="86"/>
      <c r="E2468" s="86"/>
      <c r="F2468" s="308"/>
    </row>
    <row r="2469" spans="2:6">
      <c r="B2469" s="308"/>
      <c r="C2469" s="86"/>
      <c r="D2469" s="86"/>
      <c r="E2469" s="86"/>
      <c r="F2469" s="308"/>
    </row>
    <row r="2470" spans="2:6">
      <c r="B2470" s="308"/>
      <c r="C2470" s="86"/>
      <c r="D2470" s="86"/>
      <c r="E2470" s="86"/>
      <c r="F2470" s="308"/>
    </row>
    <row r="2471" spans="2:6">
      <c r="B2471" s="308"/>
      <c r="C2471" s="86"/>
      <c r="D2471" s="86"/>
      <c r="E2471" s="86"/>
      <c r="F2471" s="308"/>
    </row>
    <row r="2472" spans="2:6">
      <c r="B2472" s="308"/>
      <c r="C2472" s="86"/>
      <c r="D2472" s="86"/>
      <c r="E2472" s="86"/>
      <c r="F2472" s="308"/>
    </row>
    <row r="2473" spans="2:6">
      <c r="B2473" s="308"/>
      <c r="C2473" s="86"/>
      <c r="D2473" s="86"/>
      <c r="E2473" s="86"/>
      <c r="F2473" s="308"/>
    </row>
    <row r="2474" spans="2:6">
      <c r="B2474" s="308"/>
      <c r="C2474" s="86"/>
      <c r="D2474" s="86"/>
      <c r="E2474" s="86"/>
      <c r="F2474" s="308"/>
    </row>
    <row r="2475" spans="2:6">
      <c r="B2475" s="308"/>
      <c r="C2475" s="86"/>
      <c r="D2475" s="86"/>
      <c r="E2475" s="86"/>
      <c r="F2475" s="308"/>
    </row>
    <row r="2476" spans="2:6">
      <c r="B2476" s="308"/>
      <c r="C2476" s="86"/>
      <c r="D2476" s="86"/>
      <c r="E2476" s="86"/>
      <c r="F2476" s="308"/>
    </row>
    <row r="2477" spans="2:6">
      <c r="B2477" s="308"/>
      <c r="C2477" s="86"/>
      <c r="D2477" s="86"/>
      <c r="E2477" s="86"/>
      <c r="F2477" s="308"/>
    </row>
    <row r="2478" spans="2:6">
      <c r="B2478" s="308"/>
      <c r="C2478" s="86"/>
      <c r="D2478" s="86"/>
      <c r="E2478" s="86"/>
      <c r="F2478" s="308"/>
    </row>
    <row r="2479" spans="2:6">
      <c r="B2479" s="308"/>
      <c r="C2479" s="86"/>
      <c r="D2479" s="86"/>
      <c r="E2479" s="86"/>
      <c r="F2479" s="308"/>
    </row>
    <row r="2480" spans="2:6">
      <c r="B2480" s="308"/>
      <c r="C2480" s="86"/>
      <c r="D2480" s="86"/>
      <c r="E2480" s="86"/>
      <c r="F2480" s="308"/>
    </row>
    <row r="2481" spans="2:6">
      <c r="B2481" s="308"/>
      <c r="C2481" s="86"/>
      <c r="D2481" s="86"/>
      <c r="E2481" s="86"/>
      <c r="F2481" s="308"/>
    </row>
    <row r="2482" spans="2:6">
      <c r="B2482" s="308"/>
      <c r="C2482" s="86"/>
      <c r="D2482" s="86"/>
      <c r="E2482" s="86"/>
      <c r="F2482" s="308"/>
    </row>
    <row r="2483" spans="2:6">
      <c r="B2483" s="308"/>
      <c r="C2483" s="86"/>
      <c r="D2483" s="86"/>
      <c r="E2483" s="86"/>
      <c r="F2483" s="308"/>
    </row>
    <row r="2484" spans="2:6">
      <c r="B2484" s="308"/>
      <c r="C2484" s="86"/>
      <c r="D2484" s="86"/>
      <c r="E2484" s="86"/>
      <c r="F2484" s="308"/>
    </row>
    <row r="2485" spans="2:6">
      <c r="B2485" s="308"/>
      <c r="C2485" s="86"/>
      <c r="D2485" s="86"/>
      <c r="E2485" s="86"/>
      <c r="F2485" s="308"/>
    </row>
    <row r="2486" spans="2:6">
      <c r="B2486" s="308"/>
      <c r="C2486" s="86"/>
      <c r="D2486" s="86"/>
      <c r="E2486" s="86"/>
      <c r="F2486" s="308"/>
    </row>
    <row r="2487" spans="2:6">
      <c r="B2487" s="308"/>
      <c r="C2487" s="86"/>
      <c r="D2487" s="86"/>
      <c r="E2487" s="86"/>
      <c r="F2487" s="308"/>
    </row>
    <row r="2488" spans="2:6">
      <c r="B2488" s="308"/>
      <c r="C2488" s="86"/>
      <c r="D2488" s="86"/>
      <c r="E2488" s="86"/>
      <c r="F2488" s="308"/>
    </row>
    <row r="2489" spans="2:6">
      <c r="B2489" s="308"/>
      <c r="C2489" s="86"/>
      <c r="D2489" s="86"/>
      <c r="E2489" s="86"/>
      <c r="F2489" s="308"/>
    </row>
    <row r="2490" spans="2:6">
      <c r="B2490" s="308"/>
      <c r="C2490" s="86"/>
      <c r="D2490" s="86"/>
      <c r="E2490" s="86"/>
      <c r="F2490" s="308"/>
    </row>
    <row r="2491" spans="2:6">
      <c r="B2491" s="308"/>
      <c r="C2491" s="86"/>
      <c r="D2491" s="86"/>
      <c r="E2491" s="86"/>
      <c r="F2491" s="308"/>
    </row>
    <row r="2492" spans="2:6">
      <c r="B2492" s="308"/>
      <c r="C2492" s="86"/>
      <c r="D2492" s="86"/>
      <c r="E2492" s="86"/>
      <c r="F2492" s="308"/>
    </row>
    <row r="2493" spans="2:6">
      <c r="B2493" s="308"/>
      <c r="C2493" s="86"/>
      <c r="D2493" s="86"/>
      <c r="E2493" s="86"/>
      <c r="F2493" s="308"/>
    </row>
    <row r="2494" spans="2:6">
      <c r="B2494" s="308"/>
      <c r="C2494" s="86"/>
      <c r="D2494" s="86"/>
      <c r="E2494" s="86"/>
      <c r="F2494" s="308"/>
    </row>
    <row r="2495" spans="2:6">
      <c r="B2495" s="308"/>
      <c r="C2495" s="86"/>
      <c r="D2495" s="86"/>
      <c r="E2495" s="86"/>
      <c r="F2495" s="308"/>
    </row>
    <row r="2496" spans="2:6">
      <c r="B2496" s="308"/>
      <c r="C2496" s="86"/>
      <c r="D2496" s="86"/>
      <c r="E2496" s="86"/>
      <c r="F2496" s="308"/>
    </row>
    <row r="2497" spans="2:6">
      <c r="B2497" s="308"/>
      <c r="C2497" s="86"/>
      <c r="D2497" s="86"/>
      <c r="E2497" s="86"/>
      <c r="F2497" s="308"/>
    </row>
    <row r="2498" spans="2:6">
      <c r="B2498" s="308"/>
      <c r="C2498" s="86"/>
      <c r="D2498" s="86"/>
      <c r="E2498" s="86"/>
      <c r="F2498" s="308"/>
    </row>
    <row r="2499" spans="2:6">
      <c r="B2499" s="308"/>
      <c r="C2499" s="86"/>
      <c r="D2499" s="86"/>
      <c r="E2499" s="86"/>
      <c r="F2499" s="308"/>
    </row>
    <row r="2500" spans="2:6">
      <c r="B2500" s="308"/>
      <c r="C2500" s="86"/>
      <c r="D2500" s="86"/>
      <c r="E2500" s="86"/>
      <c r="F2500" s="308"/>
    </row>
    <row r="2501" spans="2:6">
      <c r="B2501" s="308"/>
      <c r="C2501" s="86"/>
      <c r="D2501" s="86"/>
      <c r="E2501" s="86"/>
      <c r="F2501" s="308"/>
    </row>
    <row r="2502" spans="2:6">
      <c r="B2502" s="308"/>
      <c r="C2502" s="86"/>
      <c r="D2502" s="86"/>
      <c r="E2502" s="86"/>
      <c r="F2502" s="308"/>
    </row>
    <row r="2503" spans="2:6">
      <c r="B2503" s="308"/>
      <c r="C2503" s="86"/>
      <c r="D2503" s="86"/>
      <c r="E2503" s="86"/>
      <c r="F2503" s="308"/>
    </row>
    <row r="2504" spans="2:6">
      <c r="B2504" s="308"/>
      <c r="C2504" s="86"/>
      <c r="D2504" s="86"/>
      <c r="E2504" s="86"/>
      <c r="F2504" s="308"/>
    </row>
    <row r="2505" spans="2:6">
      <c r="B2505" s="308"/>
      <c r="C2505" s="86"/>
      <c r="D2505" s="86"/>
      <c r="E2505" s="86"/>
      <c r="F2505" s="308"/>
    </row>
    <row r="2506" spans="2:6">
      <c r="B2506" s="308"/>
      <c r="C2506" s="86"/>
      <c r="D2506" s="86"/>
      <c r="E2506" s="86"/>
      <c r="F2506" s="308"/>
    </row>
    <row r="2507" spans="2:6">
      <c r="B2507" s="308"/>
      <c r="C2507" s="86"/>
      <c r="D2507" s="86"/>
      <c r="E2507" s="86"/>
      <c r="F2507" s="308"/>
    </row>
    <row r="2508" spans="2:6">
      <c r="B2508" s="308"/>
      <c r="C2508" s="86"/>
      <c r="D2508" s="86"/>
      <c r="E2508" s="86"/>
      <c r="F2508" s="308"/>
    </row>
    <row r="2509" spans="2:6">
      <c r="B2509" s="308"/>
      <c r="C2509" s="86"/>
      <c r="D2509" s="86"/>
      <c r="E2509" s="86"/>
      <c r="F2509" s="308"/>
    </row>
    <row r="2510" spans="2:6">
      <c r="B2510" s="308"/>
      <c r="C2510" s="86"/>
      <c r="D2510" s="86"/>
      <c r="E2510" s="86"/>
      <c r="F2510" s="308"/>
    </row>
    <row r="2511" spans="2:6">
      <c r="B2511" s="308"/>
      <c r="C2511" s="86"/>
      <c r="D2511" s="86"/>
      <c r="E2511" s="86"/>
      <c r="F2511" s="308"/>
    </row>
    <row r="2512" spans="2:6">
      <c r="B2512" s="308"/>
      <c r="C2512" s="86"/>
      <c r="D2512" s="86"/>
      <c r="E2512" s="86"/>
      <c r="F2512" s="308"/>
    </row>
    <row r="2513" spans="2:6">
      <c r="B2513" s="308"/>
      <c r="C2513" s="86"/>
      <c r="D2513" s="86"/>
      <c r="E2513" s="86"/>
      <c r="F2513" s="308"/>
    </row>
    <row r="2514" spans="2:6">
      <c r="B2514" s="308"/>
      <c r="C2514" s="86"/>
      <c r="D2514" s="86"/>
      <c r="E2514" s="86"/>
      <c r="F2514" s="308"/>
    </row>
    <row r="2515" spans="2:6">
      <c r="B2515" s="308"/>
      <c r="C2515" s="86"/>
      <c r="D2515" s="86"/>
      <c r="E2515" s="86"/>
      <c r="F2515" s="308"/>
    </row>
    <row r="2516" spans="2:6">
      <c r="B2516" s="308"/>
      <c r="C2516" s="86"/>
      <c r="D2516" s="86"/>
      <c r="E2516" s="86"/>
      <c r="F2516" s="308"/>
    </row>
    <row r="2517" spans="2:6">
      <c r="B2517" s="308"/>
      <c r="C2517" s="86"/>
      <c r="D2517" s="86"/>
      <c r="E2517" s="86"/>
      <c r="F2517" s="308"/>
    </row>
    <row r="2518" spans="2:6">
      <c r="B2518" s="308"/>
      <c r="C2518" s="86"/>
      <c r="D2518" s="86"/>
      <c r="E2518" s="86"/>
      <c r="F2518" s="308"/>
    </row>
    <row r="2519" spans="2:6">
      <c r="B2519" s="308"/>
      <c r="C2519" s="86"/>
      <c r="D2519" s="86"/>
      <c r="E2519" s="86"/>
      <c r="F2519" s="308"/>
    </row>
    <row r="2520" spans="2:6">
      <c r="B2520" s="308"/>
      <c r="C2520" s="86"/>
      <c r="D2520" s="86"/>
      <c r="E2520" s="86"/>
      <c r="F2520" s="308"/>
    </row>
    <row r="2521" spans="2:6">
      <c r="B2521" s="308"/>
      <c r="C2521" s="86"/>
      <c r="D2521" s="86"/>
      <c r="E2521" s="86"/>
      <c r="F2521" s="308"/>
    </row>
    <row r="2522" spans="2:6">
      <c r="B2522" s="308"/>
      <c r="C2522" s="86"/>
      <c r="D2522" s="86"/>
      <c r="E2522" s="86"/>
      <c r="F2522" s="308"/>
    </row>
    <row r="2523" spans="2:6">
      <c r="B2523" s="308"/>
      <c r="C2523" s="86"/>
      <c r="D2523" s="86"/>
      <c r="E2523" s="86"/>
      <c r="F2523" s="308"/>
    </row>
    <row r="2524" spans="2:6">
      <c r="B2524" s="308"/>
      <c r="C2524" s="86"/>
      <c r="D2524" s="86"/>
      <c r="E2524" s="86"/>
      <c r="F2524" s="308"/>
    </row>
    <row r="2525" spans="2:6">
      <c r="B2525" s="308"/>
      <c r="C2525" s="86"/>
      <c r="D2525" s="86"/>
      <c r="E2525" s="86"/>
      <c r="F2525" s="308"/>
    </row>
    <row r="2526" spans="2:6">
      <c r="B2526" s="308"/>
      <c r="C2526" s="86"/>
      <c r="D2526" s="86"/>
      <c r="E2526" s="86"/>
      <c r="F2526" s="308"/>
    </row>
    <row r="2527" spans="2:6">
      <c r="B2527" s="308"/>
      <c r="C2527" s="86"/>
      <c r="D2527" s="86"/>
      <c r="E2527" s="86"/>
      <c r="F2527" s="308"/>
    </row>
    <row r="2528" spans="2:6">
      <c r="B2528" s="308"/>
      <c r="C2528" s="86"/>
      <c r="D2528" s="86"/>
      <c r="E2528" s="86"/>
      <c r="F2528" s="308"/>
    </row>
    <row r="2529" spans="2:6">
      <c r="B2529" s="308"/>
      <c r="C2529" s="86"/>
      <c r="D2529" s="86"/>
      <c r="E2529" s="86"/>
      <c r="F2529" s="308"/>
    </row>
    <row r="2530" spans="2:6">
      <c r="B2530" s="308"/>
      <c r="C2530" s="86"/>
      <c r="D2530" s="86"/>
      <c r="E2530" s="86"/>
      <c r="F2530" s="308"/>
    </row>
    <row r="2531" spans="2:6">
      <c r="B2531" s="308"/>
      <c r="C2531" s="86"/>
      <c r="D2531" s="86"/>
      <c r="E2531" s="86"/>
      <c r="F2531" s="308"/>
    </row>
    <row r="2532" spans="2:6">
      <c r="B2532" s="308"/>
      <c r="C2532" s="86"/>
      <c r="D2532" s="86"/>
      <c r="E2532" s="86"/>
      <c r="F2532" s="308"/>
    </row>
    <row r="2533" spans="2:6">
      <c r="B2533" s="308"/>
      <c r="C2533" s="86"/>
      <c r="D2533" s="86"/>
      <c r="E2533" s="86"/>
      <c r="F2533" s="308"/>
    </row>
    <row r="2534" spans="2:6">
      <c r="B2534" s="308"/>
      <c r="C2534" s="86"/>
      <c r="D2534" s="86"/>
      <c r="E2534" s="86"/>
      <c r="F2534" s="308"/>
    </row>
    <row r="2535" spans="2:6">
      <c r="B2535" s="308"/>
      <c r="C2535" s="86"/>
      <c r="D2535" s="86"/>
      <c r="E2535" s="86"/>
      <c r="F2535" s="308"/>
    </row>
    <row r="2536" spans="2:6">
      <c r="B2536" s="308"/>
      <c r="C2536" s="86"/>
      <c r="D2536" s="86"/>
      <c r="E2536" s="86"/>
      <c r="F2536" s="308"/>
    </row>
    <row r="2537" spans="2:6">
      <c r="B2537" s="308"/>
      <c r="C2537" s="86"/>
      <c r="D2537" s="86"/>
      <c r="E2537" s="86"/>
      <c r="F2537" s="308"/>
    </row>
    <row r="2538" spans="2:6">
      <c r="B2538" s="308"/>
      <c r="C2538" s="86"/>
      <c r="D2538" s="86"/>
      <c r="E2538" s="86"/>
      <c r="F2538" s="308"/>
    </row>
    <row r="2539" spans="2:6">
      <c r="B2539" s="308"/>
      <c r="C2539" s="86"/>
      <c r="D2539" s="86"/>
      <c r="E2539" s="86"/>
      <c r="F2539" s="308"/>
    </row>
    <row r="2540" spans="2:6">
      <c r="B2540" s="308"/>
      <c r="C2540" s="86"/>
      <c r="D2540" s="86"/>
      <c r="E2540" s="86"/>
      <c r="F2540" s="308"/>
    </row>
    <row r="2541" spans="2:6">
      <c r="B2541" s="308"/>
      <c r="C2541" s="86"/>
      <c r="D2541" s="86"/>
      <c r="E2541" s="86"/>
      <c r="F2541" s="308"/>
    </row>
    <row r="2542" spans="2:6">
      <c r="B2542" s="308"/>
      <c r="C2542" s="86"/>
      <c r="D2542" s="86"/>
      <c r="E2542" s="86"/>
      <c r="F2542" s="308"/>
    </row>
    <row r="2543" spans="2:6">
      <c r="B2543" s="308"/>
      <c r="C2543" s="86"/>
      <c r="D2543" s="86"/>
      <c r="E2543" s="86"/>
      <c r="F2543" s="308"/>
    </row>
    <row r="2544" spans="2:6">
      <c r="B2544" s="308"/>
      <c r="C2544" s="86"/>
      <c r="D2544" s="86"/>
      <c r="E2544" s="86"/>
      <c r="F2544" s="308"/>
    </row>
    <row r="2545" spans="2:6">
      <c r="B2545" s="308"/>
      <c r="C2545" s="86"/>
      <c r="D2545" s="86"/>
      <c r="E2545" s="86"/>
      <c r="F2545" s="308"/>
    </row>
    <row r="2546" spans="2:6">
      <c r="B2546" s="308"/>
      <c r="C2546" s="86"/>
      <c r="D2546" s="86"/>
      <c r="E2546" s="86"/>
      <c r="F2546" s="308"/>
    </row>
    <row r="2547" spans="2:6">
      <c r="B2547" s="308"/>
      <c r="C2547" s="86"/>
      <c r="D2547" s="86"/>
      <c r="E2547" s="86"/>
      <c r="F2547" s="308"/>
    </row>
    <row r="2548" spans="2:6">
      <c r="B2548" s="308"/>
      <c r="C2548" s="86"/>
      <c r="D2548" s="86"/>
      <c r="E2548" s="86"/>
      <c r="F2548" s="308"/>
    </row>
    <row r="2549" spans="2:6">
      <c r="B2549" s="308"/>
      <c r="C2549" s="86"/>
      <c r="D2549" s="86"/>
      <c r="E2549" s="86"/>
      <c r="F2549" s="308"/>
    </row>
    <row r="2550" spans="2:6">
      <c r="B2550" s="308"/>
      <c r="C2550" s="86"/>
      <c r="D2550" s="86"/>
      <c r="E2550" s="86"/>
      <c r="F2550" s="308"/>
    </row>
    <row r="2551" spans="2:6">
      <c r="B2551" s="308"/>
      <c r="C2551" s="86"/>
      <c r="D2551" s="86"/>
      <c r="E2551" s="86"/>
      <c r="F2551" s="308"/>
    </row>
    <row r="2552" spans="2:6">
      <c r="B2552" s="308"/>
      <c r="C2552" s="86"/>
      <c r="D2552" s="86"/>
      <c r="E2552" s="86"/>
      <c r="F2552" s="308"/>
    </row>
    <row r="2553" spans="2:6">
      <c r="B2553" s="308"/>
      <c r="C2553" s="86"/>
      <c r="D2553" s="86"/>
      <c r="E2553" s="86"/>
      <c r="F2553" s="308"/>
    </row>
    <row r="2554" spans="2:6">
      <c r="B2554" s="308"/>
      <c r="C2554" s="86"/>
      <c r="D2554" s="86"/>
      <c r="E2554" s="86"/>
      <c r="F2554" s="308"/>
    </row>
    <row r="2555" spans="2:6">
      <c r="B2555" s="308"/>
      <c r="C2555" s="86"/>
      <c r="D2555" s="86"/>
      <c r="E2555" s="86"/>
      <c r="F2555" s="308"/>
    </row>
    <row r="2556" spans="2:6">
      <c r="B2556" s="308"/>
      <c r="C2556" s="86"/>
      <c r="D2556" s="86"/>
      <c r="E2556" s="86"/>
      <c r="F2556" s="308"/>
    </row>
    <row r="2557" spans="2:6">
      <c r="B2557" s="308"/>
      <c r="C2557" s="86"/>
      <c r="D2557" s="86"/>
      <c r="E2557" s="86"/>
      <c r="F2557" s="308"/>
    </row>
    <row r="2558" spans="2:6">
      <c r="B2558" s="308"/>
      <c r="C2558" s="86"/>
      <c r="D2558" s="86"/>
      <c r="E2558" s="86"/>
      <c r="F2558" s="308"/>
    </row>
    <row r="2559" spans="2:6">
      <c r="B2559" s="308"/>
      <c r="C2559" s="86"/>
      <c r="D2559" s="86"/>
      <c r="E2559" s="86"/>
      <c r="F2559" s="308"/>
    </row>
    <row r="2560" spans="2:6">
      <c r="B2560" s="308"/>
      <c r="C2560" s="86"/>
      <c r="D2560" s="86"/>
      <c r="E2560" s="86"/>
      <c r="F2560" s="308"/>
    </row>
    <row r="2561" spans="2:6">
      <c r="B2561" s="308"/>
      <c r="C2561" s="86"/>
      <c r="D2561" s="86"/>
      <c r="E2561" s="86"/>
      <c r="F2561" s="308"/>
    </row>
    <row r="2562" spans="2:6">
      <c r="B2562" s="308"/>
      <c r="C2562" s="86"/>
      <c r="D2562" s="86"/>
      <c r="E2562" s="86"/>
      <c r="F2562" s="308"/>
    </row>
    <row r="2563" spans="2:6">
      <c r="B2563" s="308"/>
      <c r="C2563" s="86"/>
      <c r="D2563" s="86"/>
      <c r="E2563" s="86"/>
      <c r="F2563" s="308"/>
    </row>
    <row r="2564" spans="2:6">
      <c r="B2564" s="308"/>
      <c r="C2564" s="86"/>
      <c r="D2564" s="86"/>
      <c r="E2564" s="86"/>
      <c r="F2564" s="308"/>
    </row>
    <row r="2565" spans="2:6">
      <c r="B2565" s="308"/>
      <c r="C2565" s="86"/>
      <c r="D2565" s="86"/>
      <c r="E2565" s="86"/>
      <c r="F2565" s="308"/>
    </row>
    <row r="2566" spans="2:6">
      <c r="B2566" s="308"/>
      <c r="C2566" s="86"/>
      <c r="D2566" s="86"/>
      <c r="E2566" s="86"/>
      <c r="F2566" s="308"/>
    </row>
    <row r="2567" spans="2:6">
      <c r="B2567" s="308"/>
      <c r="C2567" s="86"/>
      <c r="D2567" s="86"/>
      <c r="E2567" s="86"/>
      <c r="F2567" s="308"/>
    </row>
    <row r="2568" spans="2:6">
      <c r="B2568" s="308"/>
      <c r="C2568" s="86"/>
      <c r="D2568" s="86"/>
      <c r="E2568" s="86"/>
      <c r="F2568" s="308"/>
    </row>
    <row r="2569" spans="2:6">
      <c r="B2569" s="308"/>
      <c r="C2569" s="86"/>
      <c r="D2569" s="86"/>
      <c r="E2569" s="86"/>
      <c r="F2569" s="308"/>
    </row>
    <row r="2570" spans="2:6">
      <c r="B2570" s="308"/>
      <c r="C2570" s="86"/>
      <c r="D2570" s="86"/>
      <c r="E2570" s="86"/>
      <c r="F2570" s="308"/>
    </row>
    <row r="2571" spans="2:6">
      <c r="B2571" s="308"/>
      <c r="C2571" s="86"/>
      <c r="D2571" s="86"/>
      <c r="E2571" s="86"/>
      <c r="F2571" s="308"/>
    </row>
    <row r="2572" spans="2:6">
      <c r="B2572" s="308"/>
      <c r="C2572" s="86"/>
      <c r="D2572" s="86"/>
      <c r="E2572" s="86"/>
      <c r="F2572" s="308"/>
    </row>
    <row r="2573" spans="2:6">
      <c r="B2573" s="308"/>
      <c r="C2573" s="86"/>
      <c r="D2573" s="86"/>
      <c r="E2573" s="86"/>
      <c r="F2573" s="308"/>
    </row>
    <row r="2574" spans="2:6">
      <c r="B2574" s="308"/>
      <c r="C2574" s="86"/>
      <c r="D2574" s="86"/>
      <c r="E2574" s="86"/>
      <c r="F2574" s="308"/>
    </row>
    <row r="2575" spans="2:6">
      <c r="B2575" s="308"/>
      <c r="C2575" s="86"/>
      <c r="D2575" s="86"/>
      <c r="E2575" s="86"/>
      <c r="F2575" s="308"/>
    </row>
    <row r="2576" spans="2:6">
      <c r="B2576" s="308"/>
      <c r="C2576" s="86"/>
      <c r="D2576" s="86"/>
      <c r="E2576" s="86"/>
      <c r="F2576" s="308"/>
    </row>
    <row r="2577" spans="2:6">
      <c r="B2577" s="308"/>
      <c r="C2577" s="86"/>
      <c r="D2577" s="86"/>
      <c r="E2577" s="86"/>
      <c r="F2577" s="308"/>
    </row>
    <row r="2578" spans="2:6">
      <c r="B2578" s="308"/>
      <c r="C2578" s="86"/>
      <c r="D2578" s="86"/>
      <c r="E2578" s="86"/>
      <c r="F2578" s="308"/>
    </row>
    <row r="2579" spans="2:6">
      <c r="B2579" s="308"/>
      <c r="C2579" s="86"/>
      <c r="D2579" s="86"/>
      <c r="E2579" s="86"/>
      <c r="F2579" s="308"/>
    </row>
    <row r="2580" spans="2:6">
      <c r="B2580" s="308"/>
      <c r="C2580" s="86"/>
      <c r="D2580" s="86"/>
      <c r="E2580" s="86"/>
      <c r="F2580" s="308"/>
    </row>
    <row r="2581" spans="2:6">
      <c r="B2581" s="308"/>
      <c r="C2581" s="86"/>
      <c r="D2581" s="86"/>
      <c r="E2581" s="86"/>
      <c r="F2581" s="308"/>
    </row>
    <row r="2582" spans="2:6">
      <c r="B2582" s="308"/>
      <c r="C2582" s="86"/>
      <c r="D2582" s="86"/>
      <c r="E2582" s="86"/>
      <c r="F2582" s="308"/>
    </row>
    <row r="2583" spans="2:6">
      <c r="B2583" s="308"/>
      <c r="C2583" s="86"/>
      <c r="D2583" s="86"/>
      <c r="E2583" s="86"/>
      <c r="F2583" s="308"/>
    </row>
    <row r="2584" spans="2:6">
      <c r="B2584" s="308"/>
      <c r="C2584" s="86"/>
      <c r="D2584" s="86"/>
      <c r="E2584" s="86"/>
      <c r="F2584" s="308"/>
    </row>
    <row r="2585" spans="2:6">
      <c r="B2585" s="308"/>
      <c r="C2585" s="86"/>
      <c r="D2585" s="86"/>
      <c r="E2585" s="86"/>
      <c r="F2585" s="308"/>
    </row>
    <row r="2586" spans="2:6">
      <c r="B2586" s="308"/>
      <c r="C2586" s="86"/>
      <c r="D2586" s="86"/>
      <c r="E2586" s="86"/>
      <c r="F2586" s="308"/>
    </row>
    <row r="2587" spans="2:6">
      <c r="B2587" s="308"/>
      <c r="C2587" s="86"/>
      <c r="D2587" s="86"/>
      <c r="E2587" s="86"/>
      <c r="F2587" s="308"/>
    </row>
    <row r="2588" spans="2:6">
      <c r="B2588" s="308"/>
      <c r="C2588" s="86"/>
      <c r="D2588" s="86"/>
      <c r="E2588" s="86"/>
      <c r="F2588" s="308"/>
    </row>
    <row r="2589" spans="2:6">
      <c r="B2589" s="308"/>
      <c r="C2589" s="86"/>
      <c r="D2589" s="86"/>
      <c r="E2589" s="86"/>
      <c r="F2589" s="308"/>
    </row>
    <row r="2590" spans="2:6">
      <c r="B2590" s="308"/>
      <c r="C2590" s="86"/>
      <c r="D2590" s="86"/>
      <c r="E2590" s="86"/>
      <c r="F2590" s="308"/>
    </row>
    <row r="2591" spans="2:6">
      <c r="B2591" s="308"/>
      <c r="C2591" s="86"/>
      <c r="D2591" s="86"/>
      <c r="E2591" s="86"/>
      <c r="F2591" s="308"/>
    </row>
    <row r="2592" spans="2:6">
      <c r="B2592" s="308"/>
      <c r="C2592" s="86"/>
      <c r="D2592" s="86"/>
      <c r="E2592" s="86"/>
      <c r="F2592" s="308"/>
    </row>
    <row r="2593" spans="2:6">
      <c r="B2593" s="308"/>
      <c r="C2593" s="86"/>
      <c r="D2593" s="86"/>
      <c r="E2593" s="86"/>
      <c r="F2593" s="308"/>
    </row>
    <row r="2594" spans="2:6">
      <c r="B2594" s="308"/>
      <c r="C2594" s="86"/>
      <c r="D2594" s="86"/>
      <c r="E2594" s="86"/>
      <c r="F2594" s="308"/>
    </row>
    <row r="2595" spans="2:6">
      <c r="B2595" s="308"/>
      <c r="C2595" s="86"/>
      <c r="D2595" s="86"/>
      <c r="E2595" s="86"/>
      <c r="F2595" s="308"/>
    </row>
    <row r="2596" spans="2:6">
      <c r="B2596" s="308"/>
      <c r="C2596" s="86"/>
      <c r="D2596" s="86"/>
      <c r="E2596" s="86"/>
      <c r="F2596" s="308"/>
    </row>
    <row r="2597" spans="2:6">
      <c r="B2597" s="308"/>
      <c r="C2597" s="86"/>
      <c r="D2597" s="86"/>
      <c r="E2597" s="86"/>
      <c r="F2597" s="308"/>
    </row>
    <row r="2598" spans="2:6">
      <c r="B2598" s="308"/>
      <c r="C2598" s="86"/>
      <c r="D2598" s="86"/>
      <c r="E2598" s="86"/>
      <c r="F2598" s="308"/>
    </row>
    <row r="2599" spans="2:6">
      <c r="B2599" s="308"/>
      <c r="C2599" s="86"/>
      <c r="D2599" s="86"/>
      <c r="E2599" s="86"/>
      <c r="F2599" s="308"/>
    </row>
    <row r="2600" spans="2:6">
      <c r="B2600" s="308"/>
      <c r="C2600" s="86"/>
      <c r="D2600" s="86"/>
      <c r="E2600" s="86"/>
      <c r="F2600" s="308"/>
    </row>
    <row r="2601" spans="2:6">
      <c r="B2601" s="308"/>
      <c r="C2601" s="86"/>
      <c r="D2601" s="86"/>
      <c r="E2601" s="86"/>
      <c r="F2601" s="308"/>
    </row>
    <row r="2602" spans="2:6">
      <c r="B2602" s="308"/>
      <c r="C2602" s="86"/>
      <c r="D2602" s="86"/>
      <c r="E2602" s="86"/>
      <c r="F2602" s="308"/>
    </row>
    <row r="2603" spans="2:6">
      <c r="B2603" s="308"/>
      <c r="C2603" s="86"/>
      <c r="D2603" s="86"/>
      <c r="E2603" s="86"/>
      <c r="F2603" s="308"/>
    </row>
    <row r="2604" spans="2:6">
      <c r="B2604" s="308"/>
      <c r="C2604" s="86"/>
      <c r="D2604" s="86"/>
      <c r="E2604" s="86"/>
      <c r="F2604" s="308"/>
    </row>
    <row r="2605" spans="2:6">
      <c r="B2605" s="308"/>
      <c r="C2605" s="86"/>
      <c r="D2605" s="86"/>
      <c r="E2605" s="86"/>
      <c r="F2605" s="308"/>
    </row>
    <row r="2606" spans="2:6">
      <c r="B2606" s="308"/>
      <c r="C2606" s="86"/>
      <c r="D2606" s="86"/>
      <c r="E2606" s="86"/>
      <c r="F2606" s="308"/>
    </row>
    <row r="2607" spans="2:6">
      <c r="B2607" s="308"/>
      <c r="C2607" s="86"/>
      <c r="D2607" s="86"/>
      <c r="E2607" s="86"/>
      <c r="F2607" s="308"/>
    </row>
    <row r="2608" spans="2:6">
      <c r="B2608" s="308"/>
      <c r="C2608" s="86"/>
      <c r="D2608" s="86"/>
      <c r="E2608" s="86"/>
      <c r="F2608" s="308"/>
    </row>
    <row r="2609" spans="2:6">
      <c r="B2609" s="308"/>
      <c r="C2609" s="86"/>
      <c r="D2609" s="86"/>
      <c r="E2609" s="86"/>
      <c r="F2609" s="308"/>
    </row>
    <row r="2610" spans="2:6">
      <c r="B2610" s="308"/>
      <c r="C2610" s="86"/>
      <c r="D2610" s="86"/>
      <c r="E2610" s="86"/>
      <c r="F2610" s="308"/>
    </row>
    <row r="2611" spans="2:6">
      <c r="B2611" s="308"/>
      <c r="C2611" s="86"/>
      <c r="D2611" s="86"/>
      <c r="E2611" s="86"/>
      <c r="F2611" s="308"/>
    </row>
    <row r="2612" spans="2:6">
      <c r="B2612" s="308"/>
      <c r="C2612" s="86"/>
      <c r="D2612" s="86"/>
      <c r="E2612" s="86"/>
      <c r="F2612" s="308"/>
    </row>
    <row r="2613" spans="2:6">
      <c r="B2613" s="308"/>
      <c r="C2613" s="86"/>
      <c r="D2613" s="86"/>
      <c r="E2613" s="86"/>
      <c r="F2613" s="308"/>
    </row>
    <row r="2614" spans="2:6">
      <c r="B2614" s="308"/>
      <c r="C2614" s="86"/>
      <c r="D2614" s="86"/>
      <c r="E2614" s="86"/>
      <c r="F2614" s="308"/>
    </row>
    <row r="2615" spans="2:6">
      <c r="B2615" s="308"/>
      <c r="C2615" s="86"/>
      <c r="D2615" s="86"/>
      <c r="E2615" s="86"/>
      <c r="F2615" s="308"/>
    </row>
    <row r="2616" spans="2:6">
      <c r="B2616" s="308"/>
      <c r="C2616" s="86"/>
      <c r="D2616" s="86"/>
      <c r="E2616" s="86"/>
      <c r="F2616" s="308"/>
    </row>
    <row r="2617" spans="2:6">
      <c r="B2617" s="308"/>
      <c r="C2617" s="86"/>
      <c r="D2617" s="86"/>
      <c r="E2617" s="86"/>
      <c r="F2617" s="308"/>
    </row>
    <row r="2618" spans="2:6">
      <c r="B2618" s="308"/>
      <c r="C2618" s="86"/>
      <c r="D2618" s="86"/>
      <c r="E2618" s="86"/>
      <c r="F2618" s="308"/>
    </row>
    <row r="2619" spans="2:6">
      <c r="B2619" s="308"/>
      <c r="C2619" s="86"/>
      <c r="D2619" s="86"/>
      <c r="E2619" s="86"/>
      <c r="F2619" s="308"/>
    </row>
    <row r="2620" spans="2:6">
      <c r="B2620" s="308"/>
      <c r="C2620" s="86"/>
      <c r="D2620" s="86"/>
      <c r="E2620" s="86"/>
      <c r="F2620" s="308"/>
    </row>
    <row r="2621" spans="2:6">
      <c r="B2621" s="308"/>
      <c r="C2621" s="86"/>
      <c r="D2621" s="86"/>
      <c r="E2621" s="86"/>
      <c r="F2621" s="308"/>
    </row>
    <row r="2622" spans="2:6">
      <c r="B2622" s="308"/>
      <c r="C2622" s="86"/>
      <c r="D2622" s="86"/>
      <c r="E2622" s="86"/>
      <c r="F2622" s="308"/>
    </row>
    <row r="2623" spans="2:6">
      <c r="B2623" s="308"/>
      <c r="C2623" s="86"/>
      <c r="D2623" s="86"/>
      <c r="E2623" s="86"/>
      <c r="F2623" s="308"/>
    </row>
    <row r="2624" spans="2:6">
      <c r="B2624" s="308"/>
      <c r="C2624" s="86"/>
      <c r="D2624" s="86"/>
      <c r="E2624" s="86"/>
      <c r="F2624" s="308"/>
    </row>
    <row r="2625" spans="2:6">
      <c r="B2625" s="308"/>
      <c r="C2625" s="86"/>
      <c r="D2625" s="86"/>
      <c r="E2625" s="86"/>
      <c r="F2625" s="308"/>
    </row>
    <row r="2626" spans="2:6">
      <c r="B2626" s="308"/>
      <c r="C2626" s="86"/>
      <c r="D2626" s="86"/>
      <c r="E2626" s="86"/>
      <c r="F2626" s="308"/>
    </row>
    <row r="2627" spans="2:6">
      <c r="B2627" s="308"/>
      <c r="C2627" s="86"/>
      <c r="D2627" s="86"/>
      <c r="E2627" s="86"/>
      <c r="F2627" s="308"/>
    </row>
    <row r="2628" spans="2:6">
      <c r="B2628" s="308"/>
      <c r="C2628" s="86"/>
      <c r="D2628" s="86"/>
      <c r="E2628" s="86"/>
      <c r="F2628" s="308"/>
    </row>
    <row r="2629" spans="2:6">
      <c r="B2629" s="308"/>
      <c r="C2629" s="86"/>
      <c r="D2629" s="86"/>
      <c r="E2629" s="86"/>
      <c r="F2629" s="308"/>
    </row>
    <row r="2630" spans="2:6">
      <c r="B2630" s="308"/>
      <c r="C2630" s="86"/>
      <c r="D2630" s="86"/>
      <c r="E2630" s="86"/>
      <c r="F2630" s="308"/>
    </row>
    <row r="2631" spans="2:6">
      <c r="B2631" s="308"/>
      <c r="C2631" s="86"/>
      <c r="D2631" s="86"/>
      <c r="E2631" s="86"/>
      <c r="F2631" s="308"/>
    </row>
    <row r="2632" spans="2:6">
      <c r="B2632" s="308"/>
      <c r="C2632" s="86"/>
      <c r="D2632" s="86"/>
      <c r="E2632" s="86"/>
      <c r="F2632" s="308"/>
    </row>
    <row r="2633" spans="2:6">
      <c r="B2633" s="308"/>
      <c r="C2633" s="86"/>
      <c r="D2633" s="86"/>
      <c r="E2633" s="86"/>
      <c r="F2633" s="308"/>
    </row>
    <row r="2634" spans="2:6">
      <c r="B2634" s="308"/>
      <c r="C2634" s="86"/>
      <c r="D2634" s="86"/>
      <c r="E2634" s="86"/>
      <c r="F2634" s="308"/>
    </row>
    <row r="2635" spans="2:6">
      <c r="B2635" s="308"/>
      <c r="C2635" s="86"/>
      <c r="D2635" s="86"/>
      <c r="E2635" s="86"/>
      <c r="F2635" s="308"/>
    </row>
    <row r="2636" spans="2:6">
      <c r="B2636" s="308"/>
      <c r="C2636" s="86"/>
      <c r="D2636" s="86"/>
      <c r="E2636" s="86"/>
      <c r="F2636" s="308"/>
    </row>
    <row r="2637" spans="2:6">
      <c r="B2637" s="308"/>
      <c r="C2637" s="86"/>
      <c r="D2637" s="86"/>
      <c r="E2637" s="86"/>
      <c r="F2637" s="308"/>
    </row>
    <row r="2638" spans="2:6">
      <c r="B2638" s="308"/>
      <c r="C2638" s="86"/>
      <c r="D2638" s="86"/>
      <c r="E2638" s="86"/>
      <c r="F2638" s="308"/>
    </row>
    <row r="2639" spans="2:6">
      <c r="B2639" s="308"/>
      <c r="C2639" s="86"/>
      <c r="D2639" s="86"/>
      <c r="E2639" s="86"/>
      <c r="F2639" s="308"/>
    </row>
    <row r="2640" spans="2:6">
      <c r="B2640" s="308"/>
      <c r="C2640" s="86"/>
      <c r="D2640" s="86"/>
      <c r="E2640" s="86"/>
      <c r="F2640" s="308"/>
    </row>
    <row r="2641" spans="2:6">
      <c r="B2641" s="308"/>
      <c r="C2641" s="86"/>
      <c r="D2641" s="86"/>
      <c r="E2641" s="86"/>
      <c r="F2641" s="308"/>
    </row>
    <row r="2642" spans="2:6">
      <c r="B2642" s="308"/>
      <c r="C2642" s="86"/>
      <c r="D2642" s="86"/>
      <c r="E2642" s="86"/>
      <c r="F2642" s="308"/>
    </row>
    <row r="2643" spans="2:6">
      <c r="B2643" s="308"/>
      <c r="C2643" s="86"/>
      <c r="D2643" s="86"/>
      <c r="E2643" s="86"/>
      <c r="F2643" s="308"/>
    </row>
    <row r="2644" spans="2:6">
      <c r="B2644" s="308"/>
      <c r="C2644" s="86"/>
      <c r="D2644" s="86"/>
      <c r="E2644" s="86"/>
      <c r="F2644" s="308"/>
    </row>
    <row r="2645" spans="2:6">
      <c r="B2645" s="308"/>
      <c r="C2645" s="86"/>
      <c r="D2645" s="86"/>
      <c r="E2645" s="86"/>
      <c r="F2645" s="308"/>
    </row>
    <row r="2646" spans="2:6">
      <c r="B2646" s="308"/>
      <c r="C2646" s="86"/>
      <c r="D2646" s="86"/>
      <c r="E2646" s="86"/>
      <c r="F2646" s="308"/>
    </row>
    <row r="2647" spans="2:6">
      <c r="B2647" s="308"/>
      <c r="C2647" s="86"/>
      <c r="D2647" s="86"/>
      <c r="E2647" s="86"/>
      <c r="F2647" s="308"/>
    </row>
    <row r="2648" spans="2:6">
      <c r="B2648" s="308"/>
      <c r="C2648" s="86"/>
      <c r="D2648" s="86"/>
      <c r="E2648" s="86"/>
      <c r="F2648" s="308"/>
    </row>
    <row r="2649" spans="2:6">
      <c r="B2649" s="308"/>
      <c r="C2649" s="86"/>
      <c r="D2649" s="86"/>
      <c r="E2649" s="86"/>
      <c r="F2649" s="308"/>
    </row>
    <row r="2650" spans="2:6">
      <c r="B2650" s="308"/>
      <c r="C2650" s="86"/>
      <c r="D2650" s="86"/>
      <c r="E2650" s="86"/>
      <c r="F2650" s="308"/>
    </row>
    <row r="2651" spans="2:6">
      <c r="B2651" s="308"/>
      <c r="C2651" s="86"/>
      <c r="D2651" s="86"/>
      <c r="E2651" s="86"/>
      <c r="F2651" s="308"/>
    </row>
    <row r="2652" spans="2:6">
      <c r="B2652" s="308"/>
      <c r="C2652" s="86"/>
      <c r="D2652" s="86"/>
      <c r="E2652" s="86"/>
      <c r="F2652" s="308"/>
    </row>
    <row r="2653" spans="2:6">
      <c r="B2653" s="308"/>
      <c r="C2653" s="86"/>
      <c r="D2653" s="86"/>
      <c r="E2653" s="86"/>
      <c r="F2653" s="308"/>
    </row>
    <row r="2654" spans="2:6">
      <c r="B2654" s="308"/>
      <c r="C2654" s="86"/>
      <c r="D2654" s="86"/>
      <c r="E2654" s="86"/>
      <c r="F2654" s="308"/>
    </row>
    <row r="2655" spans="2:6">
      <c r="B2655" s="308"/>
      <c r="C2655" s="86"/>
      <c r="D2655" s="86"/>
      <c r="E2655" s="86"/>
      <c r="F2655" s="308"/>
    </row>
    <row r="2656" spans="2:6">
      <c r="B2656" s="308"/>
      <c r="C2656" s="86"/>
      <c r="D2656" s="86"/>
      <c r="E2656" s="86"/>
      <c r="F2656" s="308"/>
    </row>
    <row r="2657" spans="2:6">
      <c r="B2657" s="308"/>
      <c r="C2657" s="86"/>
      <c r="D2657" s="86"/>
      <c r="E2657" s="86"/>
      <c r="F2657" s="308"/>
    </row>
    <row r="2658" spans="2:6">
      <c r="B2658" s="308"/>
      <c r="C2658" s="86"/>
      <c r="D2658" s="86"/>
      <c r="E2658" s="86"/>
      <c r="F2658" s="308"/>
    </row>
    <row r="2659" spans="2:6">
      <c r="B2659" s="308"/>
      <c r="C2659" s="86"/>
      <c r="D2659" s="86"/>
      <c r="E2659" s="86"/>
      <c r="F2659" s="308"/>
    </row>
    <row r="2660" spans="2:6">
      <c r="B2660" s="308"/>
      <c r="C2660" s="86"/>
      <c r="D2660" s="86"/>
      <c r="E2660" s="86"/>
      <c r="F2660" s="308"/>
    </row>
    <row r="2661" spans="2:6">
      <c r="B2661" s="308"/>
      <c r="C2661" s="86"/>
      <c r="D2661" s="86"/>
      <c r="E2661" s="86"/>
      <c r="F2661" s="308"/>
    </row>
    <row r="2662" spans="2:6">
      <c r="B2662" s="308"/>
      <c r="C2662" s="86"/>
      <c r="D2662" s="86"/>
      <c r="E2662" s="86"/>
      <c r="F2662" s="308"/>
    </row>
    <row r="2663" spans="2:6">
      <c r="B2663" s="308"/>
      <c r="C2663" s="86"/>
      <c r="D2663" s="86"/>
      <c r="E2663" s="86"/>
      <c r="F2663" s="308"/>
    </row>
    <row r="2664" spans="2:6">
      <c r="B2664" s="308"/>
      <c r="C2664" s="86"/>
      <c r="D2664" s="86"/>
      <c r="E2664" s="86"/>
      <c r="F2664" s="308"/>
    </row>
    <row r="2665" spans="2:6">
      <c r="B2665" s="308"/>
      <c r="C2665" s="86"/>
      <c r="D2665" s="86"/>
      <c r="E2665" s="86"/>
      <c r="F2665" s="308"/>
    </row>
    <row r="2666" spans="2:6">
      <c r="B2666" s="308"/>
      <c r="C2666" s="86"/>
      <c r="D2666" s="86"/>
      <c r="E2666" s="86"/>
      <c r="F2666" s="308"/>
    </row>
    <row r="2667" spans="2:6">
      <c r="B2667" s="308"/>
      <c r="C2667" s="86"/>
      <c r="D2667" s="86"/>
      <c r="E2667" s="86"/>
      <c r="F2667" s="308"/>
    </row>
    <row r="2668" spans="2:6">
      <c r="B2668" s="308"/>
      <c r="C2668" s="86"/>
      <c r="D2668" s="86"/>
      <c r="E2668" s="86"/>
      <c r="F2668" s="308"/>
    </row>
    <row r="2669" spans="2:6">
      <c r="B2669" s="308"/>
      <c r="C2669" s="86"/>
      <c r="D2669" s="86"/>
      <c r="E2669" s="86"/>
      <c r="F2669" s="308"/>
    </row>
    <row r="2670" spans="2:6">
      <c r="B2670" s="308"/>
      <c r="C2670" s="86"/>
      <c r="D2670" s="86"/>
      <c r="E2670" s="86"/>
      <c r="F2670" s="308"/>
    </row>
    <row r="2671" spans="2:6">
      <c r="B2671" s="308"/>
      <c r="C2671" s="86"/>
      <c r="D2671" s="86"/>
      <c r="E2671" s="86"/>
      <c r="F2671" s="308"/>
    </row>
    <row r="2672" spans="2:6">
      <c r="B2672" s="308"/>
      <c r="C2672" s="86"/>
      <c r="D2672" s="86"/>
      <c r="E2672" s="86"/>
      <c r="F2672" s="308"/>
    </row>
    <row r="2673" spans="2:6">
      <c r="B2673" s="308"/>
      <c r="C2673" s="86"/>
      <c r="D2673" s="86"/>
      <c r="E2673" s="86"/>
      <c r="F2673" s="308"/>
    </row>
    <row r="2674" spans="2:6">
      <c r="B2674" s="308"/>
      <c r="C2674" s="86"/>
      <c r="D2674" s="86"/>
      <c r="E2674" s="86"/>
      <c r="F2674" s="308"/>
    </row>
    <row r="2675" spans="2:6">
      <c r="B2675" s="308"/>
      <c r="C2675" s="86"/>
      <c r="D2675" s="86"/>
      <c r="E2675" s="86"/>
      <c r="F2675" s="308"/>
    </row>
    <row r="2676" spans="2:6">
      <c r="B2676" s="308"/>
      <c r="C2676" s="86"/>
      <c r="D2676" s="86"/>
      <c r="E2676" s="86"/>
      <c r="F2676" s="308"/>
    </row>
    <row r="2677" spans="2:6">
      <c r="B2677" s="308"/>
      <c r="C2677" s="86"/>
      <c r="D2677" s="86"/>
      <c r="E2677" s="86"/>
      <c r="F2677" s="308"/>
    </row>
    <row r="2678" spans="2:6">
      <c r="B2678" s="308"/>
      <c r="C2678" s="86"/>
      <c r="D2678" s="86"/>
      <c r="E2678" s="86"/>
      <c r="F2678" s="308"/>
    </row>
    <row r="2679" spans="2:6">
      <c r="B2679" s="308"/>
      <c r="C2679" s="86"/>
      <c r="D2679" s="86"/>
      <c r="E2679" s="86"/>
      <c r="F2679" s="308"/>
    </row>
    <row r="2680" spans="2:6">
      <c r="B2680" s="308"/>
      <c r="C2680" s="86"/>
      <c r="D2680" s="86"/>
      <c r="E2680" s="86"/>
      <c r="F2680" s="308"/>
    </row>
    <row r="2681" spans="2:6">
      <c r="B2681" s="308"/>
      <c r="C2681" s="86"/>
      <c r="D2681" s="86"/>
      <c r="E2681" s="86"/>
      <c r="F2681" s="308"/>
    </row>
    <row r="2682" spans="2:6">
      <c r="B2682" s="308"/>
      <c r="C2682" s="86"/>
      <c r="D2682" s="86"/>
      <c r="E2682" s="86"/>
      <c r="F2682" s="308"/>
    </row>
    <row r="2683" spans="2:6">
      <c r="B2683" s="308"/>
      <c r="C2683" s="86"/>
      <c r="D2683" s="86"/>
      <c r="E2683" s="86"/>
      <c r="F2683" s="308"/>
    </row>
    <row r="2684" spans="2:6">
      <c r="B2684" s="308"/>
      <c r="C2684" s="86"/>
      <c r="D2684" s="86"/>
      <c r="E2684" s="86"/>
      <c r="F2684" s="308"/>
    </row>
    <row r="2685" spans="2:6">
      <c r="B2685" s="308"/>
      <c r="C2685" s="86"/>
      <c r="D2685" s="86"/>
      <c r="E2685" s="86"/>
      <c r="F2685" s="308"/>
    </row>
    <row r="2686" spans="2:6">
      <c r="B2686" s="308"/>
      <c r="C2686" s="86"/>
      <c r="D2686" s="86"/>
      <c r="E2686" s="86"/>
      <c r="F2686" s="308"/>
    </row>
    <row r="2687" spans="2:6">
      <c r="B2687" s="308"/>
      <c r="C2687" s="86"/>
      <c r="D2687" s="86"/>
      <c r="E2687" s="86"/>
      <c r="F2687" s="308"/>
    </row>
    <row r="2688" spans="2:6">
      <c r="B2688" s="308"/>
      <c r="C2688" s="86"/>
      <c r="D2688" s="86"/>
      <c r="E2688" s="86"/>
      <c r="F2688" s="308"/>
    </row>
    <row r="2689" spans="2:6">
      <c r="B2689" s="308"/>
      <c r="C2689" s="86"/>
      <c r="D2689" s="86"/>
      <c r="E2689" s="86"/>
      <c r="F2689" s="308"/>
    </row>
    <row r="2690" spans="2:6">
      <c r="B2690" s="308"/>
      <c r="C2690" s="86"/>
      <c r="D2690" s="86"/>
      <c r="E2690" s="86"/>
      <c r="F2690" s="308"/>
    </row>
    <row r="2691" spans="2:6">
      <c r="B2691" s="308"/>
      <c r="C2691" s="86"/>
      <c r="D2691" s="86"/>
      <c r="E2691" s="86"/>
      <c r="F2691" s="308"/>
    </row>
    <row r="2692" spans="2:6">
      <c r="B2692" s="308"/>
      <c r="C2692" s="86"/>
      <c r="D2692" s="86"/>
      <c r="E2692" s="86"/>
      <c r="F2692" s="308"/>
    </row>
    <row r="2693" spans="2:6">
      <c r="B2693" s="308"/>
      <c r="C2693" s="86"/>
      <c r="D2693" s="86"/>
      <c r="E2693" s="86"/>
      <c r="F2693" s="308"/>
    </row>
    <row r="2694" spans="2:6">
      <c r="B2694" s="308"/>
      <c r="C2694" s="86"/>
      <c r="D2694" s="86"/>
      <c r="E2694" s="86"/>
      <c r="F2694" s="308"/>
    </row>
    <row r="2695" spans="2:6">
      <c r="B2695" s="308"/>
      <c r="C2695" s="86"/>
      <c r="D2695" s="86"/>
      <c r="E2695" s="86"/>
      <c r="F2695" s="308"/>
    </row>
    <row r="2696" spans="2:6">
      <c r="B2696" s="308"/>
      <c r="C2696" s="86"/>
      <c r="D2696" s="86"/>
      <c r="E2696" s="86"/>
      <c r="F2696" s="308"/>
    </row>
    <row r="2697" spans="2:6">
      <c r="B2697" s="308"/>
      <c r="C2697" s="86"/>
      <c r="D2697" s="86"/>
      <c r="E2697" s="86"/>
      <c r="F2697" s="308"/>
    </row>
    <row r="2698" spans="2:6">
      <c r="B2698" s="308"/>
      <c r="C2698" s="86"/>
      <c r="D2698" s="86"/>
      <c r="E2698" s="86"/>
      <c r="F2698" s="308"/>
    </row>
    <row r="2699" spans="2:6">
      <c r="B2699" s="308"/>
      <c r="C2699" s="86"/>
      <c r="D2699" s="86"/>
      <c r="E2699" s="86"/>
      <c r="F2699" s="308"/>
    </row>
    <row r="2700" spans="2:6">
      <c r="B2700" s="308"/>
      <c r="C2700" s="86"/>
      <c r="D2700" s="86"/>
      <c r="E2700" s="86"/>
      <c r="F2700" s="308"/>
    </row>
    <row r="2701" spans="2:6">
      <c r="B2701" s="308"/>
      <c r="C2701" s="86"/>
      <c r="D2701" s="86"/>
      <c r="E2701" s="86"/>
      <c r="F2701" s="308"/>
    </row>
    <row r="2702" spans="2:6">
      <c r="B2702" s="308"/>
      <c r="C2702" s="86"/>
      <c r="D2702" s="86"/>
      <c r="E2702" s="86"/>
      <c r="F2702" s="308"/>
    </row>
    <row r="2703" spans="2:6">
      <c r="B2703" s="308"/>
      <c r="C2703" s="86"/>
      <c r="D2703" s="86"/>
      <c r="E2703" s="86"/>
      <c r="F2703" s="308"/>
    </row>
    <row r="2704" spans="2:6">
      <c r="B2704" s="308"/>
      <c r="C2704" s="86"/>
      <c r="D2704" s="86"/>
      <c r="E2704" s="86"/>
      <c r="F2704" s="308"/>
    </row>
    <row r="2705" spans="2:6">
      <c r="B2705" s="308"/>
      <c r="C2705" s="86"/>
      <c r="D2705" s="86"/>
      <c r="E2705" s="86"/>
      <c r="F2705" s="308"/>
    </row>
    <row r="2706" spans="2:6">
      <c r="B2706" s="308"/>
      <c r="C2706" s="86"/>
      <c r="D2706" s="86"/>
      <c r="E2706" s="86"/>
      <c r="F2706" s="308"/>
    </row>
    <row r="2707" spans="2:6">
      <c r="B2707" s="308"/>
      <c r="C2707" s="86"/>
      <c r="D2707" s="86"/>
      <c r="E2707" s="86"/>
      <c r="F2707" s="308"/>
    </row>
    <row r="2708" spans="2:6">
      <c r="B2708" s="308"/>
      <c r="C2708" s="86"/>
      <c r="D2708" s="86"/>
      <c r="E2708" s="86"/>
      <c r="F2708" s="308"/>
    </row>
    <row r="2709" spans="2:6">
      <c r="B2709" s="308"/>
      <c r="C2709" s="86"/>
      <c r="D2709" s="86"/>
      <c r="E2709" s="86"/>
      <c r="F2709" s="308"/>
    </row>
    <row r="2710" spans="2:6">
      <c r="B2710" s="308"/>
      <c r="C2710" s="86"/>
      <c r="D2710" s="86"/>
      <c r="E2710" s="86"/>
      <c r="F2710" s="308"/>
    </row>
    <row r="2711" spans="2:6">
      <c r="B2711" s="308"/>
      <c r="C2711" s="86"/>
      <c r="D2711" s="86"/>
      <c r="E2711" s="86"/>
      <c r="F2711" s="308"/>
    </row>
    <row r="2712" spans="2:6">
      <c r="B2712" s="308"/>
      <c r="C2712" s="86"/>
      <c r="D2712" s="86"/>
      <c r="E2712" s="86"/>
      <c r="F2712" s="308"/>
    </row>
    <row r="2713" spans="2:6">
      <c r="B2713" s="308"/>
      <c r="C2713" s="86"/>
      <c r="D2713" s="86"/>
      <c r="E2713" s="86"/>
      <c r="F2713" s="308"/>
    </row>
    <row r="2714" spans="2:6">
      <c r="B2714" s="308"/>
      <c r="C2714" s="86"/>
      <c r="D2714" s="86"/>
      <c r="E2714" s="86"/>
      <c r="F2714" s="308"/>
    </row>
    <row r="2715" spans="2:6">
      <c r="B2715" s="308"/>
      <c r="C2715" s="86"/>
      <c r="D2715" s="86"/>
      <c r="E2715" s="86"/>
      <c r="F2715" s="308"/>
    </row>
    <row r="2716" spans="2:6">
      <c r="B2716" s="308"/>
      <c r="C2716" s="86"/>
      <c r="D2716" s="86"/>
      <c r="E2716" s="86"/>
      <c r="F2716" s="308"/>
    </row>
    <row r="2717" spans="2:6">
      <c r="B2717" s="308"/>
      <c r="C2717" s="86"/>
      <c r="D2717" s="86"/>
      <c r="E2717" s="86"/>
      <c r="F2717" s="308"/>
    </row>
    <row r="2718" spans="2:6">
      <c r="B2718" s="308"/>
      <c r="C2718" s="86"/>
      <c r="D2718" s="86"/>
      <c r="E2718" s="86"/>
      <c r="F2718" s="308"/>
    </row>
    <row r="2719" spans="2:6">
      <c r="B2719" s="308"/>
      <c r="C2719" s="86"/>
      <c r="D2719" s="86"/>
      <c r="E2719" s="86"/>
      <c r="F2719" s="308"/>
    </row>
    <row r="2720" spans="2:6">
      <c r="B2720" s="308"/>
      <c r="C2720" s="86"/>
      <c r="D2720" s="86"/>
      <c r="E2720" s="86"/>
      <c r="F2720" s="308"/>
    </row>
    <row r="2721" spans="2:6">
      <c r="B2721" s="308"/>
      <c r="C2721" s="86"/>
      <c r="D2721" s="86"/>
      <c r="E2721" s="86"/>
      <c r="F2721" s="308"/>
    </row>
    <row r="2722" spans="2:6">
      <c r="B2722" s="308"/>
      <c r="C2722" s="86"/>
      <c r="D2722" s="86"/>
      <c r="E2722" s="86"/>
      <c r="F2722" s="308"/>
    </row>
    <row r="2723" spans="2:6">
      <c r="B2723" s="308"/>
      <c r="C2723" s="86"/>
      <c r="D2723" s="86"/>
      <c r="E2723" s="86"/>
      <c r="F2723" s="308"/>
    </row>
    <row r="2724" spans="2:6">
      <c r="B2724" s="308"/>
      <c r="C2724" s="86"/>
      <c r="D2724" s="86"/>
      <c r="E2724" s="86"/>
      <c r="F2724" s="308"/>
    </row>
    <row r="2725" spans="2:6">
      <c r="B2725" s="308"/>
      <c r="C2725" s="86"/>
      <c r="D2725" s="86"/>
      <c r="E2725" s="86"/>
      <c r="F2725" s="308"/>
    </row>
    <row r="2726" spans="2:6">
      <c r="B2726" s="308"/>
      <c r="C2726" s="86"/>
      <c r="D2726" s="86"/>
      <c r="E2726" s="86"/>
      <c r="F2726" s="308"/>
    </row>
    <row r="2727" spans="2:6">
      <c r="B2727" s="308"/>
      <c r="C2727" s="86"/>
      <c r="D2727" s="86"/>
      <c r="E2727" s="86"/>
      <c r="F2727" s="308"/>
    </row>
    <row r="2728" spans="2:6">
      <c r="B2728" s="308"/>
      <c r="C2728" s="86"/>
      <c r="D2728" s="86"/>
      <c r="E2728" s="86"/>
      <c r="F2728" s="308"/>
    </row>
    <row r="2729" spans="2:6">
      <c r="B2729" s="308"/>
      <c r="C2729" s="86"/>
      <c r="D2729" s="86"/>
      <c r="E2729" s="86"/>
      <c r="F2729" s="308"/>
    </row>
    <row r="2730" spans="2:6">
      <c r="B2730" s="308"/>
      <c r="C2730" s="86"/>
      <c r="D2730" s="86"/>
      <c r="E2730" s="86"/>
      <c r="F2730" s="308"/>
    </row>
    <row r="2731" spans="2:6">
      <c r="B2731" s="308"/>
      <c r="C2731" s="86"/>
      <c r="D2731" s="86"/>
      <c r="E2731" s="86"/>
      <c r="F2731" s="308"/>
    </row>
    <row r="2732" spans="2:6">
      <c r="B2732" s="308"/>
      <c r="C2732" s="86"/>
      <c r="D2732" s="86"/>
      <c r="E2732" s="86"/>
      <c r="F2732" s="308"/>
    </row>
    <row r="2733" spans="2:6">
      <c r="B2733" s="308"/>
      <c r="C2733" s="86"/>
      <c r="D2733" s="86"/>
      <c r="E2733" s="86"/>
      <c r="F2733" s="308"/>
    </row>
    <row r="2734" spans="2:6">
      <c r="B2734" s="308"/>
      <c r="C2734" s="86"/>
      <c r="D2734" s="86"/>
      <c r="E2734" s="86"/>
      <c r="F2734" s="308"/>
    </row>
    <row r="2735" spans="2:6">
      <c r="B2735" s="308"/>
      <c r="C2735" s="86"/>
      <c r="D2735" s="86"/>
      <c r="E2735" s="86"/>
      <c r="F2735" s="308"/>
    </row>
    <row r="2736" spans="2:6">
      <c r="B2736" s="308"/>
      <c r="C2736" s="86"/>
      <c r="D2736" s="86"/>
      <c r="E2736" s="86"/>
      <c r="F2736" s="308"/>
    </row>
    <row r="2737" spans="2:6">
      <c r="B2737" s="308"/>
      <c r="C2737" s="86"/>
      <c r="D2737" s="86"/>
      <c r="E2737" s="86"/>
      <c r="F2737" s="308"/>
    </row>
    <row r="2738" spans="2:6">
      <c r="B2738" s="308"/>
      <c r="C2738" s="86"/>
      <c r="D2738" s="86"/>
      <c r="E2738" s="86"/>
      <c r="F2738" s="308"/>
    </row>
    <row r="2739" spans="2:6">
      <c r="B2739" s="308"/>
      <c r="C2739" s="86"/>
      <c r="D2739" s="86"/>
      <c r="E2739" s="86"/>
      <c r="F2739" s="308"/>
    </row>
    <row r="2740" spans="2:6">
      <c r="B2740" s="308"/>
      <c r="C2740" s="86"/>
      <c r="D2740" s="86"/>
      <c r="E2740" s="86"/>
      <c r="F2740" s="308"/>
    </row>
    <row r="2741" spans="2:6">
      <c r="B2741" s="308"/>
      <c r="C2741" s="86"/>
      <c r="D2741" s="86"/>
      <c r="E2741" s="86"/>
      <c r="F2741" s="308"/>
    </row>
    <row r="2742" spans="2:6">
      <c r="B2742" s="308"/>
      <c r="C2742" s="86"/>
      <c r="D2742" s="86"/>
      <c r="E2742" s="86"/>
      <c r="F2742" s="308"/>
    </row>
    <row r="2743" spans="2:6">
      <c r="B2743" s="308"/>
      <c r="C2743" s="86"/>
      <c r="D2743" s="86"/>
      <c r="E2743" s="86"/>
      <c r="F2743" s="308"/>
    </row>
    <row r="2744" spans="2:6">
      <c r="B2744" s="308"/>
      <c r="C2744" s="86"/>
      <c r="D2744" s="86"/>
      <c r="E2744" s="86"/>
      <c r="F2744" s="308"/>
    </row>
    <row r="2745" spans="2:6">
      <c r="B2745" s="308"/>
      <c r="C2745" s="86"/>
      <c r="D2745" s="86"/>
      <c r="E2745" s="86"/>
      <c r="F2745" s="308"/>
    </row>
    <row r="2746" spans="2:6">
      <c r="B2746" s="308"/>
      <c r="C2746" s="86"/>
      <c r="D2746" s="86"/>
      <c r="E2746" s="86"/>
      <c r="F2746" s="308"/>
    </row>
    <row r="2747" spans="2:6">
      <c r="B2747" s="308"/>
      <c r="C2747" s="86"/>
      <c r="D2747" s="86"/>
      <c r="E2747" s="86"/>
      <c r="F2747" s="308"/>
    </row>
    <row r="2748" spans="2:6">
      <c r="B2748" s="308"/>
      <c r="C2748" s="86"/>
      <c r="D2748" s="86"/>
      <c r="E2748" s="86"/>
      <c r="F2748" s="308"/>
    </row>
    <row r="2749" spans="2:6">
      <c r="B2749" s="308"/>
      <c r="C2749" s="86"/>
      <c r="D2749" s="86"/>
      <c r="E2749" s="86"/>
      <c r="F2749" s="308"/>
    </row>
    <row r="2750" spans="2:6">
      <c r="B2750" s="308"/>
      <c r="C2750" s="86"/>
      <c r="D2750" s="86"/>
      <c r="E2750" s="86"/>
      <c r="F2750" s="308"/>
    </row>
    <row r="2751" spans="2:6">
      <c r="B2751" s="308"/>
      <c r="C2751" s="86"/>
      <c r="D2751" s="86"/>
      <c r="E2751" s="86"/>
      <c r="F2751" s="308"/>
    </row>
    <row r="2752" spans="2:6">
      <c r="B2752" s="308"/>
      <c r="C2752" s="86"/>
      <c r="D2752" s="86"/>
      <c r="E2752" s="86"/>
      <c r="F2752" s="308"/>
    </row>
    <row r="2753" spans="2:6">
      <c r="B2753" s="308"/>
      <c r="C2753" s="86"/>
      <c r="D2753" s="86"/>
      <c r="E2753" s="86"/>
      <c r="F2753" s="308"/>
    </row>
    <row r="2754" spans="2:6">
      <c r="B2754" s="308"/>
      <c r="C2754" s="86"/>
      <c r="D2754" s="86"/>
      <c r="E2754" s="86"/>
      <c r="F2754" s="308"/>
    </row>
    <row r="2755" spans="2:6">
      <c r="B2755" s="308"/>
      <c r="C2755" s="86"/>
      <c r="D2755" s="86"/>
      <c r="E2755" s="86"/>
      <c r="F2755" s="308"/>
    </row>
    <row r="2756" spans="2:6">
      <c r="B2756" s="308"/>
      <c r="C2756" s="86"/>
      <c r="D2756" s="86"/>
      <c r="E2756" s="86"/>
      <c r="F2756" s="308"/>
    </row>
    <row r="2757" spans="2:6">
      <c r="B2757" s="308"/>
      <c r="C2757" s="86"/>
      <c r="D2757" s="86"/>
      <c r="E2757" s="86"/>
      <c r="F2757" s="308"/>
    </row>
    <row r="2758" spans="2:6">
      <c r="B2758" s="308"/>
      <c r="C2758" s="86"/>
      <c r="D2758" s="86"/>
      <c r="E2758" s="86"/>
      <c r="F2758" s="308"/>
    </row>
    <row r="2759" spans="2:6">
      <c r="B2759" s="308"/>
      <c r="C2759" s="86"/>
      <c r="D2759" s="86"/>
      <c r="E2759" s="86"/>
      <c r="F2759" s="308"/>
    </row>
    <row r="2760" spans="2:6">
      <c r="B2760" s="308"/>
      <c r="C2760" s="86"/>
      <c r="D2760" s="86"/>
      <c r="E2760" s="86"/>
      <c r="F2760" s="308"/>
    </row>
    <row r="2761" spans="2:6">
      <c r="B2761" s="308"/>
      <c r="C2761" s="86"/>
      <c r="D2761" s="86"/>
      <c r="E2761" s="86"/>
      <c r="F2761" s="308"/>
    </row>
    <row r="2762" spans="2:6">
      <c r="B2762" s="308"/>
      <c r="C2762" s="86"/>
      <c r="D2762" s="86"/>
      <c r="E2762" s="86"/>
      <c r="F2762" s="308"/>
    </row>
    <row r="2763" spans="2:6">
      <c r="B2763" s="308"/>
      <c r="C2763" s="86"/>
      <c r="D2763" s="86"/>
      <c r="E2763" s="86"/>
      <c r="F2763" s="308"/>
    </row>
    <row r="2764" spans="2:6">
      <c r="B2764" s="308"/>
      <c r="C2764" s="86"/>
      <c r="D2764" s="86"/>
      <c r="E2764" s="86"/>
      <c r="F2764" s="308"/>
    </row>
    <row r="2765" spans="2:6">
      <c r="B2765" s="308"/>
      <c r="C2765" s="86"/>
      <c r="D2765" s="86"/>
      <c r="E2765" s="86"/>
      <c r="F2765" s="308"/>
    </row>
    <row r="2766" spans="2:6">
      <c r="B2766" s="308"/>
      <c r="C2766" s="86"/>
      <c r="D2766" s="86"/>
      <c r="E2766" s="86"/>
      <c r="F2766" s="308"/>
    </row>
    <row r="2767" spans="2:6">
      <c r="B2767" s="308"/>
      <c r="C2767" s="86"/>
      <c r="D2767" s="86"/>
      <c r="E2767" s="86"/>
      <c r="F2767" s="308"/>
    </row>
    <row r="2768" spans="2:6">
      <c r="B2768" s="308"/>
      <c r="C2768" s="86"/>
      <c r="D2768" s="86"/>
      <c r="E2768" s="86"/>
      <c r="F2768" s="308"/>
    </row>
    <row r="2769" spans="2:6">
      <c r="B2769" s="308"/>
      <c r="C2769" s="86"/>
      <c r="D2769" s="86"/>
      <c r="E2769" s="86"/>
      <c r="F2769" s="308"/>
    </row>
    <row r="2770" spans="2:6">
      <c r="B2770" s="308"/>
      <c r="C2770" s="86"/>
      <c r="D2770" s="86"/>
      <c r="E2770" s="86"/>
      <c r="F2770" s="308"/>
    </row>
    <row r="2771" spans="2:6">
      <c r="B2771" s="308"/>
      <c r="C2771" s="86"/>
      <c r="D2771" s="86"/>
      <c r="E2771" s="86"/>
      <c r="F2771" s="308"/>
    </row>
    <row r="2772" spans="2:6">
      <c r="B2772" s="308"/>
      <c r="C2772" s="86"/>
      <c r="D2772" s="86"/>
      <c r="E2772" s="86"/>
      <c r="F2772" s="308"/>
    </row>
    <row r="2773" spans="2:6">
      <c r="B2773" s="308"/>
      <c r="C2773" s="86"/>
      <c r="D2773" s="86"/>
      <c r="E2773" s="86"/>
      <c r="F2773" s="308"/>
    </row>
    <row r="2774" spans="2:6">
      <c r="B2774" s="308"/>
      <c r="C2774" s="86"/>
      <c r="D2774" s="86"/>
      <c r="E2774" s="86"/>
      <c r="F2774" s="308"/>
    </row>
    <row r="2775" spans="2:6">
      <c r="B2775" s="308"/>
      <c r="C2775" s="86"/>
      <c r="D2775" s="86"/>
      <c r="E2775" s="86"/>
      <c r="F2775" s="308"/>
    </row>
    <row r="2776" spans="2:6">
      <c r="B2776" s="308"/>
      <c r="C2776" s="86"/>
      <c r="D2776" s="86"/>
      <c r="E2776" s="86"/>
      <c r="F2776" s="308"/>
    </row>
    <row r="2777" spans="2:6">
      <c r="B2777" s="308"/>
      <c r="C2777" s="86"/>
      <c r="D2777" s="86"/>
      <c r="E2777" s="86"/>
      <c r="F2777" s="308"/>
    </row>
    <row r="2778" spans="2:6">
      <c r="B2778" s="308"/>
      <c r="C2778" s="86"/>
      <c r="D2778" s="86"/>
      <c r="E2778" s="86"/>
      <c r="F2778" s="308"/>
    </row>
    <row r="2779" spans="2:6">
      <c r="B2779" s="308"/>
      <c r="C2779" s="86"/>
      <c r="D2779" s="86"/>
      <c r="E2779" s="86"/>
      <c r="F2779" s="308"/>
    </row>
    <row r="2780" spans="2:6">
      <c r="B2780" s="308"/>
      <c r="C2780" s="86"/>
      <c r="D2780" s="86"/>
      <c r="E2780" s="86"/>
      <c r="F2780" s="308"/>
    </row>
    <row r="2781" spans="2:6">
      <c r="B2781" s="308"/>
      <c r="C2781" s="86"/>
      <c r="D2781" s="86"/>
      <c r="E2781" s="86"/>
      <c r="F2781" s="308"/>
    </row>
    <row r="2782" spans="2:6">
      <c r="B2782" s="308"/>
      <c r="C2782" s="86"/>
      <c r="D2782" s="86"/>
      <c r="E2782" s="86"/>
      <c r="F2782" s="308"/>
    </row>
    <row r="2783" spans="2:6">
      <c r="B2783" s="308"/>
      <c r="C2783" s="86"/>
      <c r="D2783" s="86"/>
      <c r="E2783" s="86"/>
      <c r="F2783" s="308"/>
    </row>
    <row r="2784" spans="2:6">
      <c r="B2784" s="308"/>
      <c r="C2784" s="86"/>
      <c r="D2784" s="86"/>
      <c r="E2784" s="86"/>
      <c r="F2784" s="308"/>
    </row>
    <row r="2785" spans="2:6">
      <c r="B2785" s="308"/>
      <c r="C2785" s="86"/>
      <c r="D2785" s="86"/>
      <c r="E2785" s="86"/>
      <c r="F2785" s="308"/>
    </row>
    <row r="2786" spans="2:6">
      <c r="B2786" s="308"/>
      <c r="C2786" s="86"/>
      <c r="D2786" s="86"/>
      <c r="E2786" s="86"/>
      <c r="F2786" s="308"/>
    </row>
    <row r="2787" spans="2:6">
      <c r="B2787" s="308"/>
      <c r="C2787" s="86"/>
      <c r="D2787" s="86"/>
      <c r="E2787" s="86"/>
      <c r="F2787" s="308"/>
    </row>
    <row r="2788" spans="2:6">
      <c r="B2788" s="308"/>
      <c r="C2788" s="86"/>
      <c r="D2788" s="86"/>
      <c r="E2788" s="86"/>
      <c r="F2788" s="308"/>
    </row>
    <row r="2789" spans="2:6">
      <c r="B2789" s="308"/>
      <c r="C2789" s="86"/>
      <c r="D2789" s="86"/>
      <c r="E2789" s="86"/>
      <c r="F2789" s="308"/>
    </row>
    <row r="2790" spans="2:6">
      <c r="B2790" s="308"/>
      <c r="C2790" s="86"/>
      <c r="D2790" s="86"/>
      <c r="E2790" s="86"/>
      <c r="F2790" s="308"/>
    </row>
    <row r="2791" spans="2:6">
      <c r="B2791" s="308"/>
      <c r="C2791" s="86"/>
      <c r="D2791" s="86"/>
      <c r="E2791" s="86"/>
      <c r="F2791" s="308"/>
    </row>
    <row r="2792" spans="2:6">
      <c r="B2792" s="308"/>
      <c r="C2792" s="86"/>
      <c r="D2792" s="86"/>
      <c r="E2792" s="86"/>
      <c r="F2792" s="308"/>
    </row>
    <row r="2793" spans="2:6">
      <c r="B2793" s="308"/>
      <c r="C2793" s="86"/>
      <c r="D2793" s="86"/>
      <c r="E2793" s="86"/>
      <c r="F2793" s="308"/>
    </row>
    <row r="2794" spans="2:6">
      <c r="B2794" s="308"/>
      <c r="C2794" s="86"/>
      <c r="D2794" s="86"/>
      <c r="E2794" s="86"/>
      <c r="F2794" s="308"/>
    </row>
    <row r="2795" spans="2:6">
      <c r="B2795" s="308"/>
      <c r="C2795" s="86"/>
      <c r="D2795" s="86"/>
      <c r="E2795" s="86"/>
      <c r="F2795" s="308"/>
    </row>
    <row r="2796" spans="2:6">
      <c r="B2796" s="308"/>
      <c r="C2796" s="86"/>
      <c r="D2796" s="86"/>
      <c r="E2796" s="86"/>
      <c r="F2796" s="308"/>
    </row>
    <row r="2797" spans="2:6">
      <c r="B2797" s="308"/>
      <c r="C2797" s="86"/>
      <c r="D2797" s="86"/>
      <c r="E2797" s="86"/>
      <c r="F2797" s="308"/>
    </row>
    <row r="2798" spans="2:6">
      <c r="B2798" s="308"/>
      <c r="C2798" s="86"/>
      <c r="D2798" s="86"/>
      <c r="E2798" s="86"/>
      <c r="F2798" s="308"/>
    </row>
    <row r="2799" spans="2:6">
      <c r="B2799" s="308"/>
      <c r="C2799" s="86"/>
      <c r="D2799" s="86"/>
      <c r="E2799" s="86"/>
      <c r="F2799" s="308"/>
    </row>
    <row r="2800" spans="2:6">
      <c r="B2800" s="308"/>
      <c r="C2800" s="86"/>
      <c r="D2800" s="86"/>
      <c r="E2800" s="86"/>
      <c r="F2800" s="308"/>
    </row>
    <row r="2801" spans="2:6">
      <c r="B2801" s="308"/>
      <c r="C2801" s="86"/>
      <c r="D2801" s="86"/>
      <c r="E2801" s="86"/>
      <c r="F2801" s="308"/>
    </row>
    <row r="2802" spans="2:6">
      <c r="B2802" s="308"/>
      <c r="C2802" s="86"/>
      <c r="D2802" s="86"/>
      <c r="E2802" s="86"/>
      <c r="F2802" s="308"/>
    </row>
    <row r="2803" spans="2:6">
      <c r="B2803" s="308"/>
      <c r="C2803" s="86"/>
      <c r="D2803" s="86"/>
      <c r="E2803" s="86"/>
      <c r="F2803" s="308"/>
    </row>
    <row r="2804" spans="2:6">
      <c r="B2804" s="308"/>
      <c r="C2804" s="86"/>
      <c r="D2804" s="86"/>
      <c r="E2804" s="86"/>
      <c r="F2804" s="308"/>
    </row>
    <row r="2805" spans="2:6">
      <c r="B2805" s="308"/>
      <c r="C2805" s="86"/>
      <c r="D2805" s="86"/>
      <c r="E2805" s="86"/>
      <c r="F2805" s="308"/>
    </row>
    <row r="2806" spans="2:6">
      <c r="B2806" s="308"/>
      <c r="C2806" s="86"/>
      <c r="D2806" s="86"/>
      <c r="E2806" s="86"/>
      <c r="F2806" s="308"/>
    </row>
    <row r="2807" spans="2:6">
      <c r="B2807" s="308"/>
      <c r="C2807" s="86"/>
      <c r="D2807" s="86"/>
      <c r="E2807" s="86"/>
      <c r="F2807" s="308"/>
    </row>
    <row r="2808" spans="2:6">
      <c r="B2808" s="308"/>
      <c r="C2808" s="86"/>
      <c r="D2808" s="86"/>
      <c r="E2808" s="86"/>
      <c r="F2808" s="308"/>
    </row>
    <row r="2809" spans="2:6">
      <c r="B2809" s="308"/>
      <c r="C2809" s="86"/>
      <c r="D2809" s="86"/>
      <c r="E2809" s="86"/>
      <c r="F2809" s="308"/>
    </row>
    <row r="2810" spans="2:6">
      <c r="B2810" s="308"/>
      <c r="C2810" s="86"/>
      <c r="D2810" s="86"/>
      <c r="E2810" s="86"/>
      <c r="F2810" s="308"/>
    </row>
    <row r="2811" spans="2:6">
      <c r="B2811" s="308"/>
      <c r="C2811" s="86"/>
      <c r="D2811" s="86"/>
      <c r="E2811" s="86"/>
      <c r="F2811" s="308"/>
    </row>
    <row r="2812" spans="2:6">
      <c r="B2812" s="308"/>
      <c r="C2812" s="86"/>
      <c r="D2812" s="86"/>
      <c r="E2812" s="86"/>
      <c r="F2812" s="308"/>
    </row>
    <row r="2813" spans="2:6">
      <c r="B2813" s="308"/>
      <c r="C2813" s="86"/>
      <c r="D2813" s="86"/>
      <c r="E2813" s="86"/>
      <c r="F2813" s="308"/>
    </row>
    <row r="2814" spans="2:6">
      <c r="B2814" s="308"/>
      <c r="C2814" s="86"/>
      <c r="D2814" s="86"/>
      <c r="E2814" s="86"/>
      <c r="F2814" s="308"/>
    </row>
    <row r="2815" spans="2:6">
      <c r="B2815" s="308"/>
      <c r="C2815" s="86"/>
      <c r="D2815" s="86"/>
      <c r="E2815" s="86"/>
      <c r="F2815" s="308"/>
    </row>
    <row r="2816" spans="2:6">
      <c r="B2816" s="308"/>
      <c r="C2816" s="86"/>
      <c r="D2816" s="86"/>
      <c r="E2816" s="86"/>
      <c r="F2816" s="308"/>
    </row>
    <row r="2817" spans="2:6">
      <c r="B2817" s="308"/>
      <c r="C2817" s="86"/>
      <c r="D2817" s="86"/>
      <c r="E2817" s="86"/>
      <c r="F2817" s="308"/>
    </row>
    <row r="2818" spans="2:6">
      <c r="B2818" s="308"/>
      <c r="C2818" s="86"/>
      <c r="D2818" s="86"/>
      <c r="E2818" s="86"/>
      <c r="F2818" s="308"/>
    </row>
    <row r="2819" spans="2:6">
      <c r="B2819" s="308"/>
      <c r="C2819" s="86"/>
      <c r="D2819" s="86"/>
      <c r="E2819" s="86"/>
      <c r="F2819" s="308"/>
    </row>
    <row r="2820" spans="2:6">
      <c r="B2820" s="308"/>
      <c r="C2820" s="86"/>
      <c r="D2820" s="86"/>
      <c r="E2820" s="86"/>
      <c r="F2820" s="308"/>
    </row>
    <row r="2821" spans="2:6">
      <c r="B2821" s="308"/>
      <c r="C2821" s="86"/>
      <c r="D2821" s="86"/>
      <c r="E2821" s="86"/>
      <c r="F2821" s="308"/>
    </row>
    <row r="2822" spans="2:6">
      <c r="B2822" s="308"/>
      <c r="C2822" s="86"/>
      <c r="D2822" s="86"/>
      <c r="E2822" s="86"/>
      <c r="F2822" s="308"/>
    </row>
    <row r="2823" spans="2:6">
      <c r="B2823" s="308"/>
      <c r="C2823" s="86"/>
      <c r="D2823" s="86"/>
      <c r="E2823" s="86"/>
      <c r="F2823" s="308"/>
    </row>
    <row r="2824" spans="2:6">
      <c r="B2824" s="308"/>
      <c r="C2824" s="86"/>
      <c r="D2824" s="86"/>
      <c r="E2824" s="86"/>
      <c r="F2824" s="308"/>
    </row>
    <row r="2825" spans="2:6">
      <c r="B2825" s="308"/>
      <c r="C2825" s="86"/>
      <c r="D2825" s="86"/>
      <c r="E2825" s="86"/>
      <c r="F2825" s="308"/>
    </row>
    <row r="2826" spans="2:6">
      <c r="B2826" s="308"/>
      <c r="C2826" s="86"/>
      <c r="D2826" s="86"/>
      <c r="E2826" s="86"/>
      <c r="F2826" s="308"/>
    </row>
    <row r="2827" spans="2:6">
      <c r="B2827" s="308"/>
      <c r="C2827" s="86"/>
      <c r="D2827" s="86"/>
      <c r="E2827" s="86"/>
      <c r="F2827" s="308"/>
    </row>
    <row r="2828" spans="2:6">
      <c r="B2828" s="308"/>
      <c r="C2828" s="86"/>
      <c r="D2828" s="86"/>
      <c r="E2828" s="86"/>
      <c r="F2828" s="308"/>
    </row>
    <row r="2829" spans="2:6">
      <c r="B2829" s="308"/>
      <c r="C2829" s="86"/>
      <c r="D2829" s="86"/>
      <c r="E2829" s="86"/>
      <c r="F2829" s="308"/>
    </row>
    <row r="2830" spans="2:6">
      <c r="B2830" s="308"/>
      <c r="C2830" s="86"/>
      <c r="D2830" s="86"/>
      <c r="E2830" s="86"/>
      <c r="F2830" s="308"/>
    </row>
    <row r="2831" spans="2:6">
      <c r="B2831" s="308"/>
      <c r="C2831" s="86"/>
      <c r="D2831" s="86"/>
      <c r="E2831" s="86"/>
      <c r="F2831" s="308"/>
    </row>
    <row r="2832" spans="2:6">
      <c r="B2832" s="308"/>
      <c r="C2832" s="86"/>
      <c r="D2832" s="86"/>
      <c r="E2832" s="86"/>
      <c r="F2832" s="308"/>
    </row>
    <row r="2833" spans="2:6">
      <c r="B2833" s="308"/>
      <c r="C2833" s="86"/>
      <c r="D2833" s="86"/>
      <c r="E2833" s="86"/>
      <c r="F2833" s="308"/>
    </row>
    <row r="2834" spans="2:6">
      <c r="B2834" s="308"/>
      <c r="C2834" s="86"/>
      <c r="D2834" s="86"/>
      <c r="E2834" s="86"/>
      <c r="F2834" s="308"/>
    </row>
    <row r="2835" spans="2:6">
      <c r="B2835" s="308"/>
      <c r="C2835" s="86"/>
      <c r="D2835" s="86"/>
      <c r="E2835" s="86"/>
      <c r="F2835" s="308"/>
    </row>
    <row r="2836" spans="2:6">
      <c r="B2836" s="308"/>
      <c r="C2836" s="86"/>
      <c r="D2836" s="86"/>
      <c r="E2836" s="86"/>
      <c r="F2836" s="308"/>
    </row>
    <row r="2837" spans="2:6">
      <c r="B2837" s="308"/>
      <c r="C2837" s="86"/>
      <c r="D2837" s="86"/>
      <c r="E2837" s="86"/>
      <c r="F2837" s="308"/>
    </row>
    <row r="2838" spans="2:6">
      <c r="B2838" s="308"/>
      <c r="C2838" s="86"/>
      <c r="D2838" s="86"/>
      <c r="E2838" s="86"/>
      <c r="F2838" s="308"/>
    </row>
    <row r="2839" spans="2:6">
      <c r="B2839" s="308"/>
      <c r="C2839" s="86"/>
      <c r="D2839" s="86"/>
      <c r="E2839" s="86"/>
      <c r="F2839" s="308"/>
    </row>
    <row r="2840" spans="2:6">
      <c r="B2840" s="308"/>
      <c r="C2840" s="86"/>
      <c r="D2840" s="86"/>
      <c r="E2840" s="86"/>
      <c r="F2840" s="308"/>
    </row>
    <row r="2841" spans="2:6">
      <c r="B2841" s="308"/>
      <c r="C2841" s="86"/>
      <c r="D2841" s="86"/>
      <c r="E2841" s="86"/>
      <c r="F2841" s="308"/>
    </row>
    <row r="2842" spans="2:6">
      <c r="B2842" s="308"/>
      <c r="C2842" s="86"/>
      <c r="D2842" s="86"/>
      <c r="E2842" s="86"/>
      <c r="F2842" s="308"/>
    </row>
    <row r="2843" spans="2:6">
      <c r="B2843" s="308"/>
      <c r="C2843" s="86"/>
      <c r="D2843" s="86"/>
      <c r="E2843" s="86"/>
      <c r="F2843" s="308"/>
    </row>
    <row r="2844" spans="2:6">
      <c r="B2844" s="308"/>
      <c r="C2844" s="86"/>
      <c r="D2844" s="86"/>
      <c r="E2844" s="86"/>
      <c r="F2844" s="308"/>
    </row>
    <row r="2845" spans="2:6">
      <c r="B2845" s="308"/>
      <c r="C2845" s="86"/>
      <c r="D2845" s="86"/>
      <c r="E2845" s="86"/>
      <c r="F2845" s="308"/>
    </row>
    <row r="2846" spans="2:6">
      <c r="B2846" s="308"/>
      <c r="C2846" s="86"/>
      <c r="D2846" s="86"/>
      <c r="E2846" s="86"/>
      <c r="F2846" s="308"/>
    </row>
    <row r="2847" spans="2:6">
      <c r="B2847" s="308"/>
      <c r="C2847" s="86"/>
      <c r="D2847" s="86"/>
      <c r="E2847" s="86"/>
      <c r="F2847" s="308"/>
    </row>
    <row r="2848" spans="2:6">
      <c r="B2848" s="308"/>
      <c r="C2848" s="86"/>
      <c r="D2848" s="86"/>
      <c r="E2848" s="86"/>
      <c r="F2848" s="308"/>
    </row>
    <row r="2849" spans="2:6">
      <c r="B2849" s="308"/>
      <c r="C2849" s="86"/>
      <c r="D2849" s="86"/>
      <c r="E2849" s="86"/>
      <c r="F2849" s="308"/>
    </row>
    <row r="2850" spans="2:6">
      <c r="B2850" s="308"/>
      <c r="C2850" s="86"/>
      <c r="D2850" s="86"/>
      <c r="E2850" s="86"/>
      <c r="F2850" s="308"/>
    </row>
    <row r="2851" spans="2:6">
      <c r="B2851" s="308"/>
      <c r="C2851" s="86"/>
      <c r="D2851" s="86"/>
      <c r="E2851" s="86"/>
      <c r="F2851" s="308"/>
    </row>
    <row r="2852" spans="2:6">
      <c r="B2852" s="308"/>
      <c r="C2852" s="86"/>
      <c r="D2852" s="86"/>
      <c r="E2852" s="86"/>
      <c r="F2852" s="308"/>
    </row>
    <row r="2853" spans="2:6">
      <c r="B2853" s="308"/>
      <c r="C2853" s="86"/>
      <c r="D2853" s="86"/>
      <c r="E2853" s="86"/>
      <c r="F2853" s="308"/>
    </row>
    <row r="2854" spans="2:6">
      <c r="B2854" s="308"/>
      <c r="C2854" s="86"/>
      <c r="D2854" s="86"/>
      <c r="E2854" s="86"/>
      <c r="F2854" s="308"/>
    </row>
    <row r="2855" spans="2:6">
      <c r="B2855" s="308"/>
      <c r="C2855" s="86"/>
      <c r="D2855" s="86"/>
      <c r="E2855" s="86"/>
      <c r="F2855" s="308"/>
    </row>
    <row r="2856" spans="2:6">
      <c r="B2856" s="308"/>
      <c r="C2856" s="86"/>
      <c r="D2856" s="86"/>
      <c r="E2856" s="86"/>
      <c r="F2856" s="308"/>
    </row>
    <row r="2857" spans="2:6">
      <c r="B2857" s="308"/>
      <c r="C2857" s="86"/>
      <c r="D2857" s="86"/>
      <c r="E2857" s="86"/>
      <c r="F2857" s="308"/>
    </row>
    <row r="2858" spans="2:6">
      <c r="B2858" s="308"/>
      <c r="C2858" s="86"/>
      <c r="D2858" s="86"/>
      <c r="E2858" s="86"/>
      <c r="F2858" s="308"/>
    </row>
    <row r="2859" spans="2:6">
      <c r="B2859" s="308"/>
      <c r="C2859" s="86"/>
      <c r="D2859" s="86"/>
      <c r="E2859" s="86"/>
      <c r="F2859" s="308"/>
    </row>
    <row r="2860" spans="2:6">
      <c r="B2860" s="308"/>
      <c r="C2860" s="86"/>
      <c r="D2860" s="86"/>
      <c r="E2860" s="86"/>
      <c r="F2860" s="308"/>
    </row>
    <row r="2861" spans="2:6">
      <c r="B2861" s="308"/>
      <c r="C2861" s="86"/>
      <c r="D2861" s="86"/>
      <c r="E2861" s="86"/>
      <c r="F2861" s="308"/>
    </row>
    <row r="2862" spans="2:6">
      <c r="B2862" s="308"/>
      <c r="C2862" s="86"/>
      <c r="D2862" s="86"/>
      <c r="E2862" s="86"/>
      <c r="F2862" s="308"/>
    </row>
    <row r="2863" spans="2:6">
      <c r="B2863" s="308"/>
      <c r="C2863" s="86"/>
      <c r="D2863" s="86"/>
      <c r="E2863" s="86"/>
      <c r="F2863" s="308"/>
    </row>
    <row r="2864" spans="2:6">
      <c r="B2864" s="308"/>
      <c r="C2864" s="86"/>
      <c r="D2864" s="86"/>
      <c r="E2864" s="86"/>
      <c r="F2864" s="308"/>
    </row>
    <row r="2865" spans="2:6">
      <c r="B2865" s="308"/>
      <c r="C2865" s="86"/>
      <c r="D2865" s="86"/>
      <c r="E2865" s="86"/>
      <c r="F2865" s="308"/>
    </row>
    <row r="2866" spans="2:6">
      <c r="B2866" s="308"/>
      <c r="C2866" s="86"/>
      <c r="D2866" s="86"/>
      <c r="E2866" s="86"/>
      <c r="F2866" s="308"/>
    </row>
    <row r="2867" spans="2:6">
      <c r="B2867" s="308"/>
      <c r="C2867" s="86"/>
      <c r="D2867" s="86"/>
      <c r="E2867" s="86"/>
      <c r="F2867" s="308"/>
    </row>
    <row r="2868" spans="2:6">
      <c r="B2868" s="308"/>
      <c r="C2868" s="86"/>
      <c r="D2868" s="86"/>
      <c r="E2868" s="86"/>
      <c r="F2868" s="308"/>
    </row>
    <row r="2869" spans="2:6">
      <c r="B2869" s="308"/>
      <c r="C2869" s="86"/>
      <c r="D2869" s="86"/>
      <c r="E2869" s="86"/>
      <c r="F2869" s="308"/>
    </row>
    <row r="2870" spans="2:6">
      <c r="B2870" s="308"/>
      <c r="C2870" s="86"/>
      <c r="D2870" s="86"/>
      <c r="E2870" s="86"/>
      <c r="F2870" s="308"/>
    </row>
    <row r="2871" spans="2:6">
      <c r="B2871" s="308"/>
      <c r="C2871" s="86"/>
      <c r="D2871" s="86"/>
      <c r="E2871" s="86"/>
      <c r="F2871" s="308"/>
    </row>
    <row r="2872" spans="2:6">
      <c r="B2872" s="308"/>
      <c r="C2872" s="86"/>
      <c r="D2872" s="86"/>
      <c r="E2872" s="86"/>
      <c r="F2872" s="308"/>
    </row>
    <row r="2873" spans="2:6">
      <c r="B2873" s="308"/>
      <c r="C2873" s="86"/>
      <c r="D2873" s="86"/>
      <c r="E2873" s="86"/>
      <c r="F2873" s="308"/>
    </row>
    <row r="2874" spans="2:6">
      <c r="B2874" s="308"/>
      <c r="C2874" s="86"/>
      <c r="D2874" s="86"/>
      <c r="E2874" s="86"/>
      <c r="F2874" s="308"/>
    </row>
    <row r="2875" spans="2:6">
      <c r="B2875" s="308"/>
      <c r="C2875" s="86"/>
      <c r="D2875" s="86"/>
      <c r="E2875" s="86"/>
      <c r="F2875" s="308"/>
    </row>
    <row r="2876" spans="2:6">
      <c r="B2876" s="308"/>
      <c r="C2876" s="86"/>
      <c r="D2876" s="86"/>
      <c r="E2876" s="86"/>
      <c r="F2876" s="308"/>
    </row>
    <row r="2877" spans="2:6">
      <c r="B2877" s="308"/>
      <c r="C2877" s="86"/>
      <c r="D2877" s="86"/>
      <c r="E2877" s="86"/>
      <c r="F2877" s="308"/>
    </row>
    <row r="2878" spans="2:6">
      <c r="B2878" s="308"/>
      <c r="C2878" s="86"/>
      <c r="D2878" s="86"/>
      <c r="E2878" s="86"/>
      <c r="F2878" s="308"/>
    </row>
    <row r="2879" spans="2:6">
      <c r="B2879" s="308"/>
      <c r="C2879" s="86"/>
      <c r="D2879" s="86"/>
      <c r="E2879" s="86"/>
      <c r="F2879" s="308"/>
    </row>
    <row r="2880" spans="2:6">
      <c r="B2880" s="308"/>
      <c r="C2880" s="86"/>
      <c r="D2880" s="86"/>
      <c r="E2880" s="86"/>
      <c r="F2880" s="308"/>
    </row>
    <row r="2881" spans="2:6">
      <c r="B2881" s="308"/>
      <c r="C2881" s="86"/>
      <c r="D2881" s="86"/>
      <c r="E2881" s="86"/>
      <c r="F2881" s="308"/>
    </row>
    <row r="2882" spans="2:6">
      <c r="B2882" s="308"/>
      <c r="C2882" s="86"/>
      <c r="D2882" s="86"/>
      <c r="E2882" s="86"/>
      <c r="F2882" s="308"/>
    </row>
    <row r="2883" spans="2:6">
      <c r="B2883" s="308"/>
      <c r="C2883" s="86"/>
      <c r="D2883" s="86"/>
      <c r="E2883" s="86"/>
      <c r="F2883" s="308"/>
    </row>
    <row r="2884" spans="2:6">
      <c r="B2884" s="308"/>
      <c r="C2884" s="86"/>
      <c r="D2884" s="86"/>
      <c r="E2884" s="86"/>
      <c r="F2884" s="308"/>
    </row>
    <row r="2885" spans="2:6">
      <c r="B2885" s="308"/>
      <c r="C2885" s="86"/>
      <c r="D2885" s="86"/>
      <c r="E2885" s="86"/>
      <c r="F2885" s="308"/>
    </row>
    <row r="2886" spans="2:6">
      <c r="B2886" s="308"/>
      <c r="C2886" s="86"/>
      <c r="D2886" s="86"/>
      <c r="E2886" s="86"/>
      <c r="F2886" s="308"/>
    </row>
    <row r="2887" spans="2:6">
      <c r="B2887" s="308"/>
      <c r="C2887" s="86"/>
      <c r="D2887" s="86"/>
      <c r="E2887" s="86"/>
      <c r="F2887" s="308"/>
    </row>
    <row r="2888" spans="2:6">
      <c r="B2888" s="308"/>
      <c r="C2888" s="86"/>
      <c r="D2888" s="86"/>
      <c r="E2888" s="86"/>
      <c r="F2888" s="308"/>
    </row>
    <row r="2889" spans="2:6">
      <c r="B2889" s="308"/>
      <c r="C2889" s="86"/>
      <c r="D2889" s="86"/>
      <c r="E2889" s="86"/>
      <c r="F2889" s="308"/>
    </row>
    <row r="2890" spans="2:6">
      <c r="B2890" s="308"/>
      <c r="C2890" s="86"/>
      <c r="D2890" s="86"/>
      <c r="E2890" s="86"/>
      <c r="F2890" s="308"/>
    </row>
    <row r="2891" spans="2:6">
      <c r="B2891" s="308"/>
      <c r="C2891" s="86"/>
      <c r="D2891" s="86"/>
      <c r="E2891" s="86"/>
      <c r="F2891" s="308"/>
    </row>
    <row r="2892" spans="2:6">
      <c r="B2892" s="308"/>
      <c r="C2892" s="86"/>
      <c r="D2892" s="86"/>
      <c r="E2892" s="86"/>
      <c r="F2892" s="308"/>
    </row>
    <row r="2893" spans="2:6">
      <c r="B2893" s="308"/>
      <c r="C2893" s="86"/>
      <c r="D2893" s="86"/>
      <c r="E2893" s="86"/>
      <c r="F2893" s="308"/>
    </row>
    <row r="2894" spans="2:6">
      <c r="B2894" s="308"/>
      <c r="C2894" s="86"/>
      <c r="D2894" s="86"/>
      <c r="E2894" s="86"/>
      <c r="F2894" s="308"/>
    </row>
    <row r="2895" spans="2:6">
      <c r="B2895" s="308"/>
      <c r="C2895" s="86"/>
      <c r="D2895" s="86"/>
      <c r="E2895" s="86"/>
      <c r="F2895" s="308"/>
    </row>
    <row r="2896" spans="2:6">
      <c r="B2896" s="308"/>
      <c r="C2896" s="86"/>
      <c r="D2896" s="86"/>
      <c r="E2896" s="86"/>
      <c r="F2896" s="308"/>
    </row>
    <row r="2897" spans="2:6">
      <c r="B2897" s="308"/>
      <c r="C2897" s="86"/>
      <c r="D2897" s="86"/>
      <c r="E2897" s="86"/>
      <c r="F2897" s="308"/>
    </row>
    <row r="2898" spans="2:6">
      <c r="B2898" s="308"/>
      <c r="C2898" s="86"/>
      <c r="D2898" s="86"/>
      <c r="E2898" s="86"/>
      <c r="F2898" s="308"/>
    </row>
    <row r="2899" spans="2:6">
      <c r="B2899" s="308"/>
      <c r="C2899" s="86"/>
      <c r="D2899" s="86"/>
      <c r="E2899" s="86"/>
      <c r="F2899" s="308"/>
    </row>
    <row r="2900" spans="2:6">
      <c r="B2900" s="308"/>
      <c r="C2900" s="86"/>
      <c r="D2900" s="86"/>
      <c r="E2900" s="86"/>
      <c r="F2900" s="308"/>
    </row>
    <row r="2901" spans="2:6">
      <c r="B2901" s="308"/>
      <c r="C2901" s="86"/>
      <c r="D2901" s="86"/>
      <c r="E2901" s="86"/>
      <c r="F2901" s="308"/>
    </row>
    <row r="2902" spans="2:6">
      <c r="B2902" s="308"/>
      <c r="C2902" s="86"/>
      <c r="D2902" s="86"/>
      <c r="E2902" s="86"/>
      <c r="F2902" s="308"/>
    </row>
    <row r="2903" spans="2:6">
      <c r="B2903" s="308"/>
      <c r="C2903" s="86"/>
      <c r="D2903" s="86"/>
      <c r="E2903" s="86"/>
      <c r="F2903" s="308"/>
    </row>
    <row r="2904" spans="2:6">
      <c r="B2904" s="308"/>
      <c r="C2904" s="86"/>
      <c r="D2904" s="86"/>
      <c r="E2904" s="86"/>
      <c r="F2904" s="308"/>
    </row>
    <row r="2905" spans="2:6">
      <c r="B2905" s="308"/>
      <c r="C2905" s="86"/>
      <c r="D2905" s="86"/>
      <c r="E2905" s="86"/>
      <c r="F2905" s="308"/>
    </row>
    <row r="2906" spans="2:6">
      <c r="B2906" s="308"/>
      <c r="C2906" s="86"/>
      <c r="D2906" s="86"/>
      <c r="E2906" s="86"/>
      <c r="F2906" s="308"/>
    </row>
    <row r="2907" spans="2:6">
      <c r="B2907" s="308"/>
      <c r="C2907" s="86"/>
      <c r="D2907" s="86"/>
      <c r="E2907" s="86"/>
      <c r="F2907" s="308"/>
    </row>
    <row r="2908" spans="2:6">
      <c r="B2908" s="308"/>
      <c r="C2908" s="86"/>
      <c r="D2908" s="86"/>
      <c r="E2908" s="86"/>
      <c r="F2908" s="308"/>
    </row>
    <row r="2909" spans="2:6">
      <c r="B2909" s="308"/>
      <c r="C2909" s="86"/>
      <c r="D2909" s="86"/>
      <c r="E2909" s="86"/>
      <c r="F2909" s="308"/>
    </row>
    <row r="2910" spans="2:6">
      <c r="B2910" s="308"/>
      <c r="C2910" s="86"/>
      <c r="D2910" s="86"/>
      <c r="E2910" s="86"/>
      <c r="F2910" s="308"/>
    </row>
    <row r="2911" spans="2:6">
      <c r="B2911" s="308"/>
      <c r="C2911" s="86"/>
      <c r="D2911" s="86"/>
      <c r="E2911" s="86"/>
      <c r="F2911" s="308"/>
    </row>
    <row r="2912" spans="2:6">
      <c r="B2912" s="308"/>
      <c r="C2912" s="86"/>
      <c r="D2912" s="86"/>
      <c r="E2912" s="86"/>
      <c r="F2912" s="308"/>
    </row>
    <row r="2913" spans="2:6">
      <c r="B2913" s="308"/>
      <c r="C2913" s="86"/>
      <c r="D2913" s="86"/>
      <c r="E2913" s="86"/>
      <c r="F2913" s="308"/>
    </row>
    <row r="2914" spans="2:6">
      <c r="B2914" s="308"/>
      <c r="C2914" s="86"/>
      <c r="D2914" s="86"/>
      <c r="E2914" s="86"/>
      <c r="F2914" s="308"/>
    </row>
    <row r="2915" spans="2:6">
      <c r="B2915" s="308"/>
      <c r="C2915" s="86"/>
      <c r="D2915" s="86"/>
      <c r="E2915" s="86"/>
      <c r="F2915" s="308"/>
    </row>
    <row r="2916" spans="2:6">
      <c r="B2916" s="308"/>
      <c r="C2916" s="86"/>
      <c r="D2916" s="86"/>
      <c r="E2916" s="86"/>
      <c r="F2916" s="308"/>
    </row>
    <row r="2917" spans="2:6">
      <c r="B2917" s="308"/>
      <c r="C2917" s="86"/>
      <c r="D2917" s="86"/>
      <c r="E2917" s="86"/>
      <c r="F2917" s="308"/>
    </row>
    <row r="2918" spans="2:6">
      <c r="B2918" s="308"/>
      <c r="C2918" s="86"/>
      <c r="D2918" s="86"/>
      <c r="E2918" s="86"/>
      <c r="F2918" s="308"/>
    </row>
    <row r="2919" spans="2:6">
      <c r="B2919" s="308"/>
      <c r="C2919" s="86"/>
      <c r="D2919" s="86"/>
      <c r="E2919" s="86"/>
      <c r="F2919" s="308"/>
    </row>
    <row r="2920" spans="2:6">
      <c r="B2920" s="308"/>
      <c r="C2920" s="86"/>
      <c r="D2920" s="86"/>
      <c r="E2920" s="86"/>
      <c r="F2920" s="308"/>
    </row>
    <row r="2921" spans="2:6">
      <c r="B2921" s="308"/>
      <c r="C2921" s="86"/>
      <c r="D2921" s="86"/>
      <c r="E2921" s="86"/>
      <c r="F2921" s="308"/>
    </row>
    <row r="2922" spans="2:6">
      <c r="B2922" s="308"/>
      <c r="C2922" s="86"/>
      <c r="D2922" s="86"/>
      <c r="E2922" s="86"/>
      <c r="F2922" s="308"/>
    </row>
    <row r="2923" spans="2:6">
      <c r="B2923" s="308"/>
      <c r="C2923" s="86"/>
      <c r="D2923" s="86"/>
      <c r="E2923" s="86"/>
      <c r="F2923" s="308"/>
    </row>
    <row r="2924" spans="2:6">
      <c r="B2924" s="308"/>
      <c r="C2924" s="86"/>
      <c r="D2924" s="86"/>
      <c r="E2924" s="86"/>
      <c r="F2924" s="308"/>
    </row>
    <row r="2925" spans="2:6">
      <c r="B2925" s="308"/>
      <c r="C2925" s="86"/>
      <c r="D2925" s="86"/>
      <c r="E2925" s="86"/>
      <c r="F2925" s="308"/>
    </row>
    <row r="2926" spans="2:6">
      <c r="B2926" s="308"/>
      <c r="C2926" s="86"/>
      <c r="D2926" s="86"/>
      <c r="E2926" s="86"/>
      <c r="F2926" s="308"/>
    </row>
    <row r="2927" spans="2:6">
      <c r="B2927" s="308"/>
      <c r="C2927" s="86"/>
      <c r="D2927" s="86"/>
      <c r="E2927" s="86"/>
      <c r="F2927" s="308"/>
    </row>
    <row r="2928" spans="2:6">
      <c r="B2928" s="308"/>
      <c r="C2928" s="86"/>
      <c r="D2928" s="86"/>
      <c r="E2928" s="86"/>
      <c r="F2928" s="308"/>
    </row>
    <row r="2929" spans="2:6">
      <c r="B2929" s="308"/>
      <c r="C2929" s="86"/>
      <c r="D2929" s="86"/>
      <c r="E2929" s="86"/>
      <c r="F2929" s="308"/>
    </row>
    <row r="2930" spans="2:6">
      <c r="B2930" s="308"/>
      <c r="C2930" s="86"/>
      <c r="D2930" s="86"/>
      <c r="E2930" s="86"/>
      <c r="F2930" s="308"/>
    </row>
    <row r="2931" spans="2:6">
      <c r="B2931" s="308"/>
      <c r="C2931" s="86"/>
      <c r="D2931" s="86"/>
      <c r="E2931" s="86"/>
      <c r="F2931" s="308"/>
    </row>
    <row r="2932" spans="2:6">
      <c r="B2932" s="308"/>
      <c r="C2932" s="86"/>
      <c r="D2932" s="86"/>
      <c r="E2932" s="86"/>
      <c r="F2932" s="308"/>
    </row>
    <row r="2933" spans="2:6">
      <c r="B2933" s="308"/>
      <c r="C2933" s="86"/>
      <c r="D2933" s="86"/>
      <c r="E2933" s="86"/>
      <c r="F2933" s="308"/>
    </row>
    <row r="2934" spans="2:6">
      <c r="B2934" s="308"/>
      <c r="C2934" s="86"/>
      <c r="D2934" s="86"/>
      <c r="E2934" s="86"/>
      <c r="F2934" s="308"/>
    </row>
    <row r="2935" spans="2:6">
      <c r="B2935" s="308"/>
      <c r="C2935" s="86"/>
      <c r="D2935" s="86"/>
      <c r="E2935" s="86"/>
      <c r="F2935" s="308"/>
    </row>
    <row r="2936" spans="2:6">
      <c r="B2936" s="308"/>
      <c r="C2936" s="86"/>
      <c r="D2936" s="86"/>
      <c r="E2936" s="86"/>
      <c r="F2936" s="308"/>
    </row>
    <row r="2937" spans="2:6">
      <c r="B2937" s="308"/>
      <c r="C2937" s="86"/>
      <c r="D2937" s="86"/>
      <c r="E2937" s="86"/>
      <c r="F2937" s="308"/>
    </row>
    <row r="2938" spans="2:6">
      <c r="B2938" s="308"/>
      <c r="C2938" s="86"/>
      <c r="D2938" s="86"/>
      <c r="E2938" s="86"/>
      <c r="F2938" s="308"/>
    </row>
    <row r="2939" spans="2:6">
      <c r="B2939" s="308"/>
      <c r="C2939" s="86"/>
      <c r="D2939" s="86"/>
      <c r="E2939" s="86"/>
      <c r="F2939" s="308"/>
    </row>
    <row r="2940" spans="2:6">
      <c r="B2940" s="308"/>
      <c r="C2940" s="86"/>
      <c r="D2940" s="86"/>
      <c r="E2940" s="86"/>
      <c r="F2940" s="308"/>
    </row>
    <row r="2941" spans="2:6">
      <c r="B2941" s="308"/>
      <c r="C2941" s="86"/>
      <c r="D2941" s="86"/>
      <c r="E2941" s="86"/>
      <c r="F2941" s="308"/>
    </row>
    <row r="2942" spans="2:6">
      <c r="B2942" s="308"/>
      <c r="C2942" s="86"/>
      <c r="D2942" s="86"/>
      <c r="E2942" s="86"/>
      <c r="F2942" s="308"/>
    </row>
    <row r="2943" spans="2:6">
      <c r="B2943" s="308"/>
      <c r="C2943" s="86"/>
      <c r="D2943" s="86"/>
      <c r="E2943" s="86"/>
      <c r="F2943" s="308"/>
    </row>
    <row r="2944" spans="2:6">
      <c r="B2944" s="308"/>
      <c r="C2944" s="86"/>
      <c r="D2944" s="86"/>
      <c r="E2944" s="86"/>
      <c r="F2944" s="308"/>
    </row>
    <row r="2945" spans="2:6">
      <c r="B2945" s="308"/>
      <c r="C2945" s="86"/>
      <c r="D2945" s="86"/>
      <c r="E2945" s="86"/>
      <c r="F2945" s="308"/>
    </row>
    <row r="2946" spans="2:6">
      <c r="B2946" s="308"/>
      <c r="C2946" s="86"/>
      <c r="D2946" s="86"/>
      <c r="E2946" s="86"/>
      <c r="F2946" s="308"/>
    </row>
    <row r="2947" spans="2:6">
      <c r="B2947" s="308"/>
      <c r="C2947" s="86"/>
      <c r="D2947" s="86"/>
      <c r="E2947" s="86"/>
      <c r="F2947" s="308"/>
    </row>
    <row r="2948" spans="2:6">
      <c r="B2948" s="308"/>
      <c r="C2948" s="86"/>
      <c r="D2948" s="86"/>
      <c r="E2948" s="86"/>
      <c r="F2948" s="308"/>
    </row>
    <row r="2949" spans="2:6">
      <c r="B2949" s="308"/>
      <c r="C2949" s="86"/>
      <c r="D2949" s="86"/>
      <c r="E2949" s="86"/>
      <c r="F2949" s="308"/>
    </row>
    <row r="2950" spans="2:6">
      <c r="B2950" s="308"/>
      <c r="C2950" s="86"/>
      <c r="D2950" s="86"/>
      <c r="E2950" s="86"/>
      <c r="F2950" s="308"/>
    </row>
    <row r="2951" spans="2:6">
      <c r="B2951" s="308"/>
      <c r="C2951" s="86"/>
      <c r="D2951" s="86"/>
      <c r="E2951" s="86"/>
      <c r="F2951" s="308"/>
    </row>
    <row r="2952" spans="2:6">
      <c r="B2952" s="308"/>
      <c r="C2952" s="86"/>
      <c r="D2952" s="86"/>
      <c r="E2952" s="86"/>
      <c r="F2952" s="308"/>
    </row>
    <row r="2953" spans="2:6">
      <c r="B2953" s="308"/>
      <c r="C2953" s="86"/>
      <c r="D2953" s="86"/>
      <c r="E2953" s="86"/>
      <c r="F2953" s="308"/>
    </row>
    <row r="2954" spans="2:6">
      <c r="B2954" s="308"/>
      <c r="C2954" s="86"/>
      <c r="D2954" s="86"/>
      <c r="E2954" s="86"/>
      <c r="F2954" s="308"/>
    </row>
    <row r="2955" spans="2:6">
      <c r="B2955" s="308"/>
      <c r="C2955" s="86"/>
      <c r="D2955" s="86"/>
      <c r="E2955" s="86"/>
      <c r="F2955" s="308"/>
    </row>
    <row r="2956" spans="2:6">
      <c r="B2956" s="308"/>
      <c r="C2956" s="86"/>
      <c r="D2956" s="86"/>
      <c r="E2956" s="86"/>
      <c r="F2956" s="308"/>
    </row>
    <row r="2957" spans="2:6">
      <c r="B2957" s="308"/>
      <c r="C2957" s="86"/>
      <c r="D2957" s="86"/>
      <c r="E2957" s="86"/>
      <c r="F2957" s="308"/>
    </row>
    <row r="2958" spans="2:6">
      <c r="B2958" s="308"/>
      <c r="C2958" s="86"/>
      <c r="D2958" s="86"/>
      <c r="E2958" s="86"/>
      <c r="F2958" s="308"/>
    </row>
    <row r="2959" spans="2:6">
      <c r="B2959" s="308"/>
      <c r="C2959" s="86"/>
      <c r="D2959" s="86"/>
      <c r="E2959" s="86"/>
      <c r="F2959" s="308"/>
    </row>
    <row r="2960" spans="2:6">
      <c r="B2960" s="308"/>
      <c r="C2960" s="86"/>
      <c r="D2960" s="86"/>
      <c r="E2960" s="86"/>
      <c r="F2960" s="308"/>
    </row>
    <row r="2961" spans="2:6">
      <c r="B2961" s="308"/>
      <c r="C2961" s="86"/>
      <c r="D2961" s="86"/>
      <c r="E2961" s="86"/>
      <c r="F2961" s="308"/>
    </row>
    <row r="2962" spans="2:6">
      <c r="B2962" s="308"/>
      <c r="C2962" s="86"/>
      <c r="D2962" s="86"/>
      <c r="E2962" s="86"/>
      <c r="F2962" s="308"/>
    </row>
    <row r="2963" spans="2:6">
      <c r="B2963" s="308"/>
      <c r="C2963" s="86"/>
      <c r="D2963" s="86"/>
      <c r="E2963" s="86"/>
      <c r="F2963" s="308"/>
    </row>
    <row r="2964" spans="2:6">
      <c r="B2964" s="308"/>
      <c r="C2964" s="86"/>
      <c r="D2964" s="86"/>
      <c r="E2964" s="86"/>
      <c r="F2964" s="308"/>
    </row>
    <row r="2965" spans="2:6">
      <c r="B2965" s="308"/>
      <c r="C2965" s="86"/>
      <c r="D2965" s="86"/>
      <c r="E2965" s="86"/>
      <c r="F2965" s="308"/>
    </row>
    <row r="2966" spans="2:6">
      <c r="B2966" s="308"/>
      <c r="C2966" s="86"/>
      <c r="D2966" s="86"/>
      <c r="E2966" s="86"/>
      <c r="F2966" s="308"/>
    </row>
    <row r="2967" spans="2:6">
      <c r="B2967" s="308"/>
      <c r="C2967" s="86"/>
      <c r="D2967" s="86"/>
      <c r="E2967" s="86"/>
      <c r="F2967" s="308"/>
    </row>
    <row r="2968" spans="2:6">
      <c r="B2968" s="308"/>
      <c r="C2968" s="86"/>
      <c r="D2968" s="86"/>
      <c r="E2968" s="86"/>
      <c r="F2968" s="308"/>
    </row>
    <row r="2969" spans="2:6">
      <c r="B2969" s="308"/>
      <c r="C2969" s="86"/>
      <c r="D2969" s="86"/>
      <c r="E2969" s="86"/>
      <c r="F2969" s="308"/>
    </row>
    <row r="2970" spans="2:6">
      <c r="B2970" s="308"/>
      <c r="C2970" s="86"/>
      <c r="D2970" s="86"/>
      <c r="E2970" s="86"/>
      <c r="F2970" s="308"/>
    </row>
    <row r="2971" spans="2:6">
      <c r="B2971" s="308"/>
      <c r="C2971" s="86"/>
      <c r="D2971" s="86"/>
      <c r="E2971" s="86"/>
      <c r="F2971" s="308"/>
    </row>
    <row r="2972" spans="2:6">
      <c r="B2972" s="308"/>
      <c r="C2972" s="86"/>
      <c r="D2972" s="86"/>
      <c r="E2972" s="86"/>
      <c r="F2972" s="308"/>
    </row>
    <row r="2973" spans="2:6">
      <c r="B2973" s="308"/>
      <c r="C2973" s="86"/>
      <c r="D2973" s="86"/>
      <c r="E2973" s="86"/>
      <c r="F2973" s="308"/>
    </row>
    <row r="2974" spans="2:6">
      <c r="B2974" s="308"/>
      <c r="C2974" s="86"/>
      <c r="D2974" s="86"/>
      <c r="E2974" s="86"/>
      <c r="F2974" s="308"/>
    </row>
    <row r="2975" spans="2:6">
      <c r="B2975" s="308"/>
      <c r="C2975" s="86"/>
      <c r="D2975" s="86"/>
      <c r="E2975" s="86"/>
      <c r="F2975" s="308"/>
    </row>
    <row r="2976" spans="2:6">
      <c r="B2976" s="308"/>
      <c r="C2976" s="86"/>
      <c r="D2976" s="86"/>
      <c r="E2976" s="86"/>
      <c r="F2976" s="308"/>
    </row>
    <row r="2977" spans="2:6">
      <c r="B2977" s="308"/>
      <c r="C2977" s="86"/>
      <c r="D2977" s="86"/>
      <c r="E2977" s="86"/>
      <c r="F2977" s="308"/>
    </row>
    <row r="2978" spans="2:6">
      <c r="B2978" s="308"/>
      <c r="C2978" s="86"/>
      <c r="D2978" s="86"/>
      <c r="E2978" s="86"/>
      <c r="F2978" s="308"/>
    </row>
    <row r="2979" spans="2:6">
      <c r="B2979" s="308"/>
      <c r="C2979" s="86"/>
      <c r="D2979" s="86"/>
      <c r="E2979" s="86"/>
      <c r="F2979" s="308"/>
    </row>
    <row r="2980" spans="2:6">
      <c r="B2980" s="308"/>
      <c r="C2980" s="86"/>
      <c r="D2980" s="86"/>
      <c r="E2980" s="86"/>
      <c r="F2980" s="308"/>
    </row>
    <row r="2981" spans="2:6">
      <c r="B2981" s="308"/>
      <c r="C2981" s="86"/>
      <c r="D2981" s="86"/>
      <c r="E2981" s="86"/>
      <c r="F2981" s="308"/>
    </row>
    <row r="2982" spans="2:6">
      <c r="B2982" s="308"/>
      <c r="C2982" s="86"/>
      <c r="D2982" s="86"/>
      <c r="E2982" s="86"/>
      <c r="F2982" s="308"/>
    </row>
    <row r="2983" spans="2:6">
      <c r="B2983" s="308"/>
      <c r="C2983" s="86"/>
      <c r="D2983" s="86"/>
      <c r="E2983" s="86"/>
      <c r="F2983" s="308"/>
    </row>
    <row r="2984" spans="2:6">
      <c r="B2984" s="308"/>
      <c r="C2984" s="86"/>
      <c r="D2984" s="86"/>
      <c r="E2984" s="86"/>
      <c r="F2984" s="308"/>
    </row>
    <row r="2985" spans="2:6">
      <c r="B2985" s="308"/>
      <c r="C2985" s="86"/>
      <c r="D2985" s="86"/>
      <c r="E2985" s="86"/>
      <c r="F2985" s="308"/>
    </row>
    <row r="2986" spans="2:6">
      <c r="B2986" s="308"/>
      <c r="C2986" s="86"/>
      <c r="D2986" s="86"/>
      <c r="E2986" s="86"/>
      <c r="F2986" s="308"/>
    </row>
    <row r="2987" spans="2:6">
      <c r="B2987" s="308"/>
      <c r="C2987" s="86"/>
      <c r="D2987" s="86"/>
      <c r="E2987" s="86"/>
      <c r="F2987" s="308"/>
    </row>
    <row r="2988" spans="2:6">
      <c r="B2988" s="308"/>
      <c r="C2988" s="86"/>
      <c r="D2988" s="86"/>
      <c r="E2988" s="86"/>
      <c r="F2988" s="308"/>
    </row>
    <row r="2989" spans="2:6">
      <c r="B2989" s="308"/>
      <c r="C2989" s="86"/>
      <c r="D2989" s="86"/>
      <c r="E2989" s="86"/>
      <c r="F2989" s="308"/>
    </row>
    <row r="2990" spans="2:6">
      <c r="B2990" s="308"/>
      <c r="C2990" s="86"/>
      <c r="D2990" s="86"/>
      <c r="E2990" s="86"/>
      <c r="F2990" s="308"/>
    </row>
    <row r="2991" spans="2:6">
      <c r="B2991" s="308"/>
      <c r="C2991" s="86"/>
      <c r="D2991" s="86"/>
      <c r="E2991" s="86"/>
      <c r="F2991" s="308"/>
    </row>
    <row r="2992" spans="2:6">
      <c r="B2992" s="308"/>
      <c r="C2992" s="86"/>
      <c r="D2992" s="86"/>
      <c r="E2992" s="86"/>
      <c r="F2992" s="308"/>
    </row>
    <row r="2993" spans="2:6">
      <c r="B2993" s="308"/>
      <c r="C2993" s="86"/>
      <c r="D2993" s="86"/>
      <c r="E2993" s="86"/>
      <c r="F2993" s="308"/>
    </row>
    <row r="2994" spans="2:6">
      <c r="B2994" s="308"/>
      <c r="C2994" s="86"/>
      <c r="D2994" s="86"/>
      <c r="E2994" s="86"/>
      <c r="F2994" s="308"/>
    </row>
    <row r="2995" spans="2:6">
      <c r="B2995" s="308"/>
      <c r="C2995" s="86"/>
      <c r="D2995" s="86"/>
      <c r="E2995" s="86"/>
      <c r="F2995" s="308"/>
    </row>
    <row r="2996" spans="2:6">
      <c r="B2996" s="308"/>
      <c r="C2996" s="86"/>
      <c r="D2996" s="86"/>
      <c r="E2996" s="86"/>
      <c r="F2996" s="308"/>
    </row>
    <row r="2997" spans="2:6">
      <c r="B2997" s="308"/>
      <c r="C2997" s="86"/>
      <c r="D2997" s="86"/>
      <c r="E2997" s="86"/>
      <c r="F2997" s="308"/>
    </row>
    <row r="2998" spans="2:6">
      <c r="B2998" s="308"/>
      <c r="C2998" s="86"/>
      <c r="D2998" s="86"/>
      <c r="E2998" s="86"/>
      <c r="F2998" s="308"/>
    </row>
    <row r="2999" spans="2:6">
      <c r="B2999" s="308"/>
      <c r="C2999" s="86"/>
      <c r="D2999" s="86"/>
      <c r="E2999" s="86"/>
      <c r="F2999" s="308"/>
    </row>
    <row r="3000" spans="2:6">
      <c r="B3000" s="308"/>
      <c r="C3000" s="86"/>
      <c r="D3000" s="86"/>
      <c r="E3000" s="86"/>
      <c r="F3000" s="308"/>
    </row>
    <row r="3001" spans="2:6">
      <c r="B3001" s="308"/>
      <c r="C3001" s="86"/>
      <c r="D3001" s="86"/>
      <c r="E3001" s="86"/>
      <c r="F3001" s="308"/>
    </row>
    <row r="3002" spans="2:6">
      <c r="B3002" s="308"/>
      <c r="C3002" s="86"/>
      <c r="D3002" s="86"/>
      <c r="E3002" s="86"/>
      <c r="F3002" s="308"/>
    </row>
    <row r="3003" spans="2:6">
      <c r="B3003" s="308"/>
      <c r="C3003" s="86"/>
      <c r="D3003" s="86"/>
      <c r="E3003" s="86"/>
      <c r="F3003" s="308"/>
    </row>
    <row r="3004" spans="2:6">
      <c r="B3004" s="308"/>
      <c r="C3004" s="86"/>
      <c r="D3004" s="86"/>
      <c r="E3004" s="86"/>
      <c r="F3004" s="308"/>
    </row>
    <row r="3005" spans="2:6">
      <c r="B3005" s="308"/>
      <c r="C3005" s="86"/>
      <c r="D3005" s="86"/>
      <c r="E3005" s="86"/>
      <c r="F3005" s="308"/>
    </row>
    <row r="3006" spans="2:6">
      <c r="B3006" s="308"/>
      <c r="C3006" s="86"/>
      <c r="D3006" s="86"/>
      <c r="E3006" s="86"/>
      <c r="F3006" s="308"/>
    </row>
    <row r="3007" spans="2:6">
      <c r="B3007" s="308"/>
      <c r="C3007" s="86"/>
      <c r="D3007" s="86"/>
      <c r="E3007" s="86"/>
      <c r="F3007" s="308"/>
    </row>
    <row r="3008" spans="2:6">
      <c r="B3008" s="308"/>
      <c r="C3008" s="86"/>
      <c r="D3008" s="86"/>
      <c r="E3008" s="86"/>
      <c r="F3008" s="308"/>
    </row>
    <row r="3009" spans="2:6">
      <c r="B3009" s="308"/>
      <c r="C3009" s="86"/>
      <c r="D3009" s="86"/>
      <c r="E3009" s="86"/>
      <c r="F3009" s="308"/>
    </row>
    <row r="3010" spans="2:6">
      <c r="B3010" s="308"/>
      <c r="C3010" s="86"/>
      <c r="D3010" s="86"/>
      <c r="E3010" s="86"/>
      <c r="F3010" s="308"/>
    </row>
    <row r="3011" spans="2:6">
      <c r="B3011" s="308"/>
      <c r="C3011" s="86"/>
      <c r="D3011" s="86"/>
      <c r="E3011" s="86"/>
      <c r="F3011" s="308"/>
    </row>
    <row r="3012" spans="2:6">
      <c r="B3012" s="308"/>
      <c r="C3012" s="86"/>
      <c r="D3012" s="86"/>
      <c r="E3012" s="86"/>
      <c r="F3012" s="308"/>
    </row>
    <row r="3013" spans="2:6">
      <c r="B3013" s="308"/>
      <c r="C3013" s="86"/>
      <c r="D3013" s="86"/>
      <c r="E3013" s="86"/>
      <c r="F3013" s="308"/>
    </row>
    <row r="3014" spans="2:6">
      <c r="B3014" s="308"/>
      <c r="C3014" s="86"/>
      <c r="D3014" s="86"/>
      <c r="E3014" s="86"/>
      <c r="F3014" s="308"/>
    </row>
    <row r="3015" spans="2:6">
      <c r="B3015" s="308"/>
      <c r="C3015" s="86"/>
      <c r="D3015" s="86"/>
      <c r="E3015" s="86"/>
      <c r="F3015" s="308"/>
    </row>
    <row r="3016" spans="2:6">
      <c r="B3016" s="308"/>
      <c r="C3016" s="86"/>
      <c r="D3016" s="86"/>
      <c r="E3016" s="86"/>
      <c r="F3016" s="308"/>
    </row>
    <row r="3017" spans="2:6">
      <c r="B3017" s="308"/>
      <c r="C3017" s="86"/>
      <c r="D3017" s="86"/>
      <c r="E3017" s="86"/>
      <c r="F3017" s="308"/>
    </row>
    <row r="3018" spans="2:6">
      <c r="B3018" s="308"/>
      <c r="C3018" s="86"/>
      <c r="D3018" s="86"/>
      <c r="E3018" s="86"/>
      <c r="F3018" s="308"/>
    </row>
    <row r="3019" spans="2:6">
      <c r="B3019" s="308"/>
      <c r="C3019" s="86"/>
      <c r="D3019" s="86"/>
      <c r="E3019" s="86"/>
      <c r="F3019" s="308"/>
    </row>
    <row r="3020" spans="2:6">
      <c r="B3020" s="308"/>
      <c r="C3020" s="86"/>
      <c r="D3020" s="86"/>
      <c r="E3020" s="86"/>
      <c r="F3020" s="308"/>
    </row>
    <row r="3021" spans="2:6">
      <c r="B3021" s="308"/>
      <c r="C3021" s="86"/>
      <c r="D3021" s="86"/>
      <c r="E3021" s="86"/>
      <c r="F3021" s="308"/>
    </row>
    <row r="3022" spans="2:6">
      <c r="B3022" s="308"/>
      <c r="C3022" s="86"/>
      <c r="D3022" s="86"/>
      <c r="E3022" s="86"/>
      <c r="F3022" s="308"/>
    </row>
    <row r="3023" spans="2:6">
      <c r="B3023" s="308"/>
      <c r="C3023" s="86"/>
      <c r="D3023" s="86"/>
      <c r="E3023" s="86"/>
      <c r="F3023" s="308"/>
    </row>
    <row r="3024" spans="2:6">
      <c r="B3024" s="308"/>
      <c r="C3024" s="86"/>
      <c r="D3024" s="86"/>
      <c r="E3024" s="86"/>
      <c r="F3024" s="308"/>
    </row>
    <row r="3025" spans="2:6">
      <c r="B3025" s="308"/>
      <c r="C3025" s="86"/>
      <c r="D3025" s="86"/>
      <c r="E3025" s="86"/>
      <c r="F3025" s="308"/>
    </row>
    <row r="3026" spans="2:6">
      <c r="B3026" s="308"/>
      <c r="C3026" s="86"/>
      <c r="D3026" s="86"/>
      <c r="E3026" s="86"/>
      <c r="F3026" s="308"/>
    </row>
    <row r="3027" spans="2:6">
      <c r="B3027" s="308"/>
      <c r="C3027" s="86"/>
      <c r="D3027" s="86"/>
      <c r="E3027" s="86"/>
      <c r="F3027" s="308"/>
    </row>
    <row r="3028" spans="2:6">
      <c r="B3028" s="308"/>
      <c r="C3028" s="86"/>
      <c r="D3028" s="86"/>
      <c r="E3028" s="86"/>
      <c r="F3028" s="308"/>
    </row>
    <row r="3029" spans="2:6">
      <c r="B3029" s="308"/>
      <c r="C3029" s="86"/>
      <c r="D3029" s="86"/>
      <c r="E3029" s="86"/>
      <c r="F3029" s="308"/>
    </row>
    <row r="3030" spans="2:6">
      <c r="B3030" s="308"/>
      <c r="C3030" s="86"/>
      <c r="D3030" s="86"/>
      <c r="E3030" s="86"/>
      <c r="F3030" s="308"/>
    </row>
    <row r="3031" spans="2:6">
      <c r="B3031" s="308"/>
      <c r="C3031" s="86"/>
      <c r="D3031" s="86"/>
      <c r="E3031" s="86"/>
      <c r="F3031" s="308"/>
    </row>
    <row r="3032" spans="2:6">
      <c r="B3032" s="308"/>
      <c r="C3032" s="86"/>
      <c r="D3032" s="86"/>
      <c r="E3032" s="86"/>
      <c r="F3032" s="308"/>
    </row>
    <row r="3033" spans="2:6">
      <c r="B3033" s="308"/>
      <c r="C3033" s="86"/>
      <c r="D3033" s="86"/>
      <c r="E3033" s="86"/>
      <c r="F3033" s="308"/>
    </row>
    <row r="3034" spans="2:6">
      <c r="B3034" s="308"/>
      <c r="C3034" s="86"/>
      <c r="D3034" s="86"/>
      <c r="E3034" s="86"/>
      <c r="F3034" s="308"/>
    </row>
    <row r="3035" spans="2:6">
      <c r="B3035" s="308"/>
      <c r="C3035" s="86"/>
      <c r="D3035" s="86"/>
      <c r="E3035" s="86"/>
      <c r="F3035" s="308"/>
    </row>
    <row r="3036" spans="2:6">
      <c r="B3036" s="308"/>
      <c r="C3036" s="86"/>
      <c r="D3036" s="86"/>
      <c r="E3036" s="86"/>
      <c r="F3036" s="308"/>
    </row>
    <row r="3037" spans="2:6">
      <c r="B3037" s="308"/>
      <c r="C3037" s="86"/>
      <c r="D3037" s="86"/>
      <c r="E3037" s="86"/>
      <c r="F3037" s="308"/>
    </row>
    <row r="3038" spans="2:6">
      <c r="B3038" s="308"/>
      <c r="C3038" s="86"/>
      <c r="D3038" s="86"/>
      <c r="E3038" s="86"/>
      <c r="F3038" s="308"/>
    </row>
    <row r="3039" spans="2:6">
      <c r="B3039" s="308"/>
      <c r="C3039" s="86"/>
      <c r="D3039" s="86"/>
      <c r="E3039" s="86"/>
      <c r="F3039" s="308"/>
    </row>
    <row r="3040" spans="2:6">
      <c r="B3040" s="308"/>
      <c r="C3040" s="86"/>
      <c r="D3040" s="86"/>
      <c r="E3040" s="86"/>
      <c r="F3040" s="308"/>
    </row>
    <row r="3041" spans="2:6">
      <c r="B3041" s="308"/>
      <c r="C3041" s="86"/>
      <c r="D3041" s="86"/>
      <c r="E3041" s="86"/>
      <c r="F3041" s="308"/>
    </row>
    <row r="3042" spans="2:6">
      <c r="B3042" s="308"/>
      <c r="C3042" s="86"/>
      <c r="D3042" s="86"/>
      <c r="E3042" s="86"/>
      <c r="F3042" s="308"/>
    </row>
    <row r="3043" spans="2:6">
      <c r="B3043" s="308"/>
      <c r="C3043" s="86"/>
      <c r="D3043" s="86"/>
      <c r="E3043" s="86"/>
      <c r="F3043" s="308"/>
    </row>
    <row r="3044" spans="2:6">
      <c r="B3044" s="308"/>
      <c r="C3044" s="86"/>
      <c r="D3044" s="86"/>
      <c r="E3044" s="86"/>
      <c r="F3044" s="308"/>
    </row>
    <row r="3045" spans="2:6">
      <c r="B3045" s="308"/>
      <c r="C3045" s="86"/>
      <c r="D3045" s="86"/>
      <c r="E3045" s="86"/>
      <c r="F3045" s="308"/>
    </row>
    <row r="3046" spans="2:6">
      <c r="B3046" s="308"/>
      <c r="C3046" s="86"/>
      <c r="D3046" s="86"/>
      <c r="E3046" s="86"/>
      <c r="F3046" s="308"/>
    </row>
    <row r="3047" spans="2:6">
      <c r="B3047" s="308"/>
      <c r="C3047" s="86"/>
      <c r="D3047" s="86"/>
      <c r="E3047" s="86"/>
      <c r="F3047" s="308"/>
    </row>
    <row r="3048" spans="2:6">
      <c r="B3048" s="308"/>
      <c r="C3048" s="86"/>
      <c r="D3048" s="86"/>
      <c r="E3048" s="86"/>
      <c r="F3048" s="308"/>
    </row>
    <row r="3049" spans="2:6">
      <c r="B3049" s="308"/>
      <c r="C3049" s="86"/>
      <c r="D3049" s="86"/>
      <c r="E3049" s="86"/>
      <c r="F3049" s="308"/>
    </row>
    <row r="3050" spans="2:6">
      <c r="B3050" s="308"/>
      <c r="C3050" s="86"/>
      <c r="D3050" s="86"/>
      <c r="E3050" s="86"/>
      <c r="F3050" s="308"/>
    </row>
    <row r="3051" spans="2:6">
      <c r="B3051" s="308"/>
      <c r="C3051" s="86"/>
      <c r="D3051" s="86"/>
      <c r="E3051" s="86"/>
      <c r="F3051" s="308"/>
    </row>
    <row r="3052" spans="2:6">
      <c r="B3052" s="308"/>
      <c r="C3052" s="86"/>
      <c r="D3052" s="86"/>
      <c r="E3052" s="86"/>
      <c r="F3052" s="308"/>
    </row>
    <row r="3053" spans="2:6">
      <c r="B3053" s="308"/>
      <c r="C3053" s="86"/>
      <c r="D3053" s="86"/>
      <c r="E3053" s="86"/>
      <c r="F3053" s="308"/>
    </row>
    <row r="3054" spans="2:6">
      <c r="B3054" s="308"/>
      <c r="C3054" s="86"/>
      <c r="D3054" s="86"/>
      <c r="E3054" s="86"/>
      <c r="F3054" s="308"/>
    </row>
    <row r="3055" spans="2:6">
      <c r="B3055" s="308"/>
      <c r="C3055" s="86"/>
      <c r="D3055" s="86"/>
      <c r="E3055" s="86"/>
      <c r="F3055" s="308"/>
    </row>
    <row r="3056" spans="2:6">
      <c r="B3056" s="308"/>
      <c r="C3056" s="86"/>
      <c r="D3056" s="86"/>
      <c r="E3056" s="86"/>
      <c r="F3056" s="308"/>
    </row>
    <row r="3057" spans="2:6">
      <c r="B3057" s="308"/>
      <c r="C3057" s="86"/>
      <c r="D3057" s="86"/>
      <c r="E3057" s="86"/>
      <c r="F3057" s="308"/>
    </row>
    <row r="3058" spans="2:6">
      <c r="B3058" s="308"/>
      <c r="C3058" s="86"/>
      <c r="D3058" s="86"/>
      <c r="E3058" s="86"/>
      <c r="F3058" s="308"/>
    </row>
    <row r="3059" spans="2:6">
      <c r="B3059" s="308"/>
      <c r="C3059" s="86"/>
      <c r="D3059" s="86"/>
      <c r="E3059" s="86"/>
      <c r="F3059" s="308"/>
    </row>
    <row r="3060" spans="2:6">
      <c r="B3060" s="308"/>
      <c r="C3060" s="86"/>
      <c r="D3060" s="86"/>
      <c r="E3060" s="86"/>
      <c r="F3060" s="308"/>
    </row>
    <row r="3061" spans="2:6">
      <c r="B3061" s="308"/>
      <c r="C3061" s="86"/>
      <c r="D3061" s="86"/>
      <c r="E3061" s="86"/>
      <c r="F3061" s="308"/>
    </row>
    <row r="3062" spans="2:6">
      <c r="B3062" s="308"/>
      <c r="C3062" s="86"/>
      <c r="D3062" s="86"/>
      <c r="E3062" s="86"/>
      <c r="F3062" s="308"/>
    </row>
    <row r="3063" spans="2:6">
      <c r="B3063" s="308"/>
      <c r="C3063" s="86"/>
      <c r="D3063" s="86"/>
      <c r="E3063" s="86"/>
      <c r="F3063" s="308"/>
    </row>
    <row r="3064" spans="2:6">
      <c r="B3064" s="308"/>
      <c r="C3064" s="86"/>
      <c r="D3064" s="86"/>
      <c r="E3064" s="86"/>
      <c r="F3064" s="308"/>
    </row>
    <row r="3065" spans="2:6">
      <c r="B3065" s="308"/>
      <c r="C3065" s="86"/>
      <c r="D3065" s="86"/>
      <c r="E3065" s="86"/>
      <c r="F3065" s="308"/>
    </row>
    <row r="3066" spans="2:6">
      <c r="B3066" s="308"/>
      <c r="C3066" s="86"/>
      <c r="D3066" s="86"/>
      <c r="E3066" s="86"/>
      <c r="F3066" s="308"/>
    </row>
    <row r="3067" spans="2:6">
      <c r="B3067" s="308"/>
      <c r="C3067" s="86"/>
      <c r="D3067" s="86"/>
      <c r="E3067" s="86"/>
      <c r="F3067" s="308"/>
    </row>
    <row r="3068" spans="2:6">
      <c r="B3068" s="308"/>
      <c r="C3068" s="86"/>
      <c r="D3068" s="86"/>
      <c r="E3068" s="86"/>
      <c r="F3068" s="308"/>
    </row>
    <row r="3069" spans="2:6">
      <c r="B3069" s="308"/>
      <c r="C3069" s="86"/>
      <c r="D3069" s="86"/>
      <c r="E3069" s="86"/>
      <c r="F3069" s="308"/>
    </row>
    <row r="3070" spans="2:6">
      <c r="B3070" s="308"/>
      <c r="C3070" s="86"/>
      <c r="D3070" s="86"/>
      <c r="E3070" s="86"/>
      <c r="F3070" s="308"/>
    </row>
    <row r="3071" spans="2:6">
      <c r="B3071" s="308"/>
      <c r="C3071" s="86"/>
      <c r="D3071" s="86"/>
      <c r="E3071" s="86"/>
      <c r="F3071" s="308"/>
    </row>
    <row r="3072" spans="2:6">
      <c r="B3072" s="308"/>
      <c r="C3072" s="86"/>
      <c r="D3072" s="86"/>
      <c r="E3072" s="86"/>
      <c r="F3072" s="308"/>
    </row>
    <row r="3073" spans="2:6">
      <c r="B3073" s="308"/>
      <c r="C3073" s="86"/>
      <c r="D3073" s="86"/>
      <c r="E3073" s="86"/>
      <c r="F3073" s="308"/>
    </row>
    <row r="3074" spans="2:6">
      <c r="B3074" s="308"/>
      <c r="C3074" s="86"/>
      <c r="D3074" s="86"/>
      <c r="E3074" s="86"/>
      <c r="F3074" s="308"/>
    </row>
    <row r="3075" spans="2:6">
      <c r="B3075" s="308"/>
      <c r="C3075" s="86"/>
      <c r="D3075" s="86"/>
      <c r="E3075" s="86"/>
      <c r="F3075" s="308"/>
    </row>
    <row r="3076" spans="2:6">
      <c r="B3076" s="308"/>
      <c r="C3076" s="86"/>
      <c r="D3076" s="86"/>
      <c r="E3076" s="86"/>
      <c r="F3076" s="308"/>
    </row>
    <row r="3077" spans="2:6">
      <c r="B3077" s="308"/>
      <c r="C3077" s="86"/>
      <c r="D3077" s="86"/>
      <c r="E3077" s="86"/>
      <c r="F3077" s="308"/>
    </row>
    <row r="3078" spans="2:6">
      <c r="B3078" s="308"/>
      <c r="C3078" s="86"/>
      <c r="D3078" s="86"/>
      <c r="E3078" s="86"/>
      <c r="F3078" s="308"/>
    </row>
    <row r="3079" spans="2:6">
      <c r="B3079" s="308"/>
      <c r="C3079" s="86"/>
      <c r="D3079" s="86"/>
      <c r="E3079" s="86"/>
      <c r="F3079" s="308"/>
    </row>
    <row r="3080" spans="2:6">
      <c r="B3080" s="308"/>
      <c r="C3080" s="86"/>
      <c r="D3080" s="86"/>
      <c r="E3080" s="86"/>
      <c r="F3080" s="308"/>
    </row>
    <row r="3081" spans="2:6">
      <c r="B3081" s="308"/>
      <c r="C3081" s="86"/>
      <c r="D3081" s="86"/>
      <c r="E3081" s="86"/>
      <c r="F3081" s="308"/>
    </row>
    <row r="3082" spans="2:6">
      <c r="B3082" s="308"/>
      <c r="C3082" s="86"/>
      <c r="D3082" s="86"/>
      <c r="E3082" s="86"/>
      <c r="F3082" s="308"/>
    </row>
    <row r="3083" spans="2:6">
      <c r="B3083" s="308"/>
      <c r="C3083" s="86"/>
      <c r="D3083" s="86"/>
      <c r="E3083" s="86"/>
      <c r="F3083" s="308"/>
    </row>
    <row r="3084" spans="2:6">
      <c r="B3084" s="308"/>
      <c r="C3084" s="86"/>
      <c r="D3084" s="86"/>
      <c r="E3084" s="86"/>
      <c r="F3084" s="308"/>
    </row>
    <row r="3085" spans="2:6">
      <c r="B3085" s="308"/>
      <c r="C3085" s="86"/>
      <c r="D3085" s="86"/>
      <c r="E3085" s="86"/>
      <c r="F3085" s="308"/>
    </row>
    <row r="3086" spans="2:6">
      <c r="B3086" s="308"/>
      <c r="C3086" s="86"/>
      <c r="D3086" s="86"/>
      <c r="E3086" s="86"/>
      <c r="F3086" s="308"/>
    </row>
    <row r="3087" spans="2:6">
      <c r="B3087" s="308"/>
      <c r="C3087" s="86"/>
      <c r="D3087" s="86"/>
      <c r="E3087" s="86"/>
      <c r="F3087" s="308"/>
    </row>
    <row r="3088" spans="2:6">
      <c r="B3088" s="308"/>
      <c r="C3088" s="86"/>
      <c r="D3088" s="86"/>
      <c r="E3088" s="86"/>
      <c r="F3088" s="308"/>
    </row>
    <row r="3089" spans="2:6">
      <c r="B3089" s="308"/>
      <c r="C3089" s="86"/>
      <c r="D3089" s="86"/>
      <c r="E3089" s="86"/>
      <c r="F3089" s="308"/>
    </row>
    <row r="3090" spans="2:6">
      <c r="B3090" s="308"/>
      <c r="C3090" s="86"/>
      <c r="D3090" s="86"/>
      <c r="E3090" s="86"/>
      <c r="F3090" s="308"/>
    </row>
    <row r="3091" spans="2:6">
      <c r="B3091" s="308"/>
      <c r="C3091" s="86"/>
      <c r="D3091" s="86"/>
      <c r="E3091" s="86"/>
      <c r="F3091" s="308"/>
    </row>
    <row r="3092" spans="2:6">
      <c r="B3092" s="308"/>
      <c r="C3092" s="86"/>
      <c r="D3092" s="86"/>
      <c r="E3092" s="86"/>
      <c r="F3092" s="308"/>
    </row>
    <row r="3093" spans="2:6">
      <c r="B3093" s="308"/>
      <c r="C3093" s="86"/>
      <c r="D3093" s="86"/>
      <c r="E3093" s="86"/>
      <c r="F3093" s="308"/>
    </row>
    <row r="3094" spans="2:6">
      <c r="B3094" s="308"/>
      <c r="C3094" s="86"/>
      <c r="D3094" s="86"/>
      <c r="E3094" s="86"/>
      <c r="F3094" s="308"/>
    </row>
    <row r="3095" spans="2:6">
      <c r="B3095" s="308"/>
      <c r="C3095" s="86"/>
      <c r="D3095" s="86"/>
      <c r="E3095" s="86"/>
      <c r="F3095" s="308"/>
    </row>
    <row r="3096" spans="2:6">
      <c r="B3096" s="308"/>
      <c r="C3096" s="86"/>
      <c r="D3096" s="86"/>
      <c r="E3096" s="86"/>
      <c r="F3096" s="308"/>
    </row>
    <row r="3097" spans="2:6">
      <c r="B3097" s="308"/>
      <c r="C3097" s="86"/>
      <c r="D3097" s="86"/>
      <c r="E3097" s="86"/>
      <c r="F3097" s="308"/>
    </row>
    <row r="3098" spans="2:6">
      <c r="B3098" s="308"/>
      <c r="C3098" s="86"/>
      <c r="D3098" s="86"/>
      <c r="E3098" s="86"/>
      <c r="F3098" s="308"/>
    </row>
    <row r="3099" spans="2:6">
      <c r="B3099" s="308"/>
      <c r="C3099" s="86"/>
      <c r="D3099" s="86"/>
      <c r="E3099" s="86"/>
      <c r="F3099" s="308"/>
    </row>
    <row r="3100" spans="2:6">
      <c r="B3100" s="308"/>
      <c r="C3100" s="86"/>
      <c r="D3100" s="86"/>
      <c r="E3100" s="86"/>
      <c r="F3100" s="308"/>
    </row>
    <row r="3101" spans="2:6">
      <c r="B3101" s="308"/>
      <c r="C3101" s="86"/>
      <c r="D3101" s="86"/>
      <c r="E3101" s="86"/>
      <c r="F3101" s="308"/>
    </row>
    <row r="3102" spans="2:6">
      <c r="B3102" s="308"/>
      <c r="C3102" s="86"/>
      <c r="D3102" s="86"/>
      <c r="E3102" s="86"/>
      <c r="F3102" s="308"/>
    </row>
    <row r="3103" spans="2:6">
      <c r="B3103" s="308"/>
      <c r="C3103" s="86"/>
      <c r="D3103" s="86"/>
      <c r="E3103" s="86"/>
      <c r="F3103" s="308"/>
    </row>
    <row r="3104" spans="2:6">
      <c r="B3104" s="308"/>
      <c r="C3104" s="86"/>
      <c r="D3104" s="86"/>
      <c r="E3104" s="86"/>
      <c r="F3104" s="308"/>
    </row>
    <row r="3105" spans="2:6">
      <c r="B3105" s="308"/>
      <c r="C3105" s="86"/>
      <c r="D3105" s="86"/>
      <c r="E3105" s="86"/>
      <c r="F3105" s="308"/>
    </row>
    <row r="3106" spans="2:6">
      <c r="B3106" s="308"/>
      <c r="C3106" s="86"/>
      <c r="D3106" s="86"/>
      <c r="E3106" s="86"/>
      <c r="F3106" s="308"/>
    </row>
    <row r="3107" spans="2:6">
      <c r="B3107" s="308"/>
      <c r="C3107" s="86"/>
      <c r="D3107" s="86"/>
      <c r="E3107" s="86"/>
      <c r="F3107" s="308"/>
    </row>
    <row r="3108" spans="2:6">
      <c r="B3108" s="308"/>
      <c r="C3108" s="86"/>
      <c r="D3108" s="86"/>
      <c r="E3108" s="86"/>
      <c r="F3108" s="308"/>
    </row>
    <row r="3109" spans="2:6">
      <c r="B3109" s="308"/>
      <c r="C3109" s="86"/>
      <c r="D3109" s="86"/>
      <c r="E3109" s="86"/>
      <c r="F3109" s="308"/>
    </row>
    <row r="3110" spans="2:6">
      <c r="B3110" s="308"/>
      <c r="C3110" s="86"/>
      <c r="D3110" s="86"/>
      <c r="E3110" s="86"/>
      <c r="F3110" s="308"/>
    </row>
    <row r="3111" spans="2:6">
      <c r="B3111" s="308"/>
      <c r="C3111" s="86"/>
      <c r="D3111" s="86"/>
      <c r="E3111" s="86"/>
      <c r="F3111" s="308"/>
    </row>
    <row r="3112" spans="2:6">
      <c r="B3112" s="308"/>
      <c r="C3112" s="86"/>
      <c r="D3112" s="86"/>
      <c r="E3112" s="86"/>
      <c r="F3112" s="308"/>
    </row>
    <row r="3113" spans="2:6">
      <c r="B3113" s="308"/>
      <c r="C3113" s="86"/>
      <c r="D3113" s="86"/>
      <c r="E3113" s="86"/>
      <c r="F3113" s="308"/>
    </row>
    <row r="3114" spans="2:6">
      <c r="B3114" s="308"/>
      <c r="C3114" s="86"/>
      <c r="D3114" s="86"/>
      <c r="E3114" s="86"/>
      <c r="F3114" s="308"/>
    </row>
    <row r="3115" spans="2:6">
      <c r="B3115" s="308"/>
      <c r="C3115" s="86"/>
      <c r="D3115" s="86"/>
      <c r="E3115" s="86"/>
      <c r="F3115" s="308"/>
    </row>
    <row r="3116" spans="2:6">
      <c r="B3116" s="308"/>
      <c r="C3116" s="86"/>
      <c r="D3116" s="86"/>
      <c r="E3116" s="86"/>
      <c r="F3116" s="308"/>
    </row>
    <row r="3117" spans="2:6">
      <c r="B3117" s="308"/>
      <c r="C3117" s="86"/>
      <c r="D3117" s="86"/>
      <c r="E3117" s="86"/>
      <c r="F3117" s="308"/>
    </row>
    <row r="3118" spans="2:6">
      <c r="B3118" s="308"/>
      <c r="C3118" s="86"/>
      <c r="D3118" s="86"/>
      <c r="E3118" s="86"/>
      <c r="F3118" s="308"/>
    </row>
    <row r="3119" spans="2:6">
      <c r="B3119" s="308"/>
      <c r="C3119" s="86"/>
      <c r="D3119" s="86"/>
      <c r="E3119" s="86"/>
      <c r="F3119" s="308"/>
    </row>
    <row r="3120" spans="2:6">
      <c r="B3120" s="308"/>
      <c r="C3120" s="86"/>
      <c r="D3120" s="86"/>
      <c r="E3120" s="86"/>
      <c r="F3120" s="308"/>
    </row>
    <row r="3121" spans="2:6">
      <c r="B3121" s="308"/>
      <c r="C3121" s="86"/>
      <c r="D3121" s="86"/>
      <c r="E3121" s="86"/>
      <c r="F3121" s="308"/>
    </row>
    <row r="3122" spans="2:6">
      <c r="B3122" s="308"/>
      <c r="C3122" s="86"/>
      <c r="D3122" s="86"/>
      <c r="E3122" s="86"/>
      <c r="F3122" s="308"/>
    </row>
    <row r="3123" spans="2:6">
      <c r="B3123" s="308"/>
      <c r="C3123" s="86"/>
      <c r="D3123" s="86"/>
      <c r="E3123" s="86"/>
      <c r="F3123" s="308"/>
    </row>
    <row r="3124" spans="2:6">
      <c r="B3124" s="308"/>
      <c r="C3124" s="86"/>
      <c r="D3124" s="86"/>
      <c r="E3124" s="86"/>
      <c r="F3124" s="308"/>
    </row>
    <row r="3125" spans="2:6">
      <c r="B3125" s="308"/>
      <c r="C3125" s="86"/>
      <c r="D3125" s="86"/>
      <c r="E3125" s="86"/>
      <c r="F3125" s="308"/>
    </row>
    <row r="3126" spans="2:6">
      <c r="B3126" s="308"/>
      <c r="C3126" s="86"/>
      <c r="D3126" s="86"/>
      <c r="E3126" s="86"/>
      <c r="F3126" s="308"/>
    </row>
    <row r="3127" spans="2:6">
      <c r="B3127" s="308"/>
      <c r="C3127" s="86"/>
      <c r="D3127" s="86"/>
      <c r="E3127" s="86"/>
      <c r="F3127" s="308"/>
    </row>
    <row r="3128" spans="2:6">
      <c r="B3128" s="308"/>
      <c r="C3128" s="86"/>
      <c r="D3128" s="86"/>
      <c r="E3128" s="86"/>
      <c r="F3128" s="308"/>
    </row>
    <row r="3129" spans="2:6">
      <c r="B3129" s="308"/>
      <c r="C3129" s="86"/>
      <c r="D3129" s="86"/>
      <c r="E3129" s="86"/>
      <c r="F3129" s="308"/>
    </row>
    <row r="3130" spans="2:6">
      <c r="B3130" s="308"/>
      <c r="C3130" s="86"/>
      <c r="D3130" s="86"/>
      <c r="E3130" s="86"/>
      <c r="F3130" s="308"/>
    </row>
    <row r="3131" spans="2:6">
      <c r="B3131" s="308"/>
      <c r="C3131" s="86"/>
      <c r="D3131" s="86"/>
      <c r="E3131" s="86"/>
      <c r="F3131" s="308"/>
    </row>
    <row r="3132" spans="2:6">
      <c r="B3132" s="308"/>
      <c r="C3132" s="86"/>
      <c r="D3132" s="86"/>
      <c r="E3132" s="86"/>
      <c r="F3132" s="308"/>
    </row>
    <row r="3133" spans="2:6">
      <c r="B3133" s="308"/>
      <c r="C3133" s="86"/>
      <c r="D3133" s="86"/>
      <c r="E3133" s="86"/>
      <c r="F3133" s="308"/>
    </row>
    <row r="3134" spans="2:6">
      <c r="B3134" s="308"/>
      <c r="C3134" s="86"/>
      <c r="D3134" s="86"/>
      <c r="E3134" s="86"/>
      <c r="F3134" s="308"/>
    </row>
    <row r="3135" spans="2:6">
      <c r="B3135" s="308"/>
      <c r="C3135" s="86"/>
      <c r="D3135" s="86"/>
      <c r="E3135" s="86"/>
      <c r="F3135" s="308"/>
    </row>
    <row r="3136" spans="2:6">
      <c r="B3136" s="308"/>
      <c r="C3136" s="86"/>
      <c r="D3136" s="86"/>
      <c r="E3136" s="86"/>
      <c r="F3136" s="308"/>
    </row>
    <row r="3137" spans="2:6">
      <c r="B3137" s="308"/>
      <c r="C3137" s="86"/>
      <c r="D3137" s="86"/>
      <c r="E3137" s="86"/>
      <c r="F3137" s="308"/>
    </row>
    <row r="3138" spans="2:6">
      <c r="B3138" s="308"/>
      <c r="C3138" s="86"/>
      <c r="D3138" s="86"/>
      <c r="E3138" s="86"/>
      <c r="F3138" s="308"/>
    </row>
    <row r="3139" spans="2:6">
      <c r="B3139" s="308"/>
      <c r="C3139" s="86"/>
      <c r="D3139" s="86"/>
      <c r="E3139" s="86"/>
      <c r="F3139" s="308"/>
    </row>
    <row r="3140" spans="2:6">
      <c r="B3140" s="308"/>
      <c r="C3140" s="86"/>
      <c r="D3140" s="86"/>
      <c r="E3140" s="86"/>
      <c r="F3140" s="308"/>
    </row>
    <row r="3141" spans="2:6">
      <c r="B3141" s="308"/>
      <c r="C3141" s="86"/>
      <c r="D3141" s="86"/>
      <c r="E3141" s="86"/>
      <c r="F3141" s="308"/>
    </row>
    <row r="3142" spans="2:6">
      <c r="B3142" s="308"/>
      <c r="C3142" s="86"/>
      <c r="D3142" s="86"/>
      <c r="E3142" s="86"/>
      <c r="F3142" s="308"/>
    </row>
    <row r="3143" spans="2:6">
      <c r="B3143" s="308"/>
      <c r="C3143" s="86"/>
      <c r="D3143" s="86"/>
      <c r="E3143" s="86"/>
      <c r="F3143" s="308"/>
    </row>
    <row r="3144" spans="2:6">
      <c r="B3144" s="308"/>
      <c r="C3144" s="86"/>
      <c r="D3144" s="86"/>
      <c r="E3144" s="86"/>
      <c r="F3144" s="308"/>
    </row>
    <row r="3145" spans="2:6">
      <c r="B3145" s="308"/>
      <c r="C3145" s="86"/>
      <c r="D3145" s="86"/>
      <c r="E3145" s="86"/>
      <c r="F3145" s="308"/>
    </row>
    <row r="3146" spans="2:6">
      <c r="B3146" s="308"/>
      <c r="C3146" s="86"/>
      <c r="D3146" s="86"/>
      <c r="E3146" s="86"/>
      <c r="F3146" s="308"/>
    </row>
    <row r="3147" spans="2:6">
      <c r="B3147" s="308"/>
      <c r="C3147" s="86"/>
      <c r="D3147" s="86"/>
      <c r="E3147" s="86"/>
      <c r="F3147" s="308"/>
    </row>
    <row r="3148" spans="2:6">
      <c r="B3148" s="308"/>
      <c r="C3148" s="86"/>
      <c r="D3148" s="86"/>
      <c r="E3148" s="86"/>
      <c r="F3148" s="308"/>
    </row>
    <row r="3149" spans="2:6">
      <c r="B3149" s="308"/>
      <c r="C3149" s="86"/>
      <c r="D3149" s="86"/>
      <c r="E3149" s="86"/>
      <c r="F3149" s="308"/>
    </row>
    <row r="3150" spans="2:6">
      <c r="B3150" s="308"/>
      <c r="C3150" s="86"/>
      <c r="D3150" s="86"/>
      <c r="E3150" s="86"/>
      <c r="F3150" s="308"/>
    </row>
    <row r="3151" spans="2:6">
      <c r="B3151" s="308"/>
      <c r="C3151" s="86"/>
      <c r="D3151" s="86"/>
      <c r="E3151" s="86"/>
      <c r="F3151" s="308"/>
    </row>
    <row r="3152" spans="2:6">
      <c r="B3152" s="308"/>
      <c r="C3152" s="86"/>
      <c r="D3152" s="86"/>
      <c r="E3152" s="86"/>
      <c r="F3152" s="308"/>
    </row>
    <row r="3153" spans="2:6">
      <c r="B3153" s="308"/>
      <c r="C3153" s="86"/>
      <c r="D3153" s="86"/>
      <c r="E3153" s="86"/>
      <c r="F3153" s="308"/>
    </row>
    <row r="3154" spans="2:6">
      <c r="B3154" s="308"/>
      <c r="C3154" s="86"/>
      <c r="D3154" s="86"/>
      <c r="E3154" s="86"/>
      <c r="F3154" s="308"/>
    </row>
    <row r="3155" spans="2:6">
      <c r="B3155" s="308"/>
      <c r="C3155" s="86"/>
      <c r="D3155" s="86"/>
      <c r="E3155" s="86"/>
      <c r="F3155" s="308"/>
    </row>
    <row r="3156" spans="2:6">
      <c r="B3156" s="308"/>
      <c r="C3156" s="86"/>
      <c r="D3156" s="86"/>
      <c r="E3156" s="86"/>
      <c r="F3156" s="308"/>
    </row>
    <row r="3157" spans="2:6">
      <c r="B3157" s="308"/>
      <c r="C3157" s="86"/>
      <c r="D3157" s="86"/>
      <c r="E3157" s="86"/>
      <c r="F3157" s="308"/>
    </row>
    <row r="3158" spans="2:6">
      <c r="B3158" s="308"/>
      <c r="C3158" s="86"/>
      <c r="D3158" s="86"/>
      <c r="E3158" s="86"/>
      <c r="F3158" s="308"/>
    </row>
    <row r="3159" spans="2:6">
      <c r="B3159" s="308"/>
      <c r="C3159" s="86"/>
      <c r="D3159" s="86"/>
      <c r="E3159" s="86"/>
      <c r="F3159" s="308"/>
    </row>
    <row r="3160" spans="2:6">
      <c r="B3160" s="308"/>
      <c r="C3160" s="86"/>
      <c r="D3160" s="86"/>
      <c r="E3160" s="86"/>
      <c r="F3160" s="308"/>
    </row>
    <row r="3161" spans="2:6">
      <c r="B3161" s="308"/>
      <c r="C3161" s="86"/>
      <c r="D3161" s="86"/>
      <c r="E3161" s="86"/>
      <c r="F3161" s="308"/>
    </row>
    <row r="3162" spans="2:6">
      <c r="B3162" s="308"/>
      <c r="C3162" s="86"/>
      <c r="D3162" s="86"/>
      <c r="E3162" s="86"/>
      <c r="F3162" s="308"/>
    </row>
    <row r="3163" spans="2:6">
      <c r="B3163" s="308"/>
      <c r="C3163" s="86"/>
      <c r="D3163" s="86"/>
      <c r="E3163" s="86"/>
      <c r="F3163" s="308"/>
    </row>
    <row r="3164" spans="2:6">
      <c r="B3164" s="308"/>
      <c r="C3164" s="86"/>
      <c r="D3164" s="86"/>
      <c r="E3164" s="86"/>
      <c r="F3164" s="308"/>
    </row>
    <row r="3165" spans="2:6">
      <c r="B3165" s="308"/>
      <c r="C3165" s="86"/>
      <c r="D3165" s="86"/>
      <c r="E3165" s="86"/>
      <c r="F3165" s="308"/>
    </row>
    <row r="3166" spans="2:6">
      <c r="B3166" s="308"/>
      <c r="C3166" s="86"/>
      <c r="D3166" s="86"/>
      <c r="E3166" s="86"/>
      <c r="F3166" s="308"/>
    </row>
    <row r="3167" spans="2:6">
      <c r="B3167" s="308"/>
      <c r="C3167" s="86"/>
      <c r="D3167" s="86"/>
      <c r="E3167" s="86"/>
      <c r="F3167" s="308"/>
    </row>
    <row r="3168" spans="2:6">
      <c r="B3168" s="308"/>
      <c r="C3168" s="86"/>
      <c r="D3168" s="86"/>
      <c r="E3168" s="86"/>
      <c r="F3168" s="308"/>
    </row>
    <row r="3169" spans="2:6">
      <c r="B3169" s="308"/>
      <c r="C3169" s="86"/>
      <c r="D3169" s="86"/>
      <c r="E3169" s="86"/>
      <c r="F3169" s="308"/>
    </row>
    <row r="3170" spans="2:6">
      <c r="B3170" s="308"/>
      <c r="C3170" s="86"/>
      <c r="D3170" s="86"/>
      <c r="E3170" s="86"/>
      <c r="F3170" s="308"/>
    </row>
    <row r="3171" spans="2:6">
      <c r="B3171" s="308"/>
      <c r="C3171" s="86"/>
      <c r="D3171" s="86"/>
      <c r="E3171" s="86"/>
      <c r="F3171" s="308"/>
    </row>
    <row r="3172" spans="2:6">
      <c r="B3172" s="308"/>
      <c r="C3172" s="86"/>
      <c r="D3172" s="86"/>
      <c r="E3172" s="86"/>
      <c r="F3172" s="308"/>
    </row>
    <row r="3173" spans="2:6">
      <c r="B3173" s="308"/>
      <c r="C3173" s="86"/>
      <c r="D3173" s="86"/>
      <c r="E3173" s="86"/>
      <c r="F3173" s="308"/>
    </row>
    <row r="3174" spans="2:6">
      <c r="B3174" s="308"/>
      <c r="C3174" s="86"/>
      <c r="D3174" s="86"/>
      <c r="E3174" s="86"/>
      <c r="F3174" s="308"/>
    </row>
    <row r="3175" spans="2:6">
      <c r="B3175" s="308"/>
      <c r="C3175" s="86"/>
      <c r="D3175" s="86"/>
      <c r="E3175" s="86"/>
      <c r="F3175" s="308"/>
    </row>
    <row r="3176" spans="2:6">
      <c r="B3176" s="308"/>
      <c r="C3176" s="86"/>
      <c r="D3176" s="86"/>
      <c r="E3176" s="86"/>
      <c r="F3176" s="308"/>
    </row>
    <row r="3177" spans="2:6">
      <c r="B3177" s="308"/>
      <c r="C3177" s="86"/>
      <c r="D3177" s="86"/>
      <c r="E3177" s="86"/>
      <c r="F3177" s="308"/>
    </row>
    <row r="3178" spans="2:6">
      <c r="B3178" s="308"/>
      <c r="C3178" s="86"/>
      <c r="D3178" s="86"/>
      <c r="E3178" s="86"/>
      <c r="F3178" s="308"/>
    </row>
    <row r="3179" spans="2:6">
      <c r="B3179" s="308"/>
      <c r="C3179" s="86"/>
      <c r="D3179" s="86"/>
      <c r="E3179" s="86"/>
      <c r="F3179" s="308"/>
    </row>
    <row r="3180" spans="2:6">
      <c r="B3180" s="308"/>
      <c r="C3180" s="86"/>
      <c r="D3180" s="86"/>
      <c r="E3180" s="86"/>
      <c r="F3180" s="308"/>
    </row>
    <row r="3181" spans="2:6">
      <c r="B3181" s="308"/>
      <c r="C3181" s="86"/>
      <c r="D3181" s="86"/>
      <c r="E3181" s="86"/>
      <c r="F3181" s="308"/>
    </row>
    <row r="3182" spans="2:6">
      <c r="B3182" s="308"/>
      <c r="C3182" s="86"/>
      <c r="D3182" s="86"/>
      <c r="E3182" s="86"/>
      <c r="F3182" s="308"/>
    </row>
    <row r="3183" spans="2:6">
      <c r="B3183" s="308"/>
      <c r="C3183" s="86"/>
      <c r="D3183" s="86"/>
      <c r="E3183" s="86"/>
      <c r="F3183" s="308"/>
    </row>
    <row r="3184" spans="2:6">
      <c r="B3184" s="308"/>
      <c r="C3184" s="86"/>
      <c r="D3184" s="86"/>
      <c r="E3184" s="86"/>
      <c r="F3184" s="308"/>
    </row>
    <row r="3185" spans="2:6">
      <c r="B3185" s="308"/>
      <c r="C3185" s="86"/>
      <c r="D3185" s="86"/>
      <c r="E3185" s="86"/>
      <c r="F3185" s="308"/>
    </row>
    <row r="3186" spans="2:6">
      <c r="B3186" s="308"/>
      <c r="C3186" s="86"/>
      <c r="D3186" s="86"/>
      <c r="E3186" s="86"/>
      <c r="F3186" s="308"/>
    </row>
    <row r="3187" spans="2:6">
      <c r="B3187" s="308"/>
      <c r="C3187" s="86"/>
      <c r="D3187" s="86"/>
      <c r="E3187" s="86"/>
      <c r="F3187" s="308"/>
    </row>
    <row r="3188" spans="2:6">
      <c r="B3188" s="308"/>
      <c r="C3188" s="86"/>
      <c r="D3188" s="86"/>
      <c r="E3188" s="86"/>
      <c r="F3188" s="308"/>
    </row>
    <row r="3189" spans="2:6">
      <c r="B3189" s="308"/>
      <c r="C3189" s="86"/>
      <c r="D3189" s="86"/>
      <c r="E3189" s="86"/>
      <c r="F3189" s="308"/>
    </row>
    <row r="3190" spans="2:6">
      <c r="B3190" s="308"/>
      <c r="C3190" s="86"/>
      <c r="D3190" s="86"/>
      <c r="E3190" s="86"/>
      <c r="F3190" s="308"/>
    </row>
    <row r="3191" spans="2:6">
      <c r="B3191" s="308"/>
      <c r="C3191" s="86"/>
      <c r="D3191" s="86"/>
      <c r="E3191" s="86"/>
      <c r="F3191" s="308"/>
    </row>
    <row r="3192" spans="2:6">
      <c r="B3192" s="308"/>
      <c r="C3192" s="86"/>
      <c r="D3192" s="86"/>
      <c r="E3192" s="86"/>
      <c r="F3192" s="308"/>
    </row>
    <row r="3193" spans="2:6">
      <c r="B3193" s="308"/>
      <c r="C3193" s="86"/>
      <c r="D3193" s="86"/>
      <c r="E3193" s="86"/>
      <c r="F3193" s="308"/>
    </row>
    <row r="3194" spans="2:6">
      <c r="B3194" s="308"/>
      <c r="C3194" s="86"/>
      <c r="D3194" s="86"/>
      <c r="E3194" s="86"/>
      <c r="F3194" s="308"/>
    </row>
    <row r="3195" spans="2:6">
      <c r="B3195" s="308"/>
      <c r="C3195" s="86"/>
      <c r="D3195" s="86"/>
      <c r="E3195" s="86"/>
      <c r="F3195" s="308"/>
    </row>
    <row r="3196" spans="2:6">
      <c r="B3196" s="308"/>
      <c r="C3196" s="86"/>
      <c r="D3196" s="86"/>
      <c r="E3196" s="86"/>
      <c r="F3196" s="308"/>
    </row>
    <row r="3197" spans="2:6">
      <c r="B3197" s="308"/>
      <c r="C3197" s="86"/>
      <c r="D3197" s="86"/>
      <c r="E3197" s="86"/>
      <c r="F3197" s="308"/>
    </row>
    <row r="3198" spans="2:6">
      <c r="B3198" s="308"/>
      <c r="C3198" s="86"/>
      <c r="D3198" s="86"/>
      <c r="E3198" s="86"/>
      <c r="F3198" s="308"/>
    </row>
    <row r="3199" spans="2:6">
      <c r="B3199" s="308"/>
      <c r="C3199" s="86"/>
      <c r="D3199" s="86"/>
      <c r="E3199" s="86"/>
      <c r="F3199" s="308"/>
    </row>
    <row r="3200" spans="2:6">
      <c r="B3200" s="308"/>
      <c r="C3200" s="86"/>
      <c r="D3200" s="86"/>
      <c r="E3200" s="86"/>
      <c r="F3200" s="308"/>
    </row>
    <row r="3201" spans="2:6">
      <c r="B3201" s="308"/>
      <c r="C3201" s="86"/>
      <c r="D3201" s="86"/>
      <c r="E3201" s="86"/>
      <c r="F3201" s="308"/>
    </row>
    <row r="3202" spans="2:6">
      <c r="B3202" s="308"/>
      <c r="C3202" s="86"/>
      <c r="D3202" s="86"/>
      <c r="E3202" s="86"/>
      <c r="F3202" s="308"/>
    </row>
    <row r="3203" spans="2:6">
      <c r="B3203" s="308"/>
      <c r="C3203" s="86"/>
      <c r="D3203" s="86"/>
      <c r="E3203" s="86"/>
      <c r="F3203" s="308"/>
    </row>
    <row r="3204" spans="2:6">
      <c r="B3204" s="308"/>
      <c r="C3204" s="86"/>
      <c r="D3204" s="86"/>
      <c r="E3204" s="86"/>
      <c r="F3204" s="308"/>
    </row>
    <row r="3205" spans="2:6">
      <c r="B3205" s="308"/>
      <c r="C3205" s="86"/>
      <c r="D3205" s="86"/>
      <c r="E3205" s="86"/>
      <c r="F3205" s="308"/>
    </row>
    <row r="3206" spans="2:6">
      <c r="B3206" s="308"/>
      <c r="C3206" s="86"/>
      <c r="D3206" s="86"/>
      <c r="E3206" s="86"/>
      <c r="F3206" s="308"/>
    </row>
    <row r="3207" spans="2:6">
      <c r="B3207" s="308"/>
      <c r="C3207" s="86"/>
      <c r="D3207" s="86"/>
      <c r="E3207" s="86"/>
      <c r="F3207" s="308"/>
    </row>
    <row r="3208" spans="2:6">
      <c r="B3208" s="308"/>
      <c r="C3208" s="86"/>
      <c r="D3208" s="86"/>
      <c r="E3208" s="86"/>
      <c r="F3208" s="308"/>
    </row>
    <row r="3209" spans="2:6">
      <c r="B3209" s="308"/>
      <c r="C3209" s="86"/>
      <c r="D3209" s="86"/>
      <c r="E3209" s="86"/>
      <c r="F3209" s="308"/>
    </row>
    <row r="3210" spans="2:6">
      <c r="B3210" s="308"/>
      <c r="C3210" s="86"/>
      <c r="D3210" s="86"/>
      <c r="E3210" s="86"/>
      <c r="F3210" s="308"/>
    </row>
    <row r="3211" spans="2:6">
      <c r="B3211" s="308"/>
      <c r="C3211" s="86"/>
      <c r="D3211" s="86"/>
      <c r="E3211" s="86"/>
      <c r="F3211" s="308"/>
    </row>
    <row r="3212" spans="2:6">
      <c r="B3212" s="308"/>
      <c r="C3212" s="86"/>
      <c r="D3212" s="86"/>
      <c r="E3212" s="86"/>
      <c r="F3212" s="308"/>
    </row>
    <row r="3213" spans="2:6">
      <c r="B3213" s="308"/>
      <c r="C3213" s="86"/>
      <c r="D3213" s="86"/>
      <c r="E3213" s="86"/>
      <c r="F3213" s="308"/>
    </row>
    <row r="3214" spans="2:6">
      <c r="B3214" s="308"/>
      <c r="C3214" s="86"/>
      <c r="D3214" s="86"/>
      <c r="E3214" s="86"/>
      <c r="F3214" s="308"/>
    </row>
    <row r="3215" spans="2:6">
      <c r="B3215" s="308"/>
      <c r="C3215" s="86"/>
      <c r="D3215" s="86"/>
      <c r="E3215" s="86"/>
      <c r="F3215" s="308"/>
    </row>
    <row r="3216" spans="2:6">
      <c r="B3216" s="308"/>
      <c r="C3216" s="86"/>
      <c r="D3216" s="86"/>
      <c r="E3216" s="86"/>
      <c r="F3216" s="308"/>
    </row>
    <row r="3217" spans="2:6">
      <c r="B3217" s="308"/>
      <c r="C3217" s="86"/>
      <c r="D3217" s="86"/>
      <c r="E3217" s="86"/>
      <c r="F3217" s="308"/>
    </row>
    <row r="3218" spans="2:6">
      <c r="B3218" s="308"/>
      <c r="C3218" s="86"/>
      <c r="D3218" s="86"/>
      <c r="E3218" s="86"/>
      <c r="F3218" s="308"/>
    </row>
    <row r="3219" spans="2:6">
      <c r="B3219" s="308"/>
      <c r="C3219" s="86"/>
      <c r="D3219" s="86"/>
      <c r="E3219" s="86"/>
      <c r="F3219" s="308"/>
    </row>
    <row r="3220" spans="2:6">
      <c r="B3220" s="308"/>
      <c r="C3220" s="86"/>
      <c r="D3220" s="86"/>
      <c r="E3220" s="86"/>
      <c r="F3220" s="308"/>
    </row>
    <row r="3221" spans="2:6">
      <c r="B3221" s="308"/>
      <c r="C3221" s="86"/>
      <c r="D3221" s="86"/>
      <c r="E3221" s="86"/>
      <c r="F3221" s="308"/>
    </row>
    <row r="3222" spans="2:6">
      <c r="B3222" s="308"/>
      <c r="C3222" s="86"/>
      <c r="D3222" s="86"/>
      <c r="E3222" s="86"/>
      <c r="F3222" s="308"/>
    </row>
    <row r="3223" spans="2:6">
      <c r="B3223" s="308"/>
      <c r="C3223" s="86"/>
      <c r="D3223" s="86"/>
      <c r="E3223" s="86"/>
      <c r="F3223" s="308"/>
    </row>
    <row r="3224" spans="2:6">
      <c r="B3224" s="308"/>
      <c r="C3224" s="86"/>
      <c r="D3224" s="86"/>
      <c r="E3224" s="86"/>
      <c r="F3224" s="308"/>
    </row>
    <row r="3225" spans="2:6">
      <c r="B3225" s="308"/>
      <c r="C3225" s="86"/>
      <c r="D3225" s="86"/>
      <c r="E3225" s="86"/>
      <c r="F3225" s="308"/>
    </row>
    <row r="3226" spans="2:6">
      <c r="B3226" s="308"/>
      <c r="C3226" s="86"/>
      <c r="D3226" s="86"/>
      <c r="E3226" s="86"/>
      <c r="F3226" s="308"/>
    </row>
    <row r="3227" spans="2:6">
      <c r="B3227" s="308"/>
      <c r="C3227" s="86"/>
      <c r="D3227" s="86"/>
      <c r="E3227" s="86"/>
      <c r="F3227" s="308"/>
    </row>
    <row r="3228" spans="2:6">
      <c r="B3228" s="308"/>
      <c r="C3228" s="86"/>
      <c r="D3228" s="86"/>
      <c r="E3228" s="86"/>
      <c r="F3228" s="308"/>
    </row>
    <row r="3229" spans="2:6">
      <c r="B3229" s="308"/>
      <c r="C3229" s="86"/>
      <c r="D3229" s="86"/>
      <c r="E3229" s="86"/>
      <c r="F3229" s="308"/>
    </row>
    <row r="3230" spans="2:6">
      <c r="B3230" s="308"/>
      <c r="C3230" s="86"/>
      <c r="D3230" s="86"/>
      <c r="E3230" s="86"/>
      <c r="F3230" s="308"/>
    </row>
    <row r="3231" spans="2:6">
      <c r="B3231" s="308"/>
      <c r="C3231" s="86"/>
      <c r="D3231" s="86"/>
      <c r="E3231" s="86"/>
      <c r="F3231" s="308"/>
    </row>
    <row r="3232" spans="2:6">
      <c r="B3232" s="308"/>
      <c r="C3232" s="86"/>
      <c r="D3232" s="86"/>
      <c r="E3232" s="86"/>
      <c r="F3232" s="308"/>
    </row>
    <row r="3233" spans="2:6">
      <c r="B3233" s="308"/>
      <c r="C3233" s="86"/>
      <c r="D3233" s="86"/>
      <c r="E3233" s="86"/>
      <c r="F3233" s="308"/>
    </row>
    <row r="3234" spans="2:6">
      <c r="B3234" s="308"/>
      <c r="C3234" s="86"/>
      <c r="D3234" s="86"/>
      <c r="E3234" s="86"/>
      <c r="F3234" s="308"/>
    </row>
    <row r="3235" spans="2:6">
      <c r="B3235" s="308"/>
      <c r="C3235" s="86"/>
      <c r="D3235" s="86"/>
      <c r="E3235" s="86"/>
      <c r="F3235" s="308"/>
    </row>
    <row r="3236" spans="2:6">
      <c r="B3236" s="308"/>
      <c r="C3236" s="86"/>
      <c r="D3236" s="86"/>
      <c r="E3236" s="86"/>
      <c r="F3236" s="308"/>
    </row>
    <row r="3237" spans="2:6">
      <c r="B3237" s="308"/>
      <c r="C3237" s="86"/>
      <c r="D3237" s="86"/>
      <c r="E3237" s="86"/>
      <c r="F3237" s="308"/>
    </row>
    <row r="3238" spans="2:6">
      <c r="B3238" s="308"/>
      <c r="C3238" s="86"/>
      <c r="D3238" s="86"/>
      <c r="E3238" s="86"/>
      <c r="F3238" s="308"/>
    </row>
    <row r="3239" spans="2:6">
      <c r="B3239" s="308"/>
      <c r="C3239" s="86"/>
      <c r="D3239" s="86"/>
      <c r="E3239" s="86"/>
      <c r="F3239" s="308"/>
    </row>
    <row r="3240" spans="2:6">
      <c r="B3240" s="308"/>
      <c r="C3240" s="86"/>
      <c r="D3240" s="86"/>
      <c r="E3240" s="86"/>
      <c r="F3240" s="308"/>
    </row>
    <row r="3241" spans="2:6">
      <c r="B3241" s="308"/>
      <c r="C3241" s="86"/>
      <c r="D3241" s="86"/>
      <c r="E3241" s="86"/>
      <c r="F3241" s="308"/>
    </row>
    <row r="3242" spans="2:6">
      <c r="B3242" s="308"/>
      <c r="C3242" s="86"/>
      <c r="D3242" s="86"/>
      <c r="E3242" s="86"/>
      <c r="F3242" s="308"/>
    </row>
    <row r="3243" spans="2:6">
      <c r="B3243" s="308"/>
      <c r="C3243" s="86"/>
      <c r="D3243" s="86"/>
      <c r="E3243" s="86"/>
      <c r="F3243" s="308"/>
    </row>
    <row r="3244" spans="2:6">
      <c r="B3244" s="308"/>
      <c r="C3244" s="86"/>
      <c r="D3244" s="86"/>
      <c r="E3244" s="86"/>
      <c r="F3244" s="308"/>
    </row>
    <row r="3245" spans="2:6">
      <c r="B3245" s="308"/>
      <c r="C3245" s="86"/>
      <c r="D3245" s="86"/>
      <c r="E3245" s="86"/>
      <c r="F3245" s="308"/>
    </row>
    <row r="3246" spans="2:6">
      <c r="B3246" s="308"/>
      <c r="C3246" s="86"/>
      <c r="D3246" s="86"/>
      <c r="E3246" s="86"/>
      <c r="F3246" s="308"/>
    </row>
    <row r="3247" spans="2:6">
      <c r="B3247" s="308"/>
      <c r="C3247" s="86"/>
      <c r="D3247" s="86"/>
      <c r="E3247" s="86"/>
      <c r="F3247" s="308"/>
    </row>
    <row r="3248" spans="2:6">
      <c r="B3248" s="308"/>
      <c r="C3248" s="86"/>
      <c r="D3248" s="86"/>
      <c r="E3248" s="86"/>
      <c r="F3248" s="308"/>
    </row>
    <row r="3249" spans="2:6">
      <c r="B3249" s="308"/>
      <c r="C3249" s="86"/>
      <c r="D3249" s="86"/>
      <c r="E3249" s="86"/>
      <c r="F3249" s="308"/>
    </row>
    <row r="3250" spans="2:6">
      <c r="B3250" s="308"/>
      <c r="C3250" s="86"/>
      <c r="D3250" s="86"/>
      <c r="E3250" s="86"/>
      <c r="F3250" s="308"/>
    </row>
    <row r="3251" spans="2:6">
      <c r="B3251" s="308"/>
      <c r="C3251" s="86"/>
      <c r="D3251" s="86"/>
      <c r="E3251" s="86"/>
      <c r="F3251" s="308"/>
    </row>
    <row r="3252" spans="2:6">
      <c r="B3252" s="308"/>
      <c r="C3252" s="86"/>
      <c r="D3252" s="86"/>
      <c r="E3252" s="86"/>
      <c r="F3252" s="308"/>
    </row>
    <row r="3253" spans="2:6">
      <c r="B3253" s="308"/>
      <c r="C3253" s="86"/>
      <c r="D3253" s="86"/>
      <c r="E3253" s="86"/>
      <c r="F3253" s="308"/>
    </row>
    <row r="3254" spans="2:6">
      <c r="B3254" s="308"/>
      <c r="C3254" s="86"/>
      <c r="D3254" s="86"/>
      <c r="E3254" s="86"/>
      <c r="F3254" s="308"/>
    </row>
    <row r="3255" spans="2:6">
      <c r="B3255" s="308"/>
      <c r="C3255" s="86"/>
      <c r="D3255" s="86"/>
      <c r="E3255" s="86"/>
      <c r="F3255" s="308"/>
    </row>
    <row r="3256" spans="2:6">
      <c r="B3256" s="308"/>
      <c r="C3256" s="86"/>
      <c r="D3256" s="86"/>
      <c r="E3256" s="86"/>
      <c r="F3256" s="308"/>
    </row>
    <row r="3257" spans="2:6">
      <c r="B3257" s="308"/>
      <c r="C3257" s="86"/>
      <c r="D3257" s="86"/>
      <c r="E3257" s="86"/>
      <c r="F3257" s="308"/>
    </row>
    <row r="3258" spans="2:6">
      <c r="B3258" s="308"/>
      <c r="C3258" s="86"/>
      <c r="D3258" s="86"/>
      <c r="E3258" s="86"/>
      <c r="F3258" s="308"/>
    </row>
    <row r="3259" spans="2:6">
      <c r="B3259" s="308"/>
      <c r="C3259" s="86"/>
      <c r="D3259" s="86"/>
      <c r="E3259" s="86"/>
      <c r="F3259" s="308"/>
    </row>
    <row r="3260" spans="2:6">
      <c r="B3260" s="308"/>
      <c r="C3260" s="86"/>
      <c r="D3260" s="86"/>
      <c r="E3260" s="86"/>
      <c r="F3260" s="308"/>
    </row>
    <row r="3261" spans="2:6">
      <c r="B3261" s="308"/>
      <c r="C3261" s="86"/>
      <c r="D3261" s="86"/>
      <c r="E3261" s="86"/>
      <c r="F3261" s="308"/>
    </row>
    <row r="3262" spans="2:6">
      <c r="B3262" s="308"/>
      <c r="C3262" s="86"/>
      <c r="D3262" s="86"/>
      <c r="E3262" s="86"/>
      <c r="F3262" s="308"/>
    </row>
    <row r="3263" spans="2:6">
      <c r="B3263" s="308"/>
      <c r="C3263" s="86"/>
      <c r="D3263" s="86"/>
      <c r="E3263" s="86"/>
      <c r="F3263" s="308"/>
    </row>
    <row r="3264" spans="2:6">
      <c r="B3264" s="308"/>
      <c r="C3264" s="86"/>
      <c r="D3264" s="86"/>
      <c r="E3264" s="86"/>
      <c r="F3264" s="308"/>
    </row>
    <row r="3265" spans="2:6">
      <c r="B3265" s="308"/>
      <c r="C3265" s="86"/>
      <c r="D3265" s="86"/>
      <c r="E3265" s="86"/>
      <c r="F3265" s="308"/>
    </row>
    <row r="3266" spans="2:6">
      <c r="B3266" s="308"/>
      <c r="C3266" s="86"/>
      <c r="D3266" s="86"/>
      <c r="E3266" s="86"/>
      <c r="F3266" s="308"/>
    </row>
    <row r="3267" spans="2:6">
      <c r="B3267" s="308"/>
      <c r="C3267" s="86"/>
      <c r="D3267" s="86"/>
      <c r="E3267" s="86"/>
      <c r="F3267" s="308"/>
    </row>
    <row r="3268" spans="2:6">
      <c r="B3268" s="308"/>
      <c r="C3268" s="86"/>
      <c r="D3268" s="86"/>
      <c r="E3268" s="86"/>
      <c r="F3268" s="308"/>
    </row>
    <row r="3269" spans="2:6">
      <c r="B3269" s="308"/>
      <c r="C3269" s="86"/>
      <c r="D3269" s="86"/>
      <c r="E3269" s="86"/>
      <c r="F3269" s="308"/>
    </row>
    <row r="3270" spans="2:6">
      <c r="B3270" s="308"/>
      <c r="C3270" s="86"/>
      <c r="D3270" s="86"/>
      <c r="E3270" s="86"/>
      <c r="F3270" s="308"/>
    </row>
    <row r="3271" spans="2:6">
      <c r="B3271" s="308"/>
      <c r="C3271" s="86"/>
      <c r="D3271" s="86"/>
      <c r="E3271" s="86"/>
      <c r="F3271" s="308"/>
    </row>
    <row r="3272" spans="2:6">
      <c r="B3272" s="308"/>
      <c r="C3272" s="86"/>
      <c r="D3272" s="86"/>
      <c r="E3272" s="86"/>
      <c r="F3272" s="308"/>
    </row>
    <row r="3273" spans="2:6">
      <c r="B3273" s="308"/>
      <c r="C3273" s="86"/>
      <c r="D3273" s="86"/>
      <c r="E3273" s="86"/>
      <c r="F3273" s="308"/>
    </row>
    <row r="3274" spans="2:6">
      <c r="B3274" s="308"/>
      <c r="C3274" s="86"/>
      <c r="D3274" s="86"/>
      <c r="E3274" s="86"/>
      <c r="F3274" s="308"/>
    </row>
    <row r="3275" spans="2:6">
      <c r="B3275" s="308"/>
      <c r="C3275" s="86"/>
      <c r="D3275" s="86"/>
      <c r="E3275" s="86"/>
      <c r="F3275" s="308"/>
    </row>
    <row r="3276" spans="2:6">
      <c r="B3276" s="308"/>
      <c r="C3276" s="86"/>
      <c r="D3276" s="86"/>
      <c r="E3276" s="86"/>
      <c r="F3276" s="308"/>
    </row>
    <row r="3277" spans="2:6">
      <c r="B3277" s="308"/>
      <c r="C3277" s="86"/>
      <c r="D3277" s="86"/>
      <c r="E3277" s="86"/>
      <c r="F3277" s="308"/>
    </row>
    <row r="3278" spans="2:6">
      <c r="B3278" s="308"/>
      <c r="C3278" s="86"/>
      <c r="D3278" s="86"/>
      <c r="E3278" s="86"/>
      <c r="F3278" s="308"/>
    </row>
    <row r="3279" spans="2:6">
      <c r="B3279" s="308"/>
      <c r="C3279" s="86"/>
      <c r="D3279" s="86"/>
      <c r="E3279" s="86"/>
      <c r="F3279" s="308"/>
    </row>
    <row r="3280" spans="2:6">
      <c r="B3280" s="308"/>
      <c r="C3280" s="86"/>
      <c r="D3280" s="86"/>
      <c r="E3280" s="86"/>
      <c r="F3280" s="308"/>
    </row>
    <row r="3281" spans="2:6">
      <c r="B3281" s="308"/>
      <c r="C3281" s="86"/>
      <c r="D3281" s="86"/>
      <c r="E3281" s="86"/>
      <c r="F3281" s="308"/>
    </row>
    <row r="3282" spans="2:6">
      <c r="B3282" s="308"/>
      <c r="C3282" s="86"/>
      <c r="D3282" s="86"/>
      <c r="E3282" s="86"/>
      <c r="F3282" s="308"/>
    </row>
    <row r="3283" spans="2:6">
      <c r="B3283" s="308"/>
      <c r="C3283" s="86"/>
      <c r="D3283" s="86"/>
      <c r="E3283" s="86"/>
      <c r="F3283" s="308"/>
    </row>
    <row r="3284" spans="2:6">
      <c r="B3284" s="308"/>
      <c r="C3284" s="86"/>
      <c r="D3284" s="86"/>
      <c r="E3284" s="86"/>
      <c r="F3284" s="308"/>
    </row>
    <row r="3285" spans="2:6">
      <c r="B3285" s="308"/>
      <c r="C3285" s="86"/>
      <c r="D3285" s="86"/>
      <c r="E3285" s="86"/>
      <c r="F3285" s="308"/>
    </row>
    <row r="3286" spans="2:6">
      <c r="B3286" s="308"/>
      <c r="C3286" s="86"/>
      <c r="D3286" s="86"/>
      <c r="E3286" s="86"/>
      <c r="F3286" s="308"/>
    </row>
    <row r="3287" spans="2:6">
      <c r="B3287" s="308"/>
      <c r="C3287" s="86"/>
      <c r="D3287" s="86"/>
      <c r="E3287" s="86"/>
      <c r="F3287" s="308"/>
    </row>
    <row r="3288" spans="2:6">
      <c r="B3288" s="308"/>
      <c r="C3288" s="86"/>
      <c r="D3288" s="86"/>
      <c r="E3288" s="86"/>
      <c r="F3288" s="308"/>
    </row>
    <row r="3289" spans="2:6">
      <c r="B3289" s="308"/>
      <c r="C3289" s="86"/>
      <c r="D3289" s="86"/>
      <c r="E3289" s="86"/>
      <c r="F3289" s="308"/>
    </row>
    <row r="3290" spans="2:6">
      <c r="B3290" s="308"/>
      <c r="C3290" s="86"/>
      <c r="D3290" s="86"/>
      <c r="E3290" s="86"/>
      <c r="F3290" s="308"/>
    </row>
    <row r="3291" spans="2:6">
      <c r="B3291" s="308"/>
      <c r="C3291" s="86"/>
      <c r="D3291" s="86"/>
      <c r="E3291" s="86"/>
      <c r="F3291" s="308"/>
    </row>
    <row r="3292" spans="2:6">
      <c r="B3292" s="308"/>
      <c r="C3292" s="86"/>
      <c r="D3292" s="86"/>
      <c r="E3292" s="86"/>
      <c r="F3292" s="308"/>
    </row>
    <row r="3293" spans="2:6">
      <c r="B3293" s="308"/>
      <c r="C3293" s="86"/>
      <c r="D3293" s="86"/>
      <c r="E3293" s="86"/>
      <c r="F3293" s="308"/>
    </row>
    <row r="3294" spans="2:6">
      <c r="B3294" s="308"/>
      <c r="C3294" s="86"/>
      <c r="D3294" s="86"/>
      <c r="E3294" s="86"/>
      <c r="F3294" s="308"/>
    </row>
    <row r="3295" spans="2:6">
      <c r="B3295" s="308"/>
      <c r="C3295" s="86"/>
      <c r="D3295" s="86"/>
      <c r="E3295" s="86"/>
      <c r="F3295" s="308"/>
    </row>
    <row r="3296" spans="2:6">
      <c r="B3296" s="308"/>
      <c r="C3296" s="86"/>
      <c r="D3296" s="86"/>
      <c r="E3296" s="86"/>
      <c r="F3296" s="308"/>
    </row>
    <row r="3297" spans="2:6">
      <c r="B3297" s="308"/>
      <c r="C3297" s="86"/>
      <c r="D3297" s="86"/>
      <c r="E3297" s="86"/>
      <c r="F3297" s="308"/>
    </row>
    <row r="3298" spans="2:6">
      <c r="B3298" s="308"/>
      <c r="C3298" s="86"/>
      <c r="D3298" s="86"/>
      <c r="E3298" s="86"/>
      <c r="F3298" s="308"/>
    </row>
    <row r="3299" spans="2:6">
      <c r="B3299" s="308"/>
      <c r="C3299" s="86"/>
      <c r="D3299" s="86"/>
      <c r="E3299" s="86"/>
      <c r="F3299" s="308"/>
    </row>
    <row r="3300" spans="2:6">
      <c r="B3300" s="308"/>
      <c r="C3300" s="86"/>
      <c r="D3300" s="86"/>
      <c r="E3300" s="86"/>
      <c r="F3300" s="308"/>
    </row>
    <row r="3301" spans="2:6">
      <c r="B3301" s="308"/>
      <c r="C3301" s="86"/>
      <c r="D3301" s="86"/>
      <c r="E3301" s="86"/>
      <c r="F3301" s="308"/>
    </row>
    <row r="3302" spans="2:6">
      <c r="B3302" s="308"/>
      <c r="C3302" s="86"/>
      <c r="D3302" s="86"/>
      <c r="E3302" s="86"/>
      <c r="F3302" s="308"/>
    </row>
    <row r="3303" spans="2:6">
      <c r="B3303" s="308"/>
      <c r="C3303" s="86"/>
      <c r="D3303" s="86"/>
      <c r="E3303" s="86"/>
      <c r="F3303" s="308"/>
    </row>
    <row r="3304" spans="2:6">
      <c r="B3304" s="308"/>
      <c r="C3304" s="86"/>
      <c r="D3304" s="86"/>
      <c r="E3304" s="86"/>
      <c r="F3304" s="308"/>
    </row>
    <row r="3305" spans="2:6">
      <c r="B3305" s="308"/>
      <c r="C3305" s="86"/>
      <c r="D3305" s="86"/>
      <c r="E3305" s="86"/>
      <c r="F3305" s="308"/>
    </row>
    <row r="3306" spans="2:6">
      <c r="B3306" s="308"/>
      <c r="C3306" s="86"/>
      <c r="D3306" s="86"/>
      <c r="E3306" s="86"/>
      <c r="F3306" s="308"/>
    </row>
    <row r="3307" spans="2:6">
      <c r="B3307" s="308"/>
      <c r="C3307" s="86"/>
      <c r="D3307" s="86"/>
      <c r="E3307" s="86"/>
      <c r="F3307" s="308"/>
    </row>
    <row r="3308" spans="2:6">
      <c r="B3308" s="308"/>
      <c r="C3308" s="86"/>
      <c r="D3308" s="86"/>
      <c r="E3308" s="86"/>
      <c r="F3308" s="308"/>
    </row>
    <row r="3309" spans="2:6">
      <c r="B3309" s="308"/>
      <c r="C3309" s="86"/>
      <c r="D3309" s="86"/>
      <c r="E3309" s="86"/>
      <c r="F3309" s="308"/>
    </row>
    <row r="3310" spans="2:6">
      <c r="B3310" s="308"/>
      <c r="C3310" s="86"/>
      <c r="D3310" s="86"/>
      <c r="E3310" s="86"/>
      <c r="F3310" s="308"/>
    </row>
    <row r="3311" spans="2:6">
      <c r="B3311" s="308"/>
      <c r="C3311" s="86"/>
      <c r="D3311" s="86"/>
      <c r="E3311" s="86"/>
      <c r="F3311" s="308"/>
    </row>
    <row r="3312" spans="2:6">
      <c r="B3312" s="308"/>
      <c r="C3312" s="86"/>
      <c r="D3312" s="86"/>
      <c r="E3312" s="86"/>
      <c r="F3312" s="308"/>
    </row>
    <row r="3313" spans="2:6">
      <c r="B3313" s="308"/>
      <c r="C3313" s="86"/>
      <c r="D3313" s="86"/>
      <c r="E3313" s="86"/>
      <c r="F3313" s="308"/>
    </row>
    <row r="3314" spans="2:6">
      <c r="B3314" s="308"/>
      <c r="C3314" s="86"/>
      <c r="D3314" s="86"/>
      <c r="E3314" s="86"/>
      <c r="F3314" s="308"/>
    </row>
    <row r="3315" spans="2:6">
      <c r="B3315" s="308"/>
      <c r="C3315" s="86"/>
      <c r="D3315" s="86"/>
      <c r="E3315" s="86"/>
      <c r="F3315" s="308"/>
    </row>
    <row r="3316" spans="2:6">
      <c r="B3316" s="308"/>
      <c r="C3316" s="86"/>
      <c r="D3316" s="86"/>
      <c r="E3316" s="86"/>
      <c r="F3316" s="308"/>
    </row>
    <row r="3317" spans="2:6">
      <c r="B3317" s="308"/>
      <c r="C3317" s="86"/>
      <c r="D3317" s="86"/>
      <c r="E3317" s="86"/>
      <c r="F3317" s="308"/>
    </row>
    <row r="3318" spans="2:6">
      <c r="B3318" s="308"/>
      <c r="C3318" s="86"/>
      <c r="D3318" s="86"/>
      <c r="E3318" s="86"/>
      <c r="F3318" s="308"/>
    </row>
    <row r="3319" spans="2:6">
      <c r="B3319" s="308"/>
      <c r="C3319" s="86"/>
      <c r="D3319" s="86"/>
      <c r="E3319" s="86"/>
      <c r="F3319" s="308"/>
    </row>
    <row r="3320" spans="2:6">
      <c r="B3320" s="308"/>
      <c r="C3320" s="86"/>
      <c r="D3320" s="86"/>
      <c r="E3320" s="86"/>
      <c r="F3320" s="308"/>
    </row>
    <row r="3321" spans="2:6">
      <c r="B3321" s="308"/>
      <c r="C3321" s="86"/>
      <c r="D3321" s="86"/>
      <c r="E3321" s="86"/>
      <c r="F3321" s="308"/>
    </row>
    <row r="3322" spans="2:6">
      <c r="B3322" s="308"/>
      <c r="C3322" s="86"/>
      <c r="D3322" s="86"/>
      <c r="E3322" s="86"/>
      <c r="F3322" s="308"/>
    </row>
    <row r="3323" spans="2:6">
      <c r="B3323" s="308"/>
      <c r="C3323" s="86"/>
      <c r="D3323" s="86"/>
      <c r="E3323" s="86"/>
      <c r="F3323" s="308"/>
    </row>
    <row r="3324" spans="2:6">
      <c r="B3324" s="308"/>
      <c r="C3324" s="86"/>
      <c r="D3324" s="86"/>
      <c r="E3324" s="86"/>
      <c r="F3324" s="308"/>
    </row>
    <row r="3325" spans="2:6">
      <c r="B3325" s="308"/>
      <c r="C3325" s="86"/>
      <c r="D3325" s="86"/>
      <c r="E3325" s="86"/>
      <c r="F3325" s="308"/>
    </row>
    <row r="3326" spans="2:6">
      <c r="B3326" s="308"/>
      <c r="C3326" s="86"/>
      <c r="D3326" s="86"/>
      <c r="E3326" s="86"/>
      <c r="F3326" s="308"/>
    </row>
    <row r="3327" spans="2:6">
      <c r="B3327" s="308"/>
      <c r="C3327" s="86"/>
      <c r="D3327" s="86"/>
      <c r="E3327" s="86"/>
      <c r="F3327" s="308"/>
    </row>
    <row r="3328" spans="2:6">
      <c r="B3328" s="308"/>
      <c r="C3328" s="86"/>
      <c r="D3328" s="86"/>
      <c r="E3328" s="86"/>
      <c r="F3328" s="308"/>
    </row>
    <row r="3329" spans="2:6">
      <c r="B3329" s="308"/>
      <c r="C3329" s="86"/>
      <c r="D3329" s="86"/>
      <c r="E3329" s="86"/>
      <c r="F3329" s="308"/>
    </row>
    <row r="3330" spans="2:6">
      <c r="B3330" s="308"/>
      <c r="C3330" s="86"/>
      <c r="D3330" s="86"/>
      <c r="E3330" s="86"/>
      <c r="F3330" s="308"/>
    </row>
    <row r="3331" spans="2:6">
      <c r="B3331" s="308"/>
      <c r="C3331" s="86"/>
      <c r="D3331" s="86"/>
      <c r="E3331" s="86"/>
      <c r="F3331" s="308"/>
    </row>
    <row r="3332" spans="2:6">
      <c r="B3332" s="308"/>
      <c r="C3332" s="86"/>
      <c r="D3332" s="86"/>
      <c r="E3332" s="86"/>
      <c r="F3332" s="308"/>
    </row>
    <row r="3333" spans="2:6">
      <c r="B3333" s="308"/>
      <c r="C3333" s="86"/>
      <c r="D3333" s="86"/>
      <c r="E3333" s="86"/>
      <c r="F3333" s="308"/>
    </row>
    <row r="3334" spans="2:6">
      <c r="B3334" s="308"/>
      <c r="C3334" s="86"/>
      <c r="D3334" s="86"/>
      <c r="E3334" s="86"/>
      <c r="F3334" s="308"/>
    </row>
    <row r="3335" spans="2:6">
      <c r="B3335" s="308"/>
      <c r="C3335" s="86"/>
      <c r="D3335" s="86"/>
      <c r="E3335" s="86"/>
      <c r="F3335" s="308"/>
    </row>
    <row r="3336" spans="2:6">
      <c r="B3336" s="308"/>
      <c r="C3336" s="86"/>
      <c r="D3336" s="86"/>
      <c r="E3336" s="86"/>
      <c r="F3336" s="308"/>
    </row>
    <row r="3337" spans="2:6">
      <c r="B3337" s="308"/>
      <c r="C3337" s="86"/>
      <c r="D3337" s="86"/>
      <c r="E3337" s="86"/>
      <c r="F3337" s="308"/>
    </row>
    <row r="3338" spans="2:6">
      <c r="B3338" s="308"/>
      <c r="C3338" s="86"/>
      <c r="D3338" s="86"/>
      <c r="E3338" s="86"/>
      <c r="F3338" s="308"/>
    </row>
    <row r="3339" spans="2:6">
      <c r="B3339" s="308"/>
      <c r="C3339" s="86"/>
      <c r="D3339" s="86"/>
      <c r="E3339" s="86"/>
      <c r="F3339" s="308"/>
    </row>
    <row r="3340" spans="2:6">
      <c r="B3340" s="308"/>
      <c r="C3340" s="86"/>
      <c r="D3340" s="86"/>
      <c r="E3340" s="86"/>
      <c r="F3340" s="308"/>
    </row>
    <row r="3341" spans="2:6">
      <c r="B3341" s="308"/>
      <c r="C3341" s="86"/>
      <c r="D3341" s="86"/>
      <c r="E3341" s="86"/>
      <c r="F3341" s="308"/>
    </row>
    <row r="3342" spans="2:6">
      <c r="B3342" s="308"/>
      <c r="C3342" s="86"/>
      <c r="D3342" s="86"/>
      <c r="E3342" s="86"/>
      <c r="F3342" s="308"/>
    </row>
    <row r="3343" spans="2:6">
      <c r="B3343" s="308"/>
      <c r="C3343" s="86"/>
      <c r="D3343" s="86"/>
      <c r="E3343" s="86"/>
      <c r="F3343" s="308"/>
    </row>
    <row r="3344" spans="2:6">
      <c r="B3344" s="308"/>
      <c r="C3344" s="86"/>
      <c r="D3344" s="86"/>
      <c r="E3344" s="86"/>
      <c r="F3344" s="308"/>
    </row>
    <row r="3345" spans="2:6">
      <c r="B3345" s="308"/>
      <c r="C3345" s="86"/>
      <c r="D3345" s="86"/>
      <c r="E3345" s="86"/>
      <c r="F3345" s="308"/>
    </row>
    <row r="3346" spans="2:6">
      <c r="B3346" s="308"/>
      <c r="C3346" s="86"/>
      <c r="D3346" s="86"/>
      <c r="E3346" s="86"/>
      <c r="F3346" s="308"/>
    </row>
    <row r="3347" spans="2:6">
      <c r="B3347" s="308"/>
      <c r="C3347" s="86"/>
      <c r="D3347" s="86"/>
      <c r="E3347" s="86"/>
      <c r="F3347" s="308"/>
    </row>
    <row r="3348" spans="2:6">
      <c r="B3348" s="308"/>
      <c r="C3348" s="86"/>
      <c r="D3348" s="86"/>
      <c r="E3348" s="86"/>
      <c r="F3348" s="308"/>
    </row>
    <row r="3349" spans="2:6">
      <c r="B3349" s="308"/>
      <c r="C3349" s="86"/>
      <c r="D3349" s="86"/>
      <c r="E3349" s="86"/>
      <c r="F3349" s="308"/>
    </row>
    <row r="3350" spans="2:6">
      <c r="B3350" s="308"/>
      <c r="C3350" s="86"/>
      <c r="D3350" s="86"/>
      <c r="E3350" s="86"/>
      <c r="F3350" s="308"/>
    </row>
    <row r="3351" spans="2:6">
      <c r="B3351" s="308"/>
      <c r="C3351" s="86"/>
      <c r="D3351" s="86"/>
      <c r="E3351" s="86"/>
      <c r="F3351" s="308"/>
    </row>
    <row r="3352" spans="2:6">
      <c r="B3352" s="308"/>
      <c r="C3352" s="86"/>
      <c r="D3352" s="86"/>
      <c r="E3352" s="86"/>
      <c r="F3352" s="308"/>
    </row>
    <row r="3353" spans="2:6">
      <c r="B3353" s="308"/>
      <c r="C3353" s="86"/>
      <c r="D3353" s="86"/>
      <c r="E3353" s="86"/>
      <c r="F3353" s="308"/>
    </row>
    <row r="3354" spans="2:6">
      <c r="B3354" s="308"/>
      <c r="C3354" s="86"/>
      <c r="D3354" s="86"/>
      <c r="E3354" s="86"/>
      <c r="F3354" s="308"/>
    </row>
    <row r="3355" spans="2:6">
      <c r="B3355" s="308"/>
      <c r="C3355" s="86"/>
      <c r="D3355" s="86"/>
      <c r="E3355" s="86"/>
      <c r="F3355" s="308"/>
    </row>
    <row r="3356" spans="2:6">
      <c r="B3356" s="308"/>
      <c r="C3356" s="86"/>
      <c r="D3356" s="86"/>
      <c r="E3356" s="86"/>
      <c r="F3356" s="308"/>
    </row>
    <row r="3357" spans="2:6">
      <c r="B3357" s="308"/>
      <c r="C3357" s="86"/>
      <c r="D3357" s="86"/>
      <c r="E3357" s="86"/>
      <c r="F3357" s="308"/>
    </row>
    <row r="3358" spans="2:6">
      <c r="B3358" s="308"/>
      <c r="C3358" s="86"/>
      <c r="D3358" s="86"/>
      <c r="E3358" s="86"/>
      <c r="F3358" s="308"/>
    </row>
    <row r="3359" spans="2:6">
      <c r="B3359" s="308"/>
      <c r="C3359" s="86"/>
      <c r="D3359" s="86"/>
      <c r="E3359" s="86"/>
      <c r="F3359" s="308"/>
    </row>
    <row r="3360" spans="2:6">
      <c r="B3360" s="308"/>
      <c r="C3360" s="86"/>
      <c r="D3360" s="86"/>
      <c r="E3360" s="86"/>
      <c r="F3360" s="308"/>
    </row>
    <row r="3361" spans="2:6">
      <c r="B3361" s="308"/>
      <c r="C3361" s="86"/>
      <c r="D3361" s="86"/>
      <c r="E3361" s="86"/>
      <c r="F3361" s="308"/>
    </row>
    <row r="3362" spans="2:6">
      <c r="B3362" s="308"/>
      <c r="C3362" s="86"/>
      <c r="D3362" s="86"/>
      <c r="E3362" s="86"/>
      <c r="F3362" s="308"/>
    </row>
    <row r="3363" spans="2:6">
      <c r="B3363" s="308"/>
      <c r="C3363" s="86"/>
      <c r="D3363" s="86"/>
      <c r="E3363" s="86"/>
      <c r="F3363" s="308"/>
    </row>
    <row r="3364" spans="2:6">
      <c r="B3364" s="308"/>
      <c r="C3364" s="86"/>
      <c r="D3364" s="86"/>
      <c r="E3364" s="86"/>
      <c r="F3364" s="308"/>
    </row>
    <row r="3365" spans="2:6">
      <c r="B3365" s="308"/>
      <c r="C3365" s="86"/>
      <c r="D3365" s="86"/>
      <c r="E3365" s="86"/>
      <c r="F3365" s="308"/>
    </row>
    <row r="3366" spans="2:6">
      <c r="B3366" s="308"/>
      <c r="C3366" s="86"/>
      <c r="D3366" s="86"/>
      <c r="E3366" s="86"/>
      <c r="F3366" s="308"/>
    </row>
    <row r="3367" spans="2:6">
      <c r="B3367" s="308"/>
      <c r="C3367" s="86"/>
      <c r="D3367" s="86"/>
      <c r="E3367" s="86"/>
      <c r="F3367" s="308"/>
    </row>
    <row r="3368" spans="2:6">
      <c r="B3368" s="308"/>
      <c r="C3368" s="86"/>
      <c r="D3368" s="86"/>
      <c r="E3368" s="86"/>
      <c r="F3368" s="308"/>
    </row>
    <row r="3369" spans="2:6">
      <c r="B3369" s="308"/>
      <c r="C3369" s="86"/>
      <c r="D3369" s="86"/>
      <c r="E3369" s="86"/>
      <c r="F3369" s="308"/>
    </row>
    <row r="3370" spans="2:6">
      <c r="B3370" s="308"/>
      <c r="C3370" s="86"/>
      <c r="D3370" s="86"/>
      <c r="E3370" s="86"/>
      <c r="F3370" s="308"/>
    </row>
    <row r="3371" spans="2:6">
      <c r="B3371" s="308"/>
      <c r="C3371" s="86"/>
      <c r="D3371" s="86"/>
      <c r="E3371" s="86"/>
      <c r="F3371" s="308"/>
    </row>
    <row r="3372" spans="2:6">
      <c r="B3372" s="308"/>
      <c r="C3372" s="86"/>
      <c r="D3372" s="86"/>
      <c r="E3372" s="86"/>
      <c r="F3372" s="308"/>
    </row>
    <row r="3373" spans="2:6">
      <c r="B3373" s="308"/>
      <c r="C3373" s="86"/>
      <c r="D3373" s="86"/>
      <c r="E3373" s="86"/>
      <c r="F3373" s="308"/>
    </row>
    <row r="3374" spans="2:6">
      <c r="B3374" s="308"/>
      <c r="C3374" s="86"/>
      <c r="D3374" s="86"/>
      <c r="E3374" s="86"/>
      <c r="F3374" s="308"/>
    </row>
    <row r="3375" spans="2:6">
      <c r="B3375" s="308"/>
      <c r="C3375" s="86"/>
      <c r="D3375" s="86"/>
      <c r="E3375" s="86"/>
      <c r="F3375" s="308"/>
    </row>
    <row r="3376" spans="2:6">
      <c r="B3376" s="308"/>
      <c r="C3376" s="86"/>
      <c r="D3376" s="86"/>
      <c r="E3376" s="86"/>
      <c r="F3376" s="308"/>
    </row>
    <row r="3377" spans="2:6">
      <c r="B3377" s="308"/>
      <c r="C3377" s="86"/>
      <c r="D3377" s="86"/>
      <c r="E3377" s="86"/>
      <c r="F3377" s="308"/>
    </row>
    <row r="3378" spans="2:6">
      <c r="B3378" s="308"/>
      <c r="C3378" s="86"/>
      <c r="D3378" s="86"/>
      <c r="E3378" s="86"/>
      <c r="F3378" s="308"/>
    </row>
    <row r="3379" spans="2:6">
      <c r="B3379" s="308"/>
      <c r="C3379" s="86"/>
      <c r="D3379" s="86"/>
      <c r="E3379" s="86"/>
      <c r="F3379" s="308"/>
    </row>
    <row r="3380" spans="2:6">
      <c r="B3380" s="308"/>
      <c r="C3380" s="86"/>
      <c r="D3380" s="86"/>
      <c r="E3380" s="86"/>
      <c r="F3380" s="308"/>
    </row>
    <row r="3381" spans="2:6">
      <c r="B3381" s="308"/>
      <c r="C3381" s="86"/>
      <c r="D3381" s="86"/>
      <c r="E3381" s="86"/>
      <c r="F3381" s="308"/>
    </row>
    <row r="3382" spans="2:6">
      <c r="B3382" s="308"/>
      <c r="C3382" s="86"/>
      <c r="D3382" s="86"/>
      <c r="E3382" s="86"/>
      <c r="F3382" s="308"/>
    </row>
    <row r="3383" spans="2:6">
      <c r="B3383" s="308"/>
      <c r="C3383" s="86"/>
      <c r="D3383" s="86"/>
      <c r="E3383" s="86"/>
      <c r="F3383" s="308"/>
    </row>
    <row r="3384" spans="2:6">
      <c r="B3384" s="308"/>
      <c r="C3384" s="86"/>
      <c r="D3384" s="86"/>
      <c r="E3384" s="86"/>
      <c r="F3384" s="308"/>
    </row>
    <row r="3385" spans="2:6">
      <c r="B3385" s="308"/>
      <c r="C3385" s="86"/>
      <c r="D3385" s="86"/>
      <c r="E3385" s="86"/>
      <c r="F3385" s="308"/>
    </row>
    <row r="3386" spans="2:6">
      <c r="B3386" s="308"/>
      <c r="C3386" s="86"/>
      <c r="D3386" s="86"/>
      <c r="E3386" s="86"/>
      <c r="F3386" s="308"/>
    </row>
    <row r="3387" spans="2:6">
      <c r="B3387" s="308"/>
      <c r="C3387" s="86"/>
      <c r="D3387" s="86"/>
      <c r="E3387" s="86"/>
      <c r="F3387" s="308"/>
    </row>
    <row r="3388" spans="2:6">
      <c r="B3388" s="308"/>
      <c r="C3388" s="86"/>
      <c r="D3388" s="86"/>
      <c r="E3388" s="86"/>
      <c r="F3388" s="308"/>
    </row>
    <row r="3389" spans="2:6">
      <c r="B3389" s="308"/>
      <c r="C3389" s="86"/>
      <c r="D3389" s="86"/>
      <c r="E3389" s="86"/>
      <c r="F3389" s="308"/>
    </row>
    <row r="3390" spans="2:6">
      <c r="B3390" s="308"/>
      <c r="C3390" s="86"/>
      <c r="D3390" s="86"/>
      <c r="E3390" s="86"/>
      <c r="F3390" s="308"/>
    </row>
    <row r="3391" spans="2:6">
      <c r="B3391" s="308"/>
      <c r="C3391" s="86"/>
      <c r="D3391" s="86"/>
      <c r="E3391" s="86"/>
      <c r="F3391" s="308"/>
    </row>
    <row r="3392" spans="2:6">
      <c r="B3392" s="308"/>
      <c r="C3392" s="86"/>
      <c r="D3392" s="86"/>
      <c r="E3392" s="86"/>
      <c r="F3392" s="308"/>
    </row>
    <row r="3393" spans="2:6">
      <c r="B3393" s="308"/>
      <c r="C3393" s="86"/>
      <c r="D3393" s="86"/>
      <c r="E3393" s="86"/>
      <c r="F3393" s="308"/>
    </row>
    <row r="3394" spans="2:6">
      <c r="B3394" s="308"/>
      <c r="C3394" s="86"/>
      <c r="D3394" s="86"/>
      <c r="E3394" s="86"/>
      <c r="F3394" s="308"/>
    </row>
    <row r="3395" spans="2:6">
      <c r="B3395" s="308"/>
      <c r="C3395" s="86"/>
      <c r="D3395" s="86"/>
      <c r="E3395" s="86"/>
      <c r="F3395" s="308"/>
    </row>
    <row r="3396" spans="2:6">
      <c r="B3396" s="308"/>
      <c r="C3396" s="86"/>
      <c r="D3396" s="86"/>
      <c r="E3396" s="86"/>
      <c r="F3396" s="308"/>
    </row>
    <row r="3397" spans="2:6">
      <c r="B3397" s="308"/>
      <c r="C3397" s="86"/>
      <c r="D3397" s="86"/>
      <c r="E3397" s="86"/>
      <c r="F3397" s="308"/>
    </row>
    <row r="3398" spans="2:6">
      <c r="B3398" s="308"/>
      <c r="C3398" s="86"/>
      <c r="D3398" s="86"/>
      <c r="E3398" s="86"/>
      <c r="F3398" s="308"/>
    </row>
    <row r="3399" spans="2:6">
      <c r="B3399" s="308"/>
      <c r="C3399" s="86"/>
      <c r="D3399" s="86"/>
      <c r="E3399" s="86"/>
      <c r="F3399" s="308"/>
    </row>
    <row r="3400" spans="2:6">
      <c r="B3400" s="308"/>
      <c r="C3400" s="86"/>
      <c r="D3400" s="86"/>
      <c r="E3400" s="86"/>
      <c r="F3400" s="308"/>
    </row>
    <row r="3401" spans="2:6">
      <c r="B3401" s="308"/>
      <c r="C3401" s="86"/>
      <c r="D3401" s="86"/>
      <c r="E3401" s="86"/>
      <c r="F3401" s="308"/>
    </row>
    <row r="3402" spans="2:6">
      <c r="B3402" s="308"/>
      <c r="C3402" s="86"/>
      <c r="D3402" s="86"/>
      <c r="E3402" s="86"/>
      <c r="F3402" s="308"/>
    </row>
    <row r="3403" spans="2:6">
      <c r="B3403" s="308"/>
      <c r="C3403" s="86"/>
      <c r="D3403" s="86"/>
      <c r="E3403" s="86"/>
      <c r="F3403" s="308"/>
    </row>
    <row r="3404" spans="2:6">
      <c r="B3404" s="308"/>
      <c r="C3404" s="86"/>
      <c r="D3404" s="86"/>
      <c r="E3404" s="86"/>
      <c r="F3404" s="308"/>
    </row>
    <row r="3405" spans="2:6">
      <c r="B3405" s="308"/>
      <c r="C3405" s="86"/>
      <c r="D3405" s="86"/>
      <c r="E3405" s="86"/>
      <c r="F3405" s="308"/>
    </row>
    <row r="3406" spans="2:6">
      <c r="B3406" s="308"/>
      <c r="C3406" s="86"/>
      <c r="D3406" s="86"/>
      <c r="E3406" s="86"/>
      <c r="F3406" s="308"/>
    </row>
    <row r="3407" spans="2:6">
      <c r="B3407" s="308"/>
      <c r="C3407" s="86"/>
      <c r="D3407" s="86"/>
      <c r="E3407" s="86"/>
      <c r="F3407" s="308"/>
    </row>
    <row r="3408" spans="2:6">
      <c r="B3408" s="308"/>
      <c r="C3408" s="86"/>
      <c r="D3408" s="86"/>
      <c r="E3408" s="86"/>
      <c r="F3408" s="308"/>
    </row>
    <row r="3409" spans="2:6">
      <c r="B3409" s="308"/>
      <c r="C3409" s="86"/>
      <c r="D3409" s="86"/>
      <c r="E3409" s="86"/>
      <c r="F3409" s="308"/>
    </row>
    <row r="3410" spans="2:6">
      <c r="B3410" s="308"/>
      <c r="C3410" s="86"/>
      <c r="D3410" s="86"/>
      <c r="E3410" s="86"/>
      <c r="F3410" s="308"/>
    </row>
    <row r="3411" spans="2:6">
      <c r="B3411" s="308"/>
      <c r="C3411" s="86"/>
      <c r="D3411" s="86"/>
      <c r="E3411" s="86"/>
      <c r="F3411" s="308"/>
    </row>
    <row r="3412" spans="2:6">
      <c r="B3412" s="308"/>
      <c r="C3412" s="86"/>
      <c r="D3412" s="86"/>
      <c r="E3412" s="86"/>
      <c r="F3412" s="308"/>
    </row>
    <row r="3413" spans="2:6">
      <c r="B3413" s="308"/>
      <c r="C3413" s="86"/>
      <c r="D3413" s="86"/>
      <c r="E3413" s="86"/>
      <c r="F3413" s="308"/>
    </row>
    <row r="3414" spans="2:6">
      <c r="B3414" s="308"/>
      <c r="C3414" s="86"/>
      <c r="D3414" s="86"/>
      <c r="E3414" s="86"/>
      <c r="F3414" s="308"/>
    </row>
    <row r="3415" spans="2:6">
      <c r="B3415" s="308"/>
      <c r="C3415" s="86"/>
      <c r="D3415" s="86"/>
      <c r="E3415" s="86"/>
      <c r="F3415" s="308"/>
    </row>
    <row r="3416" spans="2:6">
      <c r="B3416" s="308"/>
      <c r="C3416" s="86"/>
      <c r="D3416" s="86"/>
      <c r="E3416" s="86"/>
      <c r="F3416" s="308"/>
    </row>
    <row r="3417" spans="2:6">
      <c r="B3417" s="308"/>
      <c r="C3417" s="86"/>
      <c r="D3417" s="86"/>
      <c r="E3417" s="86"/>
      <c r="F3417" s="308"/>
    </row>
    <row r="3418" spans="2:6">
      <c r="B3418" s="308"/>
      <c r="C3418" s="86"/>
      <c r="D3418" s="86"/>
      <c r="E3418" s="86"/>
      <c r="F3418" s="308"/>
    </row>
    <row r="3419" spans="2:6">
      <c r="B3419" s="308"/>
      <c r="C3419" s="86"/>
      <c r="D3419" s="86"/>
      <c r="E3419" s="86"/>
      <c r="F3419" s="308"/>
    </row>
    <row r="3420" spans="2:6">
      <c r="B3420" s="308"/>
      <c r="C3420" s="86"/>
      <c r="D3420" s="86"/>
      <c r="E3420" s="86"/>
      <c r="F3420" s="308"/>
    </row>
    <row r="3421" spans="2:6">
      <c r="B3421" s="308"/>
      <c r="C3421" s="86"/>
      <c r="D3421" s="86"/>
      <c r="E3421" s="86"/>
      <c r="F3421" s="308"/>
    </row>
    <row r="3422" spans="2:6">
      <c r="B3422" s="308"/>
      <c r="C3422" s="86"/>
      <c r="D3422" s="86"/>
      <c r="E3422" s="86"/>
      <c r="F3422" s="308"/>
    </row>
    <row r="3423" spans="2:6">
      <c r="B3423" s="308"/>
      <c r="C3423" s="86"/>
      <c r="D3423" s="86"/>
      <c r="E3423" s="86"/>
      <c r="F3423" s="308"/>
    </row>
    <row r="3424" spans="2:6">
      <c r="B3424" s="308"/>
      <c r="C3424" s="86"/>
      <c r="D3424" s="86"/>
      <c r="E3424" s="86"/>
      <c r="F3424" s="308"/>
    </row>
    <row r="3425" spans="2:6">
      <c r="B3425" s="308"/>
      <c r="C3425" s="86"/>
      <c r="D3425" s="86"/>
      <c r="E3425" s="86"/>
      <c r="F3425" s="308"/>
    </row>
    <row r="3426" spans="2:6">
      <c r="B3426" s="308"/>
      <c r="C3426" s="86"/>
      <c r="D3426" s="86"/>
      <c r="E3426" s="86"/>
      <c r="F3426" s="308"/>
    </row>
    <row r="3427" spans="2:6">
      <c r="B3427" s="308"/>
      <c r="C3427" s="86"/>
      <c r="D3427" s="86"/>
      <c r="E3427" s="86"/>
      <c r="F3427" s="308"/>
    </row>
    <row r="3428" spans="2:6">
      <c r="B3428" s="308"/>
      <c r="C3428" s="86"/>
      <c r="D3428" s="86"/>
      <c r="E3428" s="86"/>
      <c r="F3428" s="308"/>
    </row>
    <row r="3429" spans="2:6">
      <c r="B3429" s="308"/>
      <c r="C3429" s="86"/>
      <c r="D3429" s="86"/>
      <c r="E3429" s="86"/>
      <c r="F3429" s="308"/>
    </row>
    <row r="3430" spans="2:6">
      <c r="B3430" s="308"/>
      <c r="C3430" s="86"/>
      <c r="D3430" s="86"/>
      <c r="E3430" s="86"/>
      <c r="F3430" s="308"/>
    </row>
    <row r="3431" spans="2:6">
      <c r="B3431" s="308"/>
      <c r="C3431" s="86"/>
      <c r="D3431" s="86"/>
      <c r="E3431" s="86"/>
      <c r="F3431" s="308"/>
    </row>
    <row r="3432" spans="2:6">
      <c r="B3432" s="308"/>
      <c r="C3432" s="86"/>
      <c r="D3432" s="86"/>
      <c r="E3432" s="86"/>
      <c r="F3432" s="308"/>
    </row>
    <row r="3433" spans="2:6">
      <c r="B3433" s="308"/>
      <c r="C3433" s="86"/>
      <c r="D3433" s="86"/>
      <c r="E3433" s="86"/>
      <c r="F3433" s="308"/>
    </row>
    <row r="3434" spans="2:6">
      <c r="B3434" s="308"/>
      <c r="C3434" s="86"/>
      <c r="D3434" s="86"/>
      <c r="E3434" s="86"/>
      <c r="F3434" s="308"/>
    </row>
    <row r="3435" spans="2:6">
      <c r="B3435" s="308"/>
      <c r="C3435" s="86"/>
      <c r="D3435" s="86"/>
      <c r="E3435" s="86"/>
      <c r="F3435" s="308"/>
    </row>
    <row r="3436" spans="2:6">
      <c r="B3436" s="308"/>
      <c r="C3436" s="86"/>
      <c r="D3436" s="86"/>
      <c r="E3436" s="86"/>
      <c r="F3436" s="308"/>
    </row>
    <row r="3437" spans="2:6">
      <c r="B3437" s="308"/>
      <c r="C3437" s="86"/>
      <c r="D3437" s="86"/>
      <c r="E3437" s="86"/>
      <c r="F3437" s="308"/>
    </row>
    <row r="3438" spans="2:6">
      <c r="B3438" s="308"/>
      <c r="C3438" s="86"/>
      <c r="D3438" s="86"/>
      <c r="E3438" s="86"/>
      <c r="F3438" s="308"/>
    </row>
    <row r="3439" spans="2:6">
      <c r="B3439" s="308"/>
      <c r="C3439" s="86"/>
      <c r="D3439" s="86"/>
      <c r="E3439" s="86"/>
      <c r="F3439" s="308"/>
    </row>
    <row r="3440" spans="2:6">
      <c r="B3440" s="308"/>
      <c r="C3440" s="86"/>
      <c r="D3440" s="86"/>
      <c r="E3440" s="86"/>
      <c r="F3440" s="308"/>
    </row>
    <row r="3441" spans="2:6">
      <c r="B3441" s="308"/>
      <c r="C3441" s="86"/>
      <c r="D3441" s="86"/>
      <c r="E3441" s="86"/>
      <c r="F3441" s="308"/>
    </row>
    <row r="3442" spans="2:6">
      <c r="B3442" s="308"/>
      <c r="C3442" s="86"/>
      <c r="D3442" s="86"/>
      <c r="E3442" s="86"/>
      <c r="F3442" s="308"/>
    </row>
    <row r="3443" spans="2:6">
      <c r="B3443" s="308"/>
      <c r="C3443" s="86"/>
      <c r="D3443" s="86"/>
      <c r="E3443" s="86"/>
      <c r="F3443" s="308"/>
    </row>
    <row r="3444" spans="2:6">
      <c r="B3444" s="308"/>
      <c r="C3444" s="86"/>
      <c r="D3444" s="86"/>
      <c r="E3444" s="86"/>
      <c r="F3444" s="308"/>
    </row>
    <row r="3445" spans="2:6">
      <c r="B3445" s="308"/>
      <c r="C3445" s="86"/>
      <c r="D3445" s="86"/>
      <c r="E3445" s="86"/>
      <c r="F3445" s="308"/>
    </row>
    <row r="3446" spans="2:6">
      <c r="B3446" s="308"/>
      <c r="C3446" s="86"/>
      <c r="D3446" s="86"/>
      <c r="E3446" s="86"/>
      <c r="F3446" s="308"/>
    </row>
    <row r="3447" spans="2:6">
      <c r="B3447" s="308"/>
      <c r="C3447" s="86"/>
      <c r="D3447" s="86"/>
      <c r="E3447" s="86"/>
      <c r="F3447" s="308"/>
    </row>
    <row r="3448" spans="2:6">
      <c r="B3448" s="308"/>
      <c r="C3448" s="86"/>
      <c r="D3448" s="86"/>
      <c r="E3448" s="86"/>
      <c r="F3448" s="308"/>
    </row>
    <row r="3449" spans="2:6">
      <c r="B3449" s="308"/>
      <c r="C3449" s="86"/>
      <c r="D3449" s="86"/>
      <c r="E3449" s="86"/>
      <c r="F3449" s="308"/>
    </row>
    <row r="3450" spans="2:6">
      <c r="B3450" s="308"/>
      <c r="C3450" s="86"/>
      <c r="D3450" s="86"/>
      <c r="E3450" s="86"/>
      <c r="F3450" s="308"/>
    </row>
    <row r="3451" spans="2:6">
      <c r="B3451" s="308"/>
      <c r="C3451" s="86"/>
      <c r="D3451" s="86"/>
      <c r="E3451" s="86"/>
      <c r="F3451" s="308"/>
    </row>
    <row r="3452" spans="2:6">
      <c r="B3452" s="308"/>
      <c r="C3452" s="86"/>
      <c r="D3452" s="86"/>
      <c r="E3452" s="86"/>
      <c r="F3452" s="308"/>
    </row>
    <row r="3453" spans="2:6">
      <c r="B3453" s="308"/>
      <c r="C3453" s="86"/>
      <c r="D3453" s="86"/>
      <c r="E3453" s="86"/>
      <c r="F3453" s="308"/>
    </row>
    <row r="3454" spans="2:6">
      <c r="B3454" s="308"/>
      <c r="C3454" s="86"/>
      <c r="D3454" s="86"/>
      <c r="E3454" s="86"/>
      <c r="F3454" s="308"/>
    </row>
    <row r="3455" spans="2:6">
      <c r="B3455" s="308"/>
      <c r="C3455" s="86"/>
      <c r="D3455" s="86"/>
      <c r="E3455" s="86"/>
      <c r="F3455" s="308"/>
    </row>
    <row r="3456" spans="2:6">
      <c r="B3456" s="308"/>
      <c r="C3456" s="86"/>
      <c r="D3456" s="86"/>
      <c r="E3456" s="86"/>
      <c r="F3456" s="308"/>
    </row>
    <row r="3457" spans="2:6">
      <c r="B3457" s="308"/>
      <c r="C3457" s="86"/>
      <c r="D3457" s="86"/>
      <c r="E3457" s="86"/>
      <c r="F3457" s="308"/>
    </row>
    <row r="3458" spans="2:6">
      <c r="B3458" s="308"/>
      <c r="C3458" s="86"/>
      <c r="D3458" s="86"/>
      <c r="E3458" s="86"/>
      <c r="F3458" s="308"/>
    </row>
    <row r="3459" spans="2:6">
      <c r="B3459" s="308"/>
      <c r="C3459" s="86"/>
      <c r="D3459" s="86"/>
      <c r="E3459" s="86"/>
      <c r="F3459" s="308"/>
    </row>
    <row r="3460" spans="2:6">
      <c r="B3460" s="308"/>
      <c r="C3460" s="86"/>
      <c r="D3460" s="86"/>
      <c r="E3460" s="86"/>
      <c r="F3460" s="308"/>
    </row>
    <row r="3461" spans="2:6">
      <c r="B3461" s="308"/>
      <c r="C3461" s="86"/>
      <c r="D3461" s="86"/>
      <c r="E3461" s="86"/>
      <c r="F3461" s="308"/>
    </row>
    <row r="3462" spans="2:6">
      <c r="B3462" s="308"/>
      <c r="C3462" s="86"/>
      <c r="D3462" s="86"/>
      <c r="E3462" s="86"/>
      <c r="F3462" s="308"/>
    </row>
    <row r="3463" spans="2:6">
      <c r="B3463" s="308"/>
      <c r="C3463" s="86"/>
      <c r="D3463" s="86"/>
      <c r="E3463" s="86"/>
      <c r="F3463" s="308"/>
    </row>
    <row r="3464" spans="2:6">
      <c r="B3464" s="308"/>
      <c r="C3464" s="86"/>
      <c r="D3464" s="86"/>
      <c r="E3464" s="86"/>
      <c r="F3464" s="308"/>
    </row>
    <row r="3465" spans="2:6">
      <c r="B3465" s="308"/>
      <c r="C3465" s="86"/>
      <c r="D3465" s="86"/>
      <c r="E3465" s="86"/>
      <c r="F3465" s="308"/>
    </row>
    <row r="3466" spans="2:6">
      <c r="B3466" s="308"/>
      <c r="C3466" s="86"/>
      <c r="D3466" s="86"/>
      <c r="E3466" s="86"/>
      <c r="F3466" s="308"/>
    </row>
    <row r="3467" spans="2:6">
      <c r="B3467" s="308"/>
      <c r="C3467" s="86"/>
      <c r="D3467" s="86"/>
      <c r="E3467" s="86"/>
      <c r="F3467" s="308"/>
    </row>
    <row r="3468" spans="2:6">
      <c r="B3468" s="308"/>
      <c r="C3468" s="86"/>
      <c r="D3468" s="86"/>
      <c r="E3468" s="86"/>
      <c r="F3468" s="308"/>
    </row>
    <row r="3469" spans="2:6">
      <c r="B3469" s="308"/>
      <c r="C3469" s="86"/>
      <c r="D3469" s="86"/>
      <c r="E3469" s="86"/>
      <c r="F3469" s="308"/>
    </row>
    <row r="3470" spans="2:6">
      <c r="B3470" s="308"/>
      <c r="C3470" s="86"/>
      <c r="D3470" s="86"/>
      <c r="E3470" s="86"/>
      <c r="F3470" s="308"/>
    </row>
    <row r="3471" spans="2:6">
      <c r="B3471" s="308"/>
      <c r="C3471" s="86"/>
      <c r="D3471" s="86"/>
      <c r="E3471" s="86"/>
      <c r="F3471" s="308"/>
    </row>
    <row r="3472" spans="2:6">
      <c r="B3472" s="308"/>
      <c r="C3472" s="86"/>
      <c r="D3472" s="86"/>
      <c r="E3472" s="86"/>
      <c r="F3472" s="308"/>
    </row>
    <row r="3473" spans="2:6">
      <c r="B3473" s="308"/>
      <c r="C3473" s="86"/>
      <c r="D3473" s="86"/>
      <c r="E3473" s="86"/>
      <c r="F3473" s="308"/>
    </row>
    <row r="3474" spans="2:6">
      <c r="B3474" s="308"/>
      <c r="C3474" s="86"/>
      <c r="D3474" s="86"/>
      <c r="E3474" s="86"/>
      <c r="F3474" s="308"/>
    </row>
    <row r="3475" spans="2:6">
      <c r="B3475" s="308"/>
      <c r="C3475" s="86"/>
      <c r="D3475" s="86"/>
      <c r="E3475" s="86"/>
      <c r="F3475" s="308"/>
    </row>
    <row r="3476" spans="2:6">
      <c r="B3476" s="308"/>
      <c r="C3476" s="86"/>
      <c r="D3476" s="86"/>
      <c r="E3476" s="86"/>
      <c r="F3476" s="308"/>
    </row>
    <row r="3477" spans="2:6">
      <c r="B3477" s="308"/>
      <c r="C3477" s="86"/>
      <c r="D3477" s="86"/>
      <c r="E3477" s="86"/>
      <c r="F3477" s="308"/>
    </row>
    <row r="3478" spans="2:6">
      <c r="B3478" s="308"/>
      <c r="C3478" s="86"/>
      <c r="D3478" s="86"/>
      <c r="E3478" s="86"/>
      <c r="F3478" s="308"/>
    </row>
    <row r="3479" spans="2:6">
      <c r="B3479" s="308"/>
      <c r="C3479" s="86"/>
      <c r="D3479" s="86"/>
      <c r="E3479" s="86"/>
      <c r="F3479" s="308"/>
    </row>
    <row r="3480" spans="2:6">
      <c r="B3480" s="308"/>
      <c r="C3480" s="86"/>
      <c r="D3480" s="86"/>
      <c r="E3480" s="86"/>
      <c r="F3480" s="308"/>
    </row>
    <row r="3481" spans="2:6">
      <c r="B3481" s="308"/>
      <c r="C3481" s="86"/>
      <c r="D3481" s="86"/>
      <c r="E3481" s="86"/>
      <c r="F3481" s="308"/>
    </row>
    <row r="3482" spans="2:6">
      <c r="B3482" s="308"/>
      <c r="C3482" s="86"/>
      <c r="D3482" s="86"/>
      <c r="E3482" s="86"/>
      <c r="F3482" s="308"/>
    </row>
    <row r="3483" spans="2:6">
      <c r="B3483" s="308"/>
      <c r="C3483" s="86"/>
      <c r="D3483" s="86"/>
      <c r="E3483" s="86"/>
      <c r="F3483" s="308"/>
    </row>
    <row r="3484" spans="2:6">
      <c r="B3484" s="308"/>
      <c r="C3484" s="86"/>
      <c r="D3484" s="86"/>
      <c r="E3484" s="86"/>
      <c r="F3484" s="308"/>
    </row>
    <row r="3485" spans="2:6">
      <c r="B3485" s="308"/>
      <c r="C3485" s="86"/>
      <c r="D3485" s="86"/>
      <c r="E3485" s="86"/>
      <c r="F3485" s="308"/>
    </row>
    <row r="3486" spans="2:6">
      <c r="B3486" s="308"/>
      <c r="C3486" s="86"/>
      <c r="D3486" s="86"/>
      <c r="E3486" s="86"/>
      <c r="F3486" s="308"/>
    </row>
    <row r="3487" spans="2:6">
      <c r="B3487" s="308"/>
      <c r="C3487" s="86"/>
      <c r="D3487" s="86"/>
      <c r="E3487" s="86"/>
      <c r="F3487" s="308"/>
    </row>
    <row r="3488" spans="2:6">
      <c r="B3488" s="308"/>
      <c r="C3488" s="86"/>
      <c r="D3488" s="86"/>
      <c r="E3488" s="86"/>
      <c r="F3488" s="308"/>
    </row>
    <row r="3489" spans="2:6">
      <c r="B3489" s="308"/>
      <c r="C3489" s="86"/>
      <c r="D3489" s="86"/>
      <c r="E3489" s="86"/>
      <c r="F3489" s="308"/>
    </row>
    <row r="3490" spans="2:6">
      <c r="B3490" s="308"/>
      <c r="C3490" s="86"/>
      <c r="D3490" s="86"/>
      <c r="E3490" s="86"/>
      <c r="F3490" s="308"/>
    </row>
    <row r="3491" spans="2:6">
      <c r="B3491" s="308"/>
      <c r="C3491" s="86"/>
      <c r="D3491" s="86"/>
      <c r="E3491" s="86"/>
      <c r="F3491" s="308"/>
    </row>
    <row r="3492" spans="2:6">
      <c r="B3492" s="308"/>
      <c r="C3492" s="86"/>
      <c r="D3492" s="86"/>
      <c r="E3492" s="86"/>
      <c r="F3492" s="308"/>
    </row>
    <row r="3493" spans="2:6">
      <c r="B3493" s="308"/>
      <c r="C3493" s="86"/>
      <c r="D3493" s="86"/>
      <c r="E3493" s="86"/>
      <c r="F3493" s="308"/>
    </row>
    <row r="3494" spans="2:6">
      <c r="B3494" s="308"/>
      <c r="C3494" s="86"/>
      <c r="D3494" s="86"/>
      <c r="E3494" s="86"/>
      <c r="F3494" s="308"/>
    </row>
    <row r="3495" spans="2:6">
      <c r="B3495" s="308"/>
      <c r="C3495" s="86"/>
      <c r="D3495" s="86"/>
      <c r="E3495" s="86"/>
      <c r="F3495" s="308"/>
    </row>
    <row r="3496" spans="2:6">
      <c r="B3496" s="308"/>
      <c r="C3496" s="86"/>
      <c r="D3496" s="86"/>
      <c r="E3496" s="86"/>
      <c r="F3496" s="308"/>
    </row>
    <row r="3497" spans="2:6">
      <c r="B3497" s="308"/>
      <c r="C3497" s="86"/>
      <c r="D3497" s="86"/>
      <c r="E3497" s="86"/>
      <c r="F3497" s="308"/>
    </row>
    <row r="3498" spans="2:6">
      <c r="B3498" s="308"/>
      <c r="C3498" s="86"/>
      <c r="D3498" s="86"/>
      <c r="E3498" s="86"/>
      <c r="F3498" s="308"/>
    </row>
    <row r="3499" spans="2:6">
      <c r="B3499" s="308"/>
      <c r="C3499" s="86"/>
      <c r="D3499" s="86"/>
      <c r="E3499" s="86"/>
      <c r="F3499" s="308"/>
    </row>
    <row r="3500" spans="2:6">
      <c r="B3500" s="308"/>
      <c r="C3500" s="86"/>
      <c r="D3500" s="86"/>
      <c r="E3500" s="86"/>
      <c r="F3500" s="308"/>
    </row>
    <row r="3501" spans="2:6">
      <c r="B3501" s="308"/>
      <c r="C3501" s="86"/>
      <c r="D3501" s="86"/>
      <c r="E3501" s="86"/>
      <c r="F3501" s="308"/>
    </row>
    <row r="3502" spans="2:6">
      <c r="B3502" s="308"/>
      <c r="C3502" s="86"/>
      <c r="D3502" s="86"/>
      <c r="E3502" s="86"/>
      <c r="F3502" s="308"/>
    </row>
    <row r="3503" spans="2:6">
      <c r="B3503" s="308"/>
      <c r="C3503" s="86"/>
      <c r="D3503" s="86"/>
      <c r="E3503" s="86"/>
      <c r="F3503" s="308"/>
    </row>
    <row r="3504" spans="2:6">
      <c r="B3504" s="308"/>
      <c r="C3504" s="86"/>
      <c r="D3504" s="86"/>
      <c r="E3504" s="86"/>
      <c r="F3504" s="308"/>
    </row>
    <row r="3505" spans="2:6">
      <c r="B3505" s="308"/>
      <c r="C3505" s="86"/>
      <c r="D3505" s="86"/>
      <c r="E3505" s="86"/>
      <c r="F3505" s="308"/>
    </row>
    <row r="3506" spans="2:6">
      <c r="B3506" s="308"/>
      <c r="C3506" s="86"/>
      <c r="D3506" s="86"/>
      <c r="E3506" s="86"/>
      <c r="F3506" s="308"/>
    </row>
    <row r="3507" spans="2:6">
      <c r="B3507" s="308"/>
      <c r="C3507" s="86"/>
      <c r="D3507" s="86"/>
      <c r="E3507" s="86"/>
      <c r="F3507" s="308"/>
    </row>
    <row r="3508" spans="2:6">
      <c r="B3508" s="308"/>
      <c r="C3508" s="86"/>
      <c r="D3508" s="86"/>
      <c r="E3508" s="86"/>
      <c r="F3508" s="308"/>
    </row>
    <row r="3509" spans="2:6">
      <c r="B3509" s="308"/>
      <c r="C3509" s="86"/>
      <c r="D3509" s="86"/>
      <c r="E3509" s="86"/>
      <c r="F3509" s="308"/>
    </row>
    <row r="3510" spans="2:6">
      <c r="B3510" s="308"/>
      <c r="C3510" s="86"/>
      <c r="D3510" s="86"/>
      <c r="E3510" s="86"/>
      <c r="F3510" s="308"/>
    </row>
    <row r="3511" spans="2:6">
      <c r="B3511" s="308"/>
      <c r="C3511" s="86"/>
      <c r="D3511" s="86"/>
      <c r="E3511" s="86"/>
      <c r="F3511" s="308"/>
    </row>
    <row r="3512" spans="2:6">
      <c r="B3512" s="308"/>
      <c r="C3512" s="86"/>
      <c r="D3512" s="86"/>
      <c r="E3512" s="86"/>
      <c r="F3512" s="308"/>
    </row>
    <row r="3513" spans="2:6">
      <c r="B3513" s="308"/>
      <c r="C3513" s="86"/>
      <c r="D3513" s="86"/>
      <c r="E3513" s="86"/>
      <c r="F3513" s="308"/>
    </row>
    <row r="3514" spans="2:6">
      <c r="B3514" s="308"/>
      <c r="C3514" s="86"/>
      <c r="D3514" s="86"/>
      <c r="E3514" s="86"/>
      <c r="F3514" s="308"/>
    </row>
    <row r="3515" spans="2:6">
      <c r="B3515" s="308"/>
      <c r="C3515" s="86"/>
      <c r="D3515" s="86"/>
      <c r="E3515" s="86"/>
      <c r="F3515" s="308"/>
    </row>
    <row r="3516" spans="2:6">
      <c r="B3516" s="308"/>
      <c r="C3516" s="86"/>
      <c r="D3516" s="86"/>
      <c r="E3516" s="86"/>
      <c r="F3516" s="308"/>
    </row>
    <row r="3517" spans="2:6">
      <c r="B3517" s="308"/>
      <c r="C3517" s="86"/>
      <c r="D3517" s="86"/>
      <c r="E3517" s="86"/>
      <c r="F3517" s="308"/>
    </row>
    <row r="3518" spans="2:6">
      <c r="B3518" s="308"/>
      <c r="C3518" s="86"/>
      <c r="D3518" s="86"/>
      <c r="E3518" s="86"/>
      <c r="F3518" s="308"/>
    </row>
    <row r="3519" spans="2:6">
      <c r="B3519" s="308"/>
      <c r="C3519" s="86"/>
      <c r="D3519" s="86"/>
      <c r="E3519" s="86"/>
      <c r="F3519" s="308"/>
    </row>
    <row r="3520" spans="2:6">
      <c r="B3520" s="308"/>
      <c r="C3520" s="86"/>
      <c r="D3520" s="86"/>
      <c r="E3520" s="86"/>
      <c r="F3520" s="308"/>
    </row>
    <row r="3521" spans="2:6">
      <c r="B3521" s="308"/>
      <c r="C3521" s="86"/>
      <c r="D3521" s="86"/>
      <c r="E3521" s="86"/>
      <c r="F3521" s="308"/>
    </row>
    <row r="3522" spans="2:6">
      <c r="B3522" s="308"/>
      <c r="C3522" s="86"/>
      <c r="D3522" s="86"/>
      <c r="E3522" s="86"/>
      <c r="F3522" s="308"/>
    </row>
    <row r="3523" spans="2:6">
      <c r="B3523" s="308"/>
      <c r="C3523" s="86"/>
      <c r="D3523" s="86"/>
      <c r="E3523" s="86"/>
      <c r="F3523" s="308"/>
    </row>
    <row r="3524" spans="2:6">
      <c r="B3524" s="308"/>
      <c r="C3524" s="86"/>
      <c r="D3524" s="86"/>
      <c r="E3524" s="86"/>
      <c r="F3524" s="308"/>
    </row>
    <row r="3525" spans="2:6">
      <c r="B3525" s="308"/>
      <c r="C3525" s="86"/>
      <c r="D3525" s="86"/>
      <c r="E3525" s="86"/>
      <c r="F3525" s="308"/>
    </row>
    <row r="3526" spans="2:6">
      <c r="B3526" s="308"/>
      <c r="C3526" s="86"/>
      <c r="D3526" s="86"/>
      <c r="E3526" s="86"/>
      <c r="F3526" s="308"/>
    </row>
    <row r="3527" spans="2:6">
      <c r="B3527" s="308"/>
      <c r="C3527" s="86"/>
      <c r="D3527" s="86"/>
      <c r="E3527" s="86"/>
      <c r="F3527" s="308"/>
    </row>
    <row r="3528" spans="2:6">
      <c r="B3528" s="308"/>
      <c r="C3528" s="86"/>
      <c r="D3528" s="86"/>
      <c r="E3528" s="86"/>
      <c r="F3528" s="308"/>
    </row>
    <row r="3529" spans="2:6">
      <c r="B3529" s="308"/>
      <c r="C3529" s="86"/>
      <c r="D3529" s="86"/>
      <c r="E3529" s="86"/>
      <c r="F3529" s="308"/>
    </row>
    <row r="3530" spans="2:6">
      <c r="B3530" s="308"/>
      <c r="C3530" s="86"/>
      <c r="D3530" s="86"/>
      <c r="E3530" s="86"/>
      <c r="F3530" s="308"/>
    </row>
    <row r="3531" spans="2:6">
      <c r="B3531" s="308"/>
      <c r="C3531" s="86"/>
      <c r="D3531" s="86"/>
      <c r="E3531" s="86"/>
      <c r="F3531" s="308"/>
    </row>
    <row r="3532" spans="2:6">
      <c r="B3532" s="308"/>
      <c r="C3532" s="86"/>
      <c r="D3532" s="86"/>
      <c r="E3532" s="86"/>
      <c r="F3532" s="308"/>
    </row>
    <row r="3533" spans="2:6">
      <c r="B3533" s="308"/>
      <c r="C3533" s="86"/>
      <c r="D3533" s="86"/>
      <c r="E3533" s="86"/>
      <c r="F3533" s="308"/>
    </row>
    <row r="3534" spans="2:6">
      <c r="B3534" s="308"/>
      <c r="C3534" s="86"/>
      <c r="D3534" s="86"/>
      <c r="E3534" s="86"/>
      <c r="F3534" s="308"/>
    </row>
    <row r="3535" spans="2:6">
      <c r="B3535" s="308"/>
      <c r="C3535" s="86"/>
      <c r="D3535" s="86"/>
      <c r="E3535" s="86"/>
      <c r="F3535" s="308"/>
    </row>
    <row r="3536" spans="2:6">
      <c r="B3536" s="308"/>
      <c r="C3536" s="86"/>
      <c r="D3536" s="86"/>
      <c r="E3536" s="86"/>
      <c r="F3536" s="308"/>
    </row>
    <row r="3537" spans="2:6">
      <c r="B3537" s="308"/>
      <c r="C3537" s="86"/>
      <c r="D3537" s="86"/>
      <c r="E3537" s="86"/>
      <c r="F3537" s="308"/>
    </row>
    <row r="3538" spans="2:6">
      <c r="B3538" s="308"/>
      <c r="C3538" s="86"/>
      <c r="D3538" s="86"/>
      <c r="E3538" s="86"/>
      <c r="F3538" s="308"/>
    </row>
    <row r="3539" spans="2:6">
      <c r="B3539" s="308"/>
      <c r="C3539" s="86"/>
      <c r="D3539" s="86"/>
      <c r="E3539" s="86"/>
      <c r="F3539" s="308"/>
    </row>
    <row r="3540" spans="2:6">
      <c r="B3540" s="308"/>
      <c r="C3540" s="86"/>
      <c r="D3540" s="86"/>
      <c r="E3540" s="86"/>
      <c r="F3540" s="308"/>
    </row>
    <row r="3541" spans="2:6">
      <c r="B3541" s="308"/>
      <c r="C3541" s="86"/>
      <c r="D3541" s="86"/>
      <c r="E3541" s="86"/>
      <c r="F3541" s="308"/>
    </row>
    <row r="3542" spans="2:6">
      <c r="B3542" s="308"/>
      <c r="C3542" s="86"/>
      <c r="D3542" s="86"/>
      <c r="E3542" s="86"/>
      <c r="F3542" s="308"/>
    </row>
    <row r="3543" spans="2:6">
      <c r="B3543" s="308"/>
      <c r="C3543" s="86"/>
      <c r="D3543" s="86"/>
      <c r="E3543" s="86"/>
      <c r="F3543" s="308"/>
    </row>
    <row r="3544" spans="2:6">
      <c r="B3544" s="308"/>
      <c r="C3544" s="86"/>
      <c r="D3544" s="86"/>
      <c r="E3544" s="86"/>
      <c r="F3544" s="308"/>
    </row>
    <row r="3545" spans="2:6">
      <c r="B3545" s="308"/>
      <c r="C3545" s="86"/>
      <c r="D3545" s="86"/>
      <c r="E3545" s="86"/>
      <c r="F3545" s="308"/>
    </row>
    <row r="3546" spans="2:6">
      <c r="B3546" s="308"/>
      <c r="C3546" s="86"/>
      <c r="D3546" s="86"/>
      <c r="E3546" s="86"/>
      <c r="F3546" s="308"/>
    </row>
    <row r="3547" spans="2:6">
      <c r="B3547" s="308"/>
      <c r="C3547" s="86"/>
      <c r="D3547" s="86"/>
      <c r="E3547" s="86"/>
      <c r="F3547" s="308"/>
    </row>
    <row r="3548" spans="2:6">
      <c r="B3548" s="308"/>
      <c r="C3548" s="86"/>
      <c r="D3548" s="86"/>
      <c r="E3548" s="86"/>
      <c r="F3548" s="308"/>
    </row>
    <row r="3549" spans="2:6">
      <c r="B3549" s="308"/>
      <c r="C3549" s="86"/>
      <c r="D3549" s="86"/>
      <c r="E3549" s="86"/>
      <c r="F3549" s="308"/>
    </row>
    <row r="3550" spans="2:6">
      <c r="B3550" s="308"/>
      <c r="C3550" s="86"/>
      <c r="D3550" s="86"/>
      <c r="E3550" s="86"/>
      <c r="F3550" s="308"/>
    </row>
    <row r="3551" spans="2:6">
      <c r="B3551" s="308"/>
      <c r="C3551" s="86"/>
      <c r="D3551" s="86"/>
      <c r="E3551" s="86"/>
      <c r="F3551" s="308"/>
    </row>
    <row r="3552" spans="2:6">
      <c r="B3552" s="308"/>
      <c r="C3552" s="86"/>
      <c r="D3552" s="86"/>
      <c r="E3552" s="86"/>
      <c r="F3552" s="308"/>
    </row>
    <row r="3553" spans="2:6">
      <c r="B3553" s="308"/>
      <c r="C3553" s="86"/>
      <c r="D3553" s="86"/>
      <c r="E3553" s="86"/>
      <c r="F3553" s="308"/>
    </row>
    <row r="3554" spans="2:6">
      <c r="B3554" s="308"/>
      <c r="C3554" s="86"/>
      <c r="D3554" s="86"/>
      <c r="E3554" s="86"/>
      <c r="F3554" s="308"/>
    </row>
    <row r="3555" spans="2:6">
      <c r="B3555" s="308"/>
      <c r="C3555" s="86"/>
      <c r="D3555" s="86"/>
      <c r="E3555" s="86"/>
      <c r="F3555" s="308"/>
    </row>
    <row r="3556" spans="2:6">
      <c r="B3556" s="308"/>
      <c r="C3556" s="86"/>
      <c r="D3556" s="86"/>
      <c r="E3556" s="86"/>
      <c r="F3556" s="308"/>
    </row>
    <row r="3557" spans="2:6">
      <c r="B3557" s="308"/>
      <c r="C3557" s="86"/>
      <c r="D3557" s="86"/>
      <c r="E3557" s="86"/>
      <c r="F3557" s="308"/>
    </row>
    <row r="3558" spans="2:6">
      <c r="B3558" s="308"/>
      <c r="C3558" s="86"/>
      <c r="D3558" s="86"/>
      <c r="E3558" s="86"/>
      <c r="F3558" s="308"/>
    </row>
    <row r="3559" spans="2:6">
      <c r="B3559" s="308"/>
      <c r="C3559" s="86"/>
      <c r="D3559" s="86"/>
      <c r="E3559" s="86"/>
      <c r="F3559" s="308"/>
    </row>
    <row r="3560" spans="2:6">
      <c r="B3560" s="308"/>
      <c r="C3560" s="86"/>
      <c r="D3560" s="86"/>
      <c r="E3560" s="86"/>
      <c r="F3560" s="308"/>
    </row>
    <row r="3561" spans="2:6">
      <c r="B3561" s="308"/>
      <c r="C3561" s="86"/>
      <c r="D3561" s="86"/>
      <c r="E3561" s="86"/>
      <c r="F3561" s="308"/>
    </row>
    <row r="3562" spans="2:6">
      <c r="B3562" s="308"/>
      <c r="C3562" s="86"/>
      <c r="D3562" s="86"/>
      <c r="E3562" s="86"/>
      <c r="F3562" s="308"/>
    </row>
    <row r="3563" spans="2:6">
      <c r="B3563" s="308"/>
      <c r="C3563" s="86"/>
      <c r="D3563" s="86"/>
      <c r="E3563" s="86"/>
      <c r="F3563" s="308"/>
    </row>
    <row r="3564" spans="2:6">
      <c r="B3564" s="308"/>
      <c r="C3564" s="86"/>
      <c r="D3564" s="86"/>
      <c r="E3564" s="86"/>
      <c r="F3564" s="308"/>
    </row>
    <row r="3565" spans="2:6">
      <c r="B3565" s="308"/>
      <c r="C3565" s="86"/>
      <c r="D3565" s="86"/>
      <c r="E3565" s="86"/>
      <c r="F3565" s="308"/>
    </row>
    <row r="3566" spans="2:6">
      <c r="B3566" s="308"/>
      <c r="C3566" s="86"/>
      <c r="D3566" s="86"/>
      <c r="E3566" s="86"/>
      <c r="F3566" s="308"/>
    </row>
    <row r="3567" spans="2:6">
      <c r="B3567" s="308"/>
      <c r="C3567" s="86"/>
      <c r="D3567" s="86"/>
      <c r="E3567" s="86"/>
      <c r="F3567" s="308"/>
    </row>
    <row r="3568" spans="2:6">
      <c r="B3568" s="308"/>
      <c r="C3568" s="86"/>
      <c r="D3568" s="86"/>
      <c r="E3568" s="86"/>
      <c r="F3568" s="308"/>
    </row>
    <row r="3569" spans="2:6">
      <c r="B3569" s="308"/>
      <c r="C3569" s="86"/>
      <c r="D3569" s="86"/>
      <c r="E3569" s="86"/>
      <c r="F3569" s="308"/>
    </row>
    <row r="3570" spans="2:6">
      <c r="B3570" s="308"/>
      <c r="C3570" s="86"/>
      <c r="D3570" s="86"/>
      <c r="E3570" s="86"/>
      <c r="F3570" s="308"/>
    </row>
    <row r="3571" spans="2:6">
      <c r="B3571" s="308"/>
      <c r="C3571" s="86"/>
      <c r="D3571" s="86"/>
      <c r="E3571" s="86"/>
      <c r="F3571" s="308"/>
    </row>
    <row r="3572" spans="2:6">
      <c r="B3572" s="308"/>
      <c r="C3572" s="86"/>
      <c r="D3572" s="86"/>
      <c r="E3572" s="86"/>
      <c r="F3572" s="308"/>
    </row>
    <row r="3573" spans="2:6">
      <c r="B3573" s="308"/>
      <c r="C3573" s="86"/>
      <c r="D3573" s="86"/>
      <c r="E3573" s="86"/>
      <c r="F3573" s="308"/>
    </row>
    <row r="3574" spans="2:6">
      <c r="B3574" s="308"/>
      <c r="C3574" s="86"/>
      <c r="D3574" s="86"/>
      <c r="E3574" s="86"/>
      <c r="F3574" s="308"/>
    </row>
    <row r="3575" spans="2:6">
      <c r="B3575" s="308"/>
      <c r="C3575" s="86"/>
      <c r="D3575" s="86"/>
      <c r="E3575" s="86"/>
      <c r="F3575" s="308"/>
    </row>
    <row r="3576" spans="2:6">
      <c r="B3576" s="308"/>
      <c r="C3576" s="86"/>
      <c r="D3576" s="86"/>
      <c r="E3576" s="86"/>
      <c r="F3576" s="308"/>
    </row>
    <row r="3577" spans="2:6">
      <c r="B3577" s="308"/>
      <c r="C3577" s="86"/>
      <c r="D3577" s="86"/>
      <c r="E3577" s="86"/>
      <c r="F3577" s="308"/>
    </row>
    <row r="3578" spans="2:6">
      <c r="B3578" s="308"/>
      <c r="C3578" s="86"/>
      <c r="D3578" s="86"/>
      <c r="E3578" s="86"/>
      <c r="F3578" s="308"/>
    </row>
    <row r="3579" spans="2:6">
      <c r="B3579" s="308"/>
      <c r="C3579" s="86"/>
      <c r="D3579" s="86"/>
      <c r="E3579" s="86"/>
      <c r="F3579" s="308"/>
    </row>
    <row r="3580" spans="2:6">
      <c r="B3580" s="308"/>
      <c r="C3580" s="86"/>
      <c r="D3580" s="86"/>
      <c r="E3580" s="86"/>
      <c r="F3580" s="308"/>
    </row>
    <row r="3581" spans="2:6">
      <c r="B3581" s="308"/>
      <c r="C3581" s="86"/>
      <c r="D3581" s="86"/>
      <c r="E3581" s="86"/>
      <c r="F3581" s="308"/>
    </row>
    <row r="3582" spans="2:6">
      <c r="B3582" s="308"/>
      <c r="C3582" s="86"/>
      <c r="D3582" s="86"/>
      <c r="E3582" s="86"/>
      <c r="F3582" s="308"/>
    </row>
    <row r="3583" spans="2:6">
      <c r="B3583" s="308"/>
      <c r="C3583" s="86"/>
      <c r="D3583" s="86"/>
      <c r="E3583" s="86"/>
      <c r="F3583" s="308"/>
    </row>
    <row r="3584" spans="2:6">
      <c r="B3584" s="308"/>
      <c r="C3584" s="86"/>
      <c r="D3584" s="86"/>
      <c r="E3584" s="86"/>
      <c r="F3584" s="308"/>
    </row>
    <row r="3585" spans="2:6">
      <c r="B3585" s="308"/>
      <c r="C3585" s="86"/>
      <c r="D3585" s="86"/>
      <c r="E3585" s="86"/>
      <c r="F3585" s="308"/>
    </row>
    <row r="3586" spans="2:6">
      <c r="B3586" s="308"/>
      <c r="C3586" s="86"/>
      <c r="D3586" s="86"/>
      <c r="E3586" s="86"/>
      <c r="F3586" s="308"/>
    </row>
    <row r="3587" spans="2:6">
      <c r="B3587" s="308"/>
      <c r="C3587" s="86"/>
      <c r="D3587" s="86"/>
      <c r="E3587" s="86"/>
      <c r="F3587" s="308"/>
    </row>
    <row r="3588" spans="2:6">
      <c r="B3588" s="308"/>
      <c r="C3588" s="86"/>
      <c r="D3588" s="86"/>
      <c r="E3588" s="86"/>
      <c r="F3588" s="308"/>
    </row>
    <row r="3589" spans="2:6">
      <c r="B3589" s="308"/>
      <c r="C3589" s="86"/>
      <c r="D3589" s="86"/>
      <c r="E3589" s="86"/>
      <c r="F3589" s="308"/>
    </row>
    <row r="3590" spans="2:6">
      <c r="B3590" s="308"/>
      <c r="C3590" s="86"/>
      <c r="D3590" s="86"/>
      <c r="E3590" s="86"/>
      <c r="F3590" s="308"/>
    </row>
    <row r="3591" spans="2:6">
      <c r="B3591" s="308"/>
      <c r="C3591" s="86"/>
      <c r="D3591" s="86"/>
      <c r="E3591" s="86"/>
      <c r="F3591" s="308"/>
    </row>
    <row r="3592" spans="2:6">
      <c r="B3592" s="308"/>
      <c r="C3592" s="86"/>
      <c r="D3592" s="86"/>
      <c r="E3592" s="86"/>
      <c r="F3592" s="308"/>
    </row>
    <row r="3593" spans="2:6">
      <c r="B3593" s="308"/>
      <c r="C3593" s="86"/>
      <c r="D3593" s="86"/>
      <c r="E3593" s="86"/>
      <c r="F3593" s="308"/>
    </row>
    <row r="3594" spans="2:6">
      <c r="B3594" s="308"/>
      <c r="C3594" s="86"/>
      <c r="D3594" s="86"/>
      <c r="E3594" s="86"/>
      <c r="F3594" s="308"/>
    </row>
    <row r="3595" spans="2:6">
      <c r="B3595" s="308"/>
      <c r="C3595" s="86"/>
      <c r="D3595" s="86"/>
      <c r="E3595" s="86"/>
      <c r="F3595" s="308"/>
    </row>
    <row r="3596" spans="2:6">
      <c r="B3596" s="308"/>
      <c r="C3596" s="86"/>
      <c r="D3596" s="86"/>
      <c r="E3596" s="86"/>
      <c r="F3596" s="308"/>
    </row>
    <row r="3597" spans="2:6">
      <c r="B3597" s="308"/>
      <c r="C3597" s="86"/>
      <c r="D3597" s="86"/>
      <c r="E3597" s="86"/>
      <c r="F3597" s="308"/>
    </row>
    <row r="3598" spans="2:6">
      <c r="B3598" s="308"/>
      <c r="C3598" s="86"/>
      <c r="D3598" s="86"/>
      <c r="E3598" s="86"/>
      <c r="F3598" s="308"/>
    </row>
    <row r="3599" spans="2:6">
      <c r="B3599" s="308"/>
      <c r="C3599" s="86"/>
      <c r="D3599" s="86"/>
      <c r="E3599" s="86"/>
      <c r="F3599" s="308"/>
    </row>
    <row r="3600" spans="2:6">
      <c r="B3600" s="308"/>
      <c r="C3600" s="86"/>
      <c r="D3600" s="86"/>
      <c r="E3600" s="86"/>
      <c r="F3600" s="308"/>
    </row>
    <row r="3601" spans="2:6">
      <c r="B3601" s="308"/>
      <c r="C3601" s="86"/>
      <c r="D3601" s="86"/>
      <c r="E3601" s="86"/>
      <c r="F3601" s="308"/>
    </row>
    <row r="3602" spans="2:6">
      <c r="B3602" s="308"/>
      <c r="C3602" s="86"/>
      <c r="D3602" s="86"/>
      <c r="E3602" s="86"/>
      <c r="F3602" s="308"/>
    </row>
    <row r="3603" spans="2:6">
      <c r="B3603" s="308"/>
      <c r="C3603" s="86"/>
      <c r="D3603" s="86"/>
      <c r="E3603" s="86"/>
      <c r="F3603" s="308"/>
    </row>
    <row r="3604" spans="2:6">
      <c r="B3604" s="308"/>
      <c r="C3604" s="86"/>
      <c r="D3604" s="86"/>
      <c r="E3604" s="86"/>
      <c r="F3604" s="308"/>
    </row>
    <row r="3605" spans="2:6">
      <c r="B3605" s="308"/>
      <c r="C3605" s="86"/>
      <c r="D3605" s="86"/>
      <c r="E3605" s="86"/>
      <c r="F3605" s="308"/>
    </row>
    <row r="3606" spans="2:6">
      <c r="B3606" s="308"/>
      <c r="C3606" s="86"/>
      <c r="D3606" s="86"/>
      <c r="E3606" s="86"/>
      <c r="F3606" s="308"/>
    </row>
    <row r="3607" spans="2:6">
      <c r="B3607" s="308"/>
      <c r="C3607" s="86"/>
      <c r="D3607" s="86"/>
      <c r="E3607" s="86"/>
      <c r="F3607" s="308"/>
    </row>
    <row r="3608" spans="2:6">
      <c r="B3608" s="308"/>
      <c r="C3608" s="86"/>
      <c r="D3608" s="86"/>
      <c r="E3608" s="86"/>
      <c r="F3608" s="308"/>
    </row>
    <row r="3609" spans="2:6">
      <c r="B3609" s="308"/>
      <c r="C3609" s="86"/>
      <c r="D3609" s="86"/>
      <c r="E3609" s="86"/>
      <c r="F3609" s="308"/>
    </row>
    <row r="3610" spans="2:6">
      <c r="B3610" s="308"/>
      <c r="C3610" s="86"/>
      <c r="D3610" s="86"/>
      <c r="E3610" s="86"/>
      <c r="F3610" s="308"/>
    </row>
    <row r="3611" spans="2:6">
      <c r="B3611" s="308"/>
      <c r="C3611" s="86"/>
      <c r="D3611" s="86"/>
      <c r="E3611" s="86"/>
      <c r="F3611" s="308"/>
    </row>
    <row r="3612" spans="2:6">
      <c r="B3612" s="308"/>
      <c r="C3612" s="86"/>
      <c r="D3612" s="86"/>
      <c r="E3612" s="86"/>
      <c r="F3612" s="308"/>
    </row>
    <row r="3613" spans="2:6">
      <c r="B3613" s="308"/>
      <c r="C3613" s="86"/>
      <c r="D3613" s="86"/>
      <c r="E3613" s="86"/>
      <c r="F3613" s="308"/>
    </row>
    <row r="3614" spans="2:6">
      <c r="B3614" s="308"/>
      <c r="C3614" s="86"/>
      <c r="D3614" s="86"/>
      <c r="E3614" s="86"/>
      <c r="F3614" s="308"/>
    </row>
    <row r="3615" spans="2:6">
      <c r="B3615" s="308"/>
      <c r="C3615" s="86"/>
      <c r="D3615" s="86"/>
      <c r="E3615" s="86"/>
      <c r="F3615" s="308"/>
    </row>
    <row r="3616" spans="2:6">
      <c r="B3616" s="308"/>
      <c r="C3616" s="86"/>
      <c r="D3616" s="86"/>
      <c r="E3616" s="86"/>
      <c r="F3616" s="308"/>
    </row>
    <row r="3617" spans="2:6">
      <c r="B3617" s="308"/>
      <c r="C3617" s="86"/>
      <c r="D3617" s="86"/>
      <c r="E3617" s="86"/>
      <c r="F3617" s="308"/>
    </row>
    <row r="3618" spans="2:6">
      <c r="B3618" s="308"/>
      <c r="C3618" s="86"/>
      <c r="D3618" s="86"/>
      <c r="E3618" s="86"/>
      <c r="F3618" s="308"/>
    </row>
    <row r="3619" spans="2:6">
      <c r="B3619" s="308"/>
      <c r="C3619" s="86"/>
      <c r="D3619" s="86"/>
      <c r="E3619" s="86"/>
      <c r="F3619" s="308"/>
    </row>
    <row r="3620" spans="2:6">
      <c r="B3620" s="308"/>
      <c r="C3620" s="86"/>
      <c r="D3620" s="86"/>
      <c r="E3620" s="86"/>
      <c r="F3620" s="308"/>
    </row>
    <row r="3621" spans="2:6">
      <c r="B3621" s="308"/>
      <c r="C3621" s="86"/>
      <c r="D3621" s="86"/>
      <c r="E3621" s="86"/>
      <c r="F3621" s="308"/>
    </row>
    <row r="3622" spans="2:6">
      <c r="B3622" s="308"/>
      <c r="C3622" s="86"/>
      <c r="D3622" s="86"/>
      <c r="E3622" s="86"/>
      <c r="F3622" s="308"/>
    </row>
    <row r="3623" spans="2:6">
      <c r="B3623" s="308"/>
      <c r="C3623" s="86"/>
      <c r="D3623" s="86"/>
      <c r="E3623" s="86"/>
      <c r="F3623" s="308"/>
    </row>
    <row r="3624" spans="2:6">
      <c r="B3624" s="308"/>
      <c r="C3624" s="86"/>
      <c r="D3624" s="86"/>
      <c r="E3624" s="86"/>
      <c r="F3624" s="308"/>
    </row>
    <row r="3625" spans="2:6">
      <c r="B3625" s="308"/>
      <c r="C3625" s="86"/>
      <c r="D3625" s="86"/>
      <c r="E3625" s="86"/>
      <c r="F3625" s="308"/>
    </row>
    <row r="3626" spans="2:6">
      <c r="B3626" s="308"/>
      <c r="C3626" s="86"/>
      <c r="D3626" s="86"/>
      <c r="E3626" s="86"/>
      <c r="F3626" s="308"/>
    </row>
    <row r="3627" spans="2:6">
      <c r="B3627" s="308"/>
      <c r="C3627" s="86"/>
      <c r="D3627" s="86"/>
      <c r="E3627" s="86"/>
      <c r="F3627" s="308"/>
    </row>
    <row r="3628" spans="2:6">
      <c r="B3628" s="308"/>
      <c r="C3628" s="86"/>
      <c r="D3628" s="86"/>
      <c r="E3628" s="86"/>
      <c r="F3628" s="308"/>
    </row>
    <row r="3629" spans="2:6">
      <c r="B3629" s="308"/>
      <c r="C3629" s="86"/>
      <c r="D3629" s="86"/>
      <c r="E3629" s="86"/>
      <c r="F3629" s="308"/>
    </row>
    <row r="3630" spans="2:6">
      <c r="B3630" s="308"/>
      <c r="C3630" s="86"/>
      <c r="D3630" s="86"/>
      <c r="E3630" s="86"/>
      <c r="F3630" s="308"/>
    </row>
    <row r="3631" spans="2:6">
      <c r="B3631" s="308"/>
      <c r="C3631" s="86"/>
      <c r="D3631" s="86"/>
      <c r="E3631" s="86"/>
      <c r="F3631" s="308"/>
    </row>
    <row r="3632" spans="2:6">
      <c r="B3632" s="308"/>
      <c r="C3632" s="86"/>
      <c r="D3632" s="86"/>
      <c r="E3632" s="86"/>
      <c r="F3632" s="308"/>
    </row>
    <row r="3633" spans="2:6">
      <c r="B3633" s="308"/>
      <c r="C3633" s="86"/>
      <c r="D3633" s="86"/>
      <c r="E3633" s="86"/>
      <c r="F3633" s="308"/>
    </row>
    <row r="3634" spans="2:6">
      <c r="B3634" s="308"/>
      <c r="C3634" s="86"/>
      <c r="D3634" s="86"/>
      <c r="E3634" s="86"/>
      <c r="F3634" s="308"/>
    </row>
    <row r="3635" spans="2:6">
      <c r="B3635" s="308"/>
      <c r="C3635" s="86"/>
      <c r="D3635" s="86"/>
      <c r="E3635" s="86"/>
      <c r="F3635" s="308"/>
    </row>
    <row r="3636" spans="2:6">
      <c r="B3636" s="308"/>
      <c r="C3636" s="86"/>
      <c r="D3636" s="86"/>
      <c r="E3636" s="86"/>
      <c r="F3636" s="308"/>
    </row>
    <row r="3637" spans="2:6">
      <c r="B3637" s="308"/>
      <c r="C3637" s="86"/>
      <c r="D3637" s="86"/>
      <c r="E3637" s="86"/>
      <c r="F3637" s="308"/>
    </row>
    <row r="3638" spans="2:6">
      <c r="B3638" s="308"/>
      <c r="C3638" s="86"/>
      <c r="D3638" s="86"/>
      <c r="E3638" s="86"/>
      <c r="F3638" s="308"/>
    </row>
    <row r="3639" spans="2:6">
      <c r="B3639" s="308"/>
      <c r="C3639" s="86"/>
      <c r="D3639" s="86"/>
      <c r="E3639" s="86"/>
      <c r="F3639" s="308"/>
    </row>
    <row r="3640" spans="2:6">
      <c r="B3640" s="308"/>
      <c r="C3640" s="86"/>
      <c r="D3640" s="86"/>
      <c r="E3640" s="86"/>
      <c r="F3640" s="308"/>
    </row>
    <row r="3641" spans="2:6">
      <c r="B3641" s="308"/>
      <c r="C3641" s="86"/>
      <c r="D3641" s="86"/>
      <c r="E3641" s="86"/>
      <c r="F3641" s="308"/>
    </row>
    <row r="3642" spans="2:6">
      <c r="B3642" s="308"/>
      <c r="C3642" s="86"/>
      <c r="D3642" s="86"/>
      <c r="E3642" s="86"/>
      <c r="F3642" s="308"/>
    </row>
    <row r="3643" spans="2:6">
      <c r="B3643" s="308"/>
      <c r="C3643" s="86"/>
      <c r="D3643" s="86"/>
      <c r="E3643" s="86"/>
      <c r="F3643" s="308"/>
    </row>
    <row r="3644" spans="2:6">
      <c r="B3644" s="308"/>
      <c r="C3644" s="86"/>
      <c r="D3644" s="86"/>
      <c r="E3644" s="86"/>
      <c r="F3644" s="308"/>
    </row>
    <row r="3645" spans="2:6">
      <c r="B3645" s="308"/>
      <c r="C3645" s="86"/>
      <c r="D3645" s="86"/>
      <c r="E3645" s="86"/>
      <c r="F3645" s="308"/>
    </row>
    <row r="3646" spans="2:6">
      <c r="B3646" s="308"/>
      <c r="C3646" s="86"/>
      <c r="D3646" s="86"/>
      <c r="E3646" s="86"/>
      <c r="F3646" s="308"/>
    </row>
    <row r="3647" spans="2:6">
      <c r="B3647" s="308"/>
      <c r="C3647" s="86"/>
      <c r="D3647" s="86"/>
      <c r="E3647" s="86"/>
      <c r="F3647" s="308"/>
    </row>
    <row r="3648" spans="2:6">
      <c r="B3648" s="308"/>
      <c r="C3648" s="86"/>
      <c r="D3648" s="86"/>
      <c r="E3648" s="86"/>
      <c r="F3648" s="308"/>
    </row>
    <row r="3649" spans="2:6">
      <c r="B3649" s="308"/>
      <c r="C3649" s="86"/>
      <c r="D3649" s="86"/>
      <c r="E3649" s="86"/>
      <c r="F3649" s="308"/>
    </row>
    <row r="3650" spans="2:6">
      <c r="B3650" s="308"/>
      <c r="C3650" s="86"/>
      <c r="D3650" s="86"/>
      <c r="E3650" s="86"/>
      <c r="F3650" s="308"/>
    </row>
    <row r="3651" spans="2:6">
      <c r="B3651" s="308"/>
      <c r="C3651" s="86"/>
      <c r="D3651" s="86"/>
      <c r="E3651" s="86"/>
      <c r="F3651" s="308"/>
    </row>
    <row r="3652" spans="2:6">
      <c r="B3652" s="308"/>
      <c r="C3652" s="86"/>
      <c r="D3652" s="86"/>
      <c r="E3652" s="86"/>
      <c r="F3652" s="308"/>
    </row>
    <row r="3653" spans="2:6">
      <c r="B3653" s="308"/>
      <c r="C3653" s="86"/>
      <c r="D3653" s="86"/>
      <c r="E3653" s="86"/>
      <c r="F3653" s="308"/>
    </row>
    <row r="3654" spans="2:6">
      <c r="B3654" s="308"/>
      <c r="C3654" s="86"/>
      <c r="D3654" s="86"/>
      <c r="E3654" s="86"/>
      <c r="F3654" s="308"/>
    </row>
    <row r="3655" spans="2:6">
      <c r="B3655" s="308"/>
      <c r="C3655" s="86"/>
      <c r="D3655" s="86"/>
      <c r="E3655" s="86"/>
      <c r="F3655" s="308"/>
    </row>
    <row r="3656" spans="2:6">
      <c r="B3656" s="308"/>
      <c r="C3656" s="86"/>
      <c r="D3656" s="86"/>
      <c r="E3656" s="86"/>
      <c r="F3656" s="308"/>
    </row>
    <row r="3657" spans="2:6">
      <c r="B3657" s="308"/>
      <c r="C3657" s="86"/>
      <c r="D3657" s="86"/>
      <c r="E3657" s="86"/>
      <c r="F3657" s="308"/>
    </row>
    <row r="3658" spans="2:6">
      <c r="B3658" s="308"/>
      <c r="C3658" s="86"/>
      <c r="D3658" s="86"/>
      <c r="E3658" s="86"/>
      <c r="F3658" s="308"/>
    </row>
    <row r="3659" spans="2:6">
      <c r="B3659" s="308"/>
      <c r="C3659" s="86"/>
      <c r="D3659" s="86"/>
      <c r="E3659" s="86"/>
      <c r="F3659" s="308"/>
    </row>
    <row r="3660" spans="2:6">
      <c r="B3660" s="308"/>
      <c r="C3660" s="86"/>
      <c r="D3660" s="86"/>
      <c r="E3660" s="86"/>
      <c r="F3660" s="308"/>
    </row>
    <row r="3661" spans="2:6">
      <c r="B3661" s="308"/>
      <c r="C3661" s="86"/>
      <c r="D3661" s="86"/>
      <c r="E3661" s="86"/>
      <c r="F3661" s="308"/>
    </row>
    <row r="3662" spans="2:6">
      <c r="B3662" s="308"/>
      <c r="C3662" s="86"/>
      <c r="D3662" s="86"/>
      <c r="E3662" s="86"/>
      <c r="F3662" s="308"/>
    </row>
    <row r="3663" spans="2:6">
      <c r="B3663" s="308"/>
      <c r="C3663" s="86"/>
      <c r="D3663" s="86"/>
      <c r="E3663" s="86"/>
      <c r="F3663" s="308"/>
    </row>
    <row r="3664" spans="2:6">
      <c r="B3664" s="308"/>
      <c r="C3664" s="86"/>
      <c r="D3664" s="86"/>
      <c r="E3664" s="86"/>
      <c r="F3664" s="308"/>
    </row>
    <row r="3665" spans="2:6">
      <c r="B3665" s="308"/>
      <c r="C3665" s="86"/>
      <c r="D3665" s="86"/>
      <c r="E3665" s="86"/>
      <c r="F3665" s="308"/>
    </row>
    <row r="3666" spans="2:6">
      <c r="B3666" s="308"/>
      <c r="C3666" s="86"/>
      <c r="D3666" s="86"/>
      <c r="E3666" s="86"/>
      <c r="F3666" s="308"/>
    </row>
    <row r="3667" spans="2:6">
      <c r="B3667" s="308"/>
      <c r="C3667" s="86"/>
      <c r="D3667" s="86"/>
      <c r="E3667" s="86"/>
      <c r="F3667" s="308"/>
    </row>
    <row r="3668" spans="2:6">
      <c r="B3668" s="308"/>
      <c r="C3668" s="86"/>
      <c r="D3668" s="86"/>
      <c r="E3668" s="86"/>
      <c r="F3668" s="308"/>
    </row>
    <row r="3669" spans="2:6">
      <c r="B3669" s="308"/>
      <c r="C3669" s="86"/>
      <c r="D3669" s="86"/>
      <c r="E3669" s="86"/>
      <c r="F3669" s="308"/>
    </row>
    <row r="3670" spans="2:6">
      <c r="B3670" s="308"/>
      <c r="C3670" s="86"/>
      <c r="D3670" s="86"/>
      <c r="E3670" s="86"/>
      <c r="F3670" s="308"/>
    </row>
    <row r="3671" spans="2:6">
      <c r="B3671" s="308"/>
      <c r="C3671" s="86"/>
      <c r="D3671" s="86"/>
      <c r="E3671" s="86"/>
      <c r="F3671" s="308"/>
    </row>
    <row r="3672" spans="2:6">
      <c r="B3672" s="308"/>
      <c r="C3672" s="86"/>
      <c r="D3672" s="86"/>
      <c r="E3672" s="86"/>
      <c r="F3672" s="308"/>
    </row>
    <row r="3673" spans="2:6">
      <c r="B3673" s="308"/>
      <c r="C3673" s="86"/>
      <c r="D3673" s="86"/>
      <c r="E3673" s="86"/>
      <c r="F3673" s="308"/>
    </row>
    <row r="3674" spans="2:6">
      <c r="B3674" s="308"/>
      <c r="C3674" s="86"/>
      <c r="D3674" s="86"/>
      <c r="E3674" s="86"/>
      <c r="F3674" s="308"/>
    </row>
    <row r="3675" spans="2:6">
      <c r="B3675" s="308"/>
      <c r="C3675" s="86"/>
      <c r="D3675" s="86"/>
      <c r="E3675" s="86"/>
      <c r="F3675" s="308"/>
    </row>
    <row r="3676" spans="2:6">
      <c r="B3676" s="308"/>
      <c r="C3676" s="86"/>
      <c r="D3676" s="86"/>
      <c r="E3676" s="86"/>
      <c r="F3676" s="308"/>
    </row>
    <row r="3677" spans="2:6">
      <c r="B3677" s="308"/>
      <c r="C3677" s="86"/>
      <c r="D3677" s="86"/>
      <c r="E3677" s="86"/>
      <c r="F3677" s="308"/>
    </row>
    <row r="3678" spans="2:6">
      <c r="B3678" s="308"/>
      <c r="C3678" s="86"/>
      <c r="D3678" s="86"/>
      <c r="E3678" s="86"/>
      <c r="F3678" s="308"/>
    </row>
    <row r="3679" spans="2:6">
      <c r="B3679" s="308"/>
      <c r="C3679" s="86"/>
      <c r="D3679" s="86"/>
      <c r="E3679" s="86"/>
      <c r="F3679" s="308"/>
    </row>
    <row r="3680" spans="2:6">
      <c r="B3680" s="308"/>
      <c r="C3680" s="86"/>
      <c r="D3680" s="86"/>
      <c r="E3680" s="86"/>
      <c r="F3680" s="308"/>
    </row>
    <row r="3681" spans="2:6">
      <c r="B3681" s="308"/>
      <c r="C3681" s="86"/>
      <c r="D3681" s="86"/>
      <c r="E3681" s="86"/>
      <c r="F3681" s="308"/>
    </row>
    <row r="3682" spans="2:6">
      <c r="B3682" s="308"/>
      <c r="C3682" s="86"/>
      <c r="D3682" s="86"/>
      <c r="E3682" s="86"/>
      <c r="F3682" s="308"/>
    </row>
    <row r="3683" spans="2:6">
      <c r="B3683" s="308"/>
      <c r="C3683" s="86"/>
      <c r="D3683" s="86"/>
      <c r="E3683" s="86"/>
      <c r="F3683" s="308"/>
    </row>
    <row r="3684" spans="2:6">
      <c r="B3684" s="308"/>
      <c r="C3684" s="86"/>
      <c r="D3684" s="86"/>
      <c r="E3684" s="86"/>
      <c r="F3684" s="308"/>
    </row>
    <row r="3685" spans="2:6">
      <c r="B3685" s="308"/>
      <c r="C3685" s="86"/>
      <c r="D3685" s="86"/>
      <c r="E3685" s="86"/>
      <c r="F3685" s="308"/>
    </row>
    <row r="3686" spans="2:6">
      <c r="B3686" s="308"/>
      <c r="C3686" s="86"/>
      <c r="D3686" s="86"/>
      <c r="E3686" s="86"/>
      <c r="F3686" s="308"/>
    </row>
    <row r="3687" spans="2:6">
      <c r="B3687" s="308"/>
      <c r="C3687" s="86"/>
      <c r="D3687" s="86"/>
      <c r="E3687" s="86"/>
      <c r="F3687" s="308"/>
    </row>
    <row r="3688" spans="2:6">
      <c r="B3688" s="308"/>
      <c r="C3688" s="86"/>
      <c r="D3688" s="86"/>
      <c r="E3688" s="86"/>
      <c r="F3688" s="308"/>
    </row>
    <row r="3689" spans="2:6">
      <c r="B3689" s="308"/>
      <c r="C3689" s="86"/>
      <c r="D3689" s="86"/>
      <c r="E3689" s="86"/>
      <c r="F3689" s="308"/>
    </row>
    <row r="3690" spans="2:6">
      <c r="B3690" s="308"/>
      <c r="C3690" s="86"/>
      <c r="D3690" s="86"/>
      <c r="E3690" s="86"/>
      <c r="F3690" s="308"/>
    </row>
    <row r="3691" spans="2:6">
      <c r="B3691" s="308"/>
      <c r="C3691" s="86"/>
      <c r="D3691" s="86"/>
      <c r="E3691" s="86"/>
      <c r="F3691" s="308"/>
    </row>
    <row r="3692" spans="2:6">
      <c r="B3692" s="308"/>
      <c r="C3692" s="86"/>
      <c r="D3692" s="86"/>
      <c r="E3692" s="86"/>
      <c r="F3692" s="308"/>
    </row>
    <row r="3693" spans="2:6">
      <c r="B3693" s="308"/>
      <c r="C3693" s="86"/>
      <c r="D3693" s="86"/>
      <c r="E3693" s="86"/>
      <c r="F3693" s="308"/>
    </row>
    <row r="3694" spans="2:6">
      <c r="B3694" s="308"/>
      <c r="C3694" s="86"/>
      <c r="D3694" s="86"/>
      <c r="E3694" s="86"/>
      <c r="F3694" s="308"/>
    </row>
    <row r="3695" spans="2:6">
      <c r="B3695" s="308"/>
      <c r="C3695" s="86"/>
      <c r="D3695" s="86"/>
      <c r="E3695" s="86"/>
      <c r="F3695" s="308"/>
    </row>
    <row r="3696" spans="2:6">
      <c r="B3696" s="308"/>
      <c r="C3696" s="86"/>
      <c r="D3696" s="86"/>
      <c r="E3696" s="86"/>
      <c r="F3696" s="308"/>
    </row>
    <row r="3697" spans="2:6">
      <c r="B3697" s="308"/>
      <c r="C3697" s="86"/>
      <c r="D3697" s="86"/>
      <c r="E3697" s="86"/>
      <c r="F3697" s="308"/>
    </row>
    <row r="3698" spans="2:6">
      <c r="B3698" s="308"/>
      <c r="C3698" s="86"/>
      <c r="D3698" s="86"/>
      <c r="E3698" s="86"/>
      <c r="F3698" s="308"/>
    </row>
    <row r="3699" spans="2:6">
      <c r="B3699" s="308"/>
      <c r="C3699" s="86"/>
      <c r="D3699" s="86"/>
      <c r="E3699" s="86"/>
      <c r="F3699" s="308"/>
    </row>
    <row r="3700" spans="2:6">
      <c r="B3700" s="308"/>
      <c r="C3700" s="86"/>
      <c r="D3700" s="86"/>
      <c r="E3700" s="86"/>
      <c r="F3700" s="308"/>
    </row>
    <row r="3701" spans="2:6">
      <c r="B3701" s="308"/>
      <c r="C3701" s="86"/>
      <c r="D3701" s="86"/>
      <c r="E3701" s="86"/>
      <c r="F3701" s="308"/>
    </row>
    <row r="3702" spans="2:6">
      <c r="B3702" s="308"/>
      <c r="C3702" s="86"/>
      <c r="D3702" s="86"/>
      <c r="E3702" s="86"/>
      <c r="F3702" s="308"/>
    </row>
    <row r="3703" spans="2:6">
      <c r="B3703" s="308"/>
      <c r="C3703" s="86"/>
      <c r="D3703" s="86"/>
      <c r="E3703" s="86"/>
      <c r="F3703" s="308"/>
    </row>
    <row r="3704" spans="2:6">
      <c r="B3704" s="308"/>
      <c r="C3704" s="86"/>
      <c r="D3704" s="86"/>
      <c r="E3704" s="86"/>
      <c r="F3704" s="308"/>
    </row>
    <row r="3705" spans="2:6">
      <c r="B3705" s="308"/>
      <c r="C3705" s="86"/>
      <c r="D3705" s="86"/>
      <c r="E3705" s="86"/>
      <c r="F3705" s="308"/>
    </row>
    <row r="3706" spans="2:6">
      <c r="B3706" s="308"/>
      <c r="C3706" s="86"/>
      <c r="D3706" s="86"/>
      <c r="E3706" s="86"/>
      <c r="F3706" s="308"/>
    </row>
    <row r="3707" spans="2:6">
      <c r="B3707" s="308"/>
      <c r="C3707" s="86"/>
      <c r="D3707" s="86"/>
      <c r="E3707" s="86"/>
      <c r="F3707" s="308"/>
    </row>
    <row r="3708" spans="2:6">
      <c r="B3708" s="308"/>
      <c r="C3708" s="86"/>
      <c r="D3708" s="86"/>
      <c r="E3708" s="86"/>
      <c r="F3708" s="308"/>
    </row>
    <row r="3709" spans="2:6">
      <c r="B3709" s="308"/>
      <c r="C3709" s="86"/>
      <c r="D3709" s="86"/>
      <c r="E3709" s="86"/>
      <c r="F3709" s="308"/>
    </row>
    <row r="3710" spans="2:6">
      <c r="B3710" s="308"/>
      <c r="C3710" s="86"/>
      <c r="D3710" s="86"/>
      <c r="E3710" s="86"/>
      <c r="F3710" s="308"/>
    </row>
    <row r="3711" spans="2:6">
      <c r="B3711" s="308"/>
      <c r="C3711" s="86"/>
      <c r="D3711" s="86"/>
      <c r="E3711" s="86"/>
      <c r="F3711" s="308"/>
    </row>
    <row r="3712" spans="2:6">
      <c r="B3712" s="308"/>
      <c r="C3712" s="86"/>
      <c r="D3712" s="86"/>
      <c r="E3712" s="86"/>
      <c r="F3712" s="308"/>
    </row>
    <row r="3713" spans="2:6">
      <c r="B3713" s="308"/>
      <c r="C3713" s="86"/>
      <c r="D3713" s="86"/>
      <c r="E3713" s="86"/>
      <c r="F3713" s="308"/>
    </row>
    <row r="3714" spans="2:6">
      <c r="B3714" s="308"/>
      <c r="C3714" s="86"/>
      <c r="D3714" s="86"/>
      <c r="E3714" s="86"/>
      <c r="F3714" s="308"/>
    </row>
    <row r="3715" spans="2:6">
      <c r="B3715" s="308"/>
      <c r="C3715" s="86"/>
      <c r="D3715" s="86"/>
      <c r="E3715" s="86"/>
      <c r="F3715" s="308"/>
    </row>
    <row r="3716" spans="2:6">
      <c r="B3716" s="308"/>
      <c r="C3716" s="86"/>
      <c r="D3716" s="86"/>
      <c r="E3716" s="86"/>
      <c r="F3716" s="308"/>
    </row>
    <row r="3717" spans="2:6">
      <c r="B3717" s="308"/>
      <c r="C3717" s="86"/>
      <c r="D3717" s="86"/>
      <c r="E3717" s="86"/>
      <c r="F3717" s="308"/>
    </row>
    <row r="3718" spans="2:6">
      <c r="B3718" s="308"/>
      <c r="C3718" s="86"/>
      <c r="D3718" s="86"/>
      <c r="E3718" s="86"/>
      <c r="F3718" s="308"/>
    </row>
    <row r="3719" spans="2:6">
      <c r="B3719" s="308"/>
      <c r="C3719" s="86"/>
      <c r="D3719" s="86"/>
      <c r="E3719" s="86"/>
      <c r="F3719" s="308"/>
    </row>
    <row r="3720" spans="2:6">
      <c r="B3720" s="308"/>
      <c r="C3720" s="86"/>
      <c r="D3720" s="86"/>
      <c r="E3720" s="86"/>
      <c r="F3720" s="308"/>
    </row>
    <row r="3721" spans="2:6">
      <c r="B3721" s="308"/>
      <c r="C3721" s="86"/>
      <c r="D3721" s="86"/>
      <c r="E3721" s="86"/>
      <c r="F3721" s="308"/>
    </row>
    <row r="3722" spans="2:6">
      <c r="B3722" s="308"/>
      <c r="C3722" s="86"/>
      <c r="D3722" s="86"/>
      <c r="E3722" s="86"/>
      <c r="F3722" s="308"/>
    </row>
    <row r="3723" spans="2:6">
      <c r="B3723" s="308"/>
      <c r="C3723" s="86"/>
      <c r="D3723" s="86"/>
      <c r="E3723" s="86"/>
      <c r="F3723" s="308"/>
    </row>
    <row r="3724" spans="2:6">
      <c r="B3724" s="308"/>
      <c r="C3724" s="86"/>
      <c r="D3724" s="86"/>
      <c r="E3724" s="86"/>
      <c r="F3724" s="308"/>
    </row>
    <row r="3725" spans="2:6">
      <c r="B3725" s="308"/>
      <c r="C3725" s="86"/>
      <c r="D3725" s="86"/>
      <c r="E3725" s="86"/>
      <c r="F3725" s="308"/>
    </row>
    <row r="3726" spans="2:6">
      <c r="B3726" s="308"/>
      <c r="C3726" s="86"/>
      <c r="D3726" s="86"/>
      <c r="E3726" s="86"/>
      <c r="F3726" s="308"/>
    </row>
    <row r="3727" spans="2:6">
      <c r="B3727" s="308"/>
      <c r="C3727" s="86"/>
      <c r="D3727" s="86"/>
      <c r="E3727" s="86"/>
      <c r="F3727" s="308"/>
    </row>
    <row r="3728" spans="2:6">
      <c r="B3728" s="308"/>
      <c r="C3728" s="86"/>
      <c r="D3728" s="86"/>
      <c r="E3728" s="86"/>
      <c r="F3728" s="308"/>
    </row>
    <row r="3729" spans="2:6">
      <c r="B3729" s="308"/>
      <c r="C3729" s="86"/>
      <c r="D3729" s="86"/>
      <c r="E3729" s="86"/>
      <c r="F3729" s="308"/>
    </row>
    <row r="3730" spans="2:6">
      <c r="B3730" s="308"/>
      <c r="C3730" s="86"/>
      <c r="D3730" s="86"/>
      <c r="E3730" s="86"/>
      <c r="F3730" s="308"/>
    </row>
    <row r="3731" spans="2:6">
      <c r="B3731" s="308"/>
      <c r="C3731" s="86"/>
      <c r="D3731" s="86"/>
      <c r="E3731" s="86"/>
      <c r="F3731" s="308"/>
    </row>
    <row r="3732" spans="2:6">
      <c r="B3732" s="308"/>
      <c r="C3732" s="86"/>
      <c r="D3732" s="86"/>
      <c r="E3732" s="86"/>
      <c r="F3732" s="308"/>
    </row>
    <row r="3733" spans="2:6">
      <c r="B3733" s="308"/>
      <c r="C3733" s="86"/>
      <c r="D3733" s="86"/>
      <c r="E3733" s="86"/>
      <c r="F3733" s="308"/>
    </row>
    <row r="3734" spans="2:6">
      <c r="B3734" s="308"/>
      <c r="C3734" s="86"/>
      <c r="D3734" s="86"/>
      <c r="E3734" s="86"/>
      <c r="F3734" s="308"/>
    </row>
    <row r="3735" spans="2:6">
      <c r="B3735" s="308"/>
      <c r="C3735" s="86"/>
      <c r="D3735" s="86"/>
      <c r="E3735" s="86"/>
      <c r="F3735" s="308"/>
    </row>
    <row r="3736" spans="2:6">
      <c r="B3736" s="308"/>
      <c r="C3736" s="86"/>
      <c r="D3736" s="86"/>
      <c r="E3736" s="86"/>
      <c r="F3736" s="308"/>
    </row>
    <row r="3737" spans="2:6">
      <c r="B3737" s="308"/>
      <c r="C3737" s="86"/>
      <c r="D3737" s="86"/>
      <c r="E3737" s="86"/>
      <c r="F3737" s="308"/>
    </row>
    <row r="3738" spans="2:6">
      <c r="B3738" s="308"/>
      <c r="C3738" s="86"/>
      <c r="D3738" s="86"/>
      <c r="E3738" s="86"/>
      <c r="F3738" s="308"/>
    </row>
    <row r="3739" spans="2:6">
      <c r="B3739" s="308"/>
      <c r="C3739" s="86"/>
      <c r="D3739" s="86"/>
      <c r="E3739" s="86"/>
      <c r="F3739" s="308"/>
    </row>
    <row r="3740" spans="2:6">
      <c r="B3740" s="308"/>
      <c r="C3740" s="86"/>
      <c r="D3740" s="86"/>
      <c r="E3740" s="86"/>
      <c r="F3740" s="308"/>
    </row>
    <row r="3741" spans="2:6">
      <c r="B3741" s="308"/>
      <c r="C3741" s="86"/>
      <c r="D3741" s="86"/>
      <c r="E3741" s="86"/>
      <c r="F3741" s="308"/>
    </row>
    <row r="3742" spans="2:6">
      <c r="B3742" s="308"/>
      <c r="C3742" s="86"/>
      <c r="D3742" s="86"/>
      <c r="E3742" s="86"/>
      <c r="F3742" s="308"/>
    </row>
    <row r="3743" spans="2:6">
      <c r="B3743" s="308"/>
      <c r="C3743" s="86"/>
      <c r="D3743" s="86"/>
      <c r="E3743" s="86"/>
      <c r="F3743" s="308"/>
    </row>
    <row r="3744" spans="2:6">
      <c r="B3744" s="308"/>
      <c r="C3744" s="86"/>
      <c r="D3744" s="86"/>
      <c r="E3744" s="86"/>
      <c r="F3744" s="308"/>
    </row>
    <row r="3745" spans="2:6">
      <c r="B3745" s="308"/>
      <c r="C3745" s="86"/>
      <c r="D3745" s="86"/>
      <c r="E3745" s="86"/>
      <c r="F3745" s="308"/>
    </row>
    <row r="3746" spans="2:6">
      <c r="B3746" s="308"/>
      <c r="C3746" s="86"/>
      <c r="D3746" s="86"/>
      <c r="E3746" s="86"/>
      <c r="F3746" s="308"/>
    </row>
    <row r="3747" spans="2:6">
      <c r="B3747" s="308"/>
      <c r="C3747" s="86"/>
      <c r="D3747" s="86"/>
      <c r="E3747" s="86"/>
      <c r="F3747" s="308"/>
    </row>
    <row r="3748" spans="2:6">
      <c r="B3748" s="308"/>
      <c r="C3748" s="86"/>
      <c r="D3748" s="86"/>
      <c r="E3748" s="86"/>
      <c r="F3748" s="308"/>
    </row>
    <row r="3749" spans="2:6">
      <c r="B3749" s="308"/>
      <c r="C3749" s="86"/>
      <c r="D3749" s="86"/>
      <c r="E3749" s="86"/>
      <c r="F3749" s="308"/>
    </row>
    <row r="3750" spans="2:6">
      <c r="B3750" s="308"/>
      <c r="C3750" s="86"/>
      <c r="D3750" s="86"/>
      <c r="E3750" s="86"/>
      <c r="F3750" s="308"/>
    </row>
    <row r="3751" spans="2:6">
      <c r="B3751" s="308"/>
      <c r="C3751" s="86"/>
      <c r="D3751" s="86"/>
      <c r="E3751" s="86"/>
      <c r="F3751" s="308"/>
    </row>
    <row r="3752" spans="2:6">
      <c r="B3752" s="308"/>
      <c r="C3752" s="86"/>
      <c r="D3752" s="86"/>
      <c r="E3752" s="86"/>
      <c r="F3752" s="308"/>
    </row>
    <row r="3753" spans="2:6">
      <c r="B3753" s="308"/>
      <c r="C3753" s="86"/>
      <c r="D3753" s="86"/>
      <c r="E3753" s="86"/>
      <c r="F3753" s="308"/>
    </row>
    <row r="3754" spans="2:6">
      <c r="B3754" s="308"/>
      <c r="C3754" s="86"/>
      <c r="D3754" s="86"/>
      <c r="E3754" s="86"/>
      <c r="F3754" s="308"/>
    </row>
    <row r="3755" spans="2:6">
      <c r="B3755" s="308"/>
      <c r="C3755" s="86"/>
      <c r="D3755" s="86"/>
      <c r="E3755" s="86"/>
      <c r="F3755" s="308"/>
    </row>
    <row r="3756" spans="2:6">
      <c r="B3756" s="308"/>
      <c r="C3756" s="86"/>
      <c r="D3756" s="86"/>
      <c r="E3756" s="86"/>
      <c r="F3756" s="308"/>
    </row>
    <row r="3757" spans="2:6">
      <c r="B3757" s="308"/>
      <c r="C3757" s="86"/>
      <c r="D3757" s="86"/>
      <c r="E3757" s="86"/>
      <c r="F3757" s="308"/>
    </row>
    <row r="3758" spans="2:6">
      <c r="B3758" s="308"/>
      <c r="C3758" s="86"/>
      <c r="D3758" s="86"/>
      <c r="E3758" s="86"/>
      <c r="F3758" s="308"/>
    </row>
    <row r="3759" spans="2:6">
      <c r="B3759" s="308"/>
      <c r="C3759" s="86"/>
      <c r="D3759" s="86"/>
      <c r="E3759" s="86"/>
      <c r="F3759" s="308"/>
    </row>
    <row r="3760" spans="2:6">
      <c r="B3760" s="308"/>
      <c r="C3760" s="86"/>
      <c r="D3760" s="86"/>
      <c r="E3760" s="86"/>
      <c r="F3760" s="308"/>
    </row>
    <row r="3761" spans="2:6">
      <c r="B3761" s="308"/>
      <c r="C3761" s="86"/>
      <c r="D3761" s="86"/>
      <c r="E3761" s="86"/>
      <c r="F3761" s="308"/>
    </row>
    <row r="3762" spans="2:6">
      <c r="B3762" s="308"/>
      <c r="C3762" s="86"/>
      <c r="D3762" s="86"/>
      <c r="E3762" s="86"/>
      <c r="F3762" s="308"/>
    </row>
    <row r="3763" spans="2:6">
      <c r="B3763" s="308"/>
      <c r="C3763" s="86"/>
      <c r="D3763" s="86"/>
      <c r="E3763" s="86"/>
      <c r="F3763" s="308"/>
    </row>
    <row r="3764" spans="2:6">
      <c r="B3764" s="308"/>
      <c r="C3764" s="86"/>
      <c r="D3764" s="86"/>
      <c r="E3764" s="86"/>
      <c r="F3764" s="308"/>
    </row>
    <row r="3765" spans="2:6">
      <c r="B3765" s="308"/>
      <c r="C3765" s="86"/>
      <c r="D3765" s="86"/>
      <c r="E3765" s="86"/>
      <c r="F3765" s="308"/>
    </row>
    <row r="3766" spans="2:6">
      <c r="B3766" s="308"/>
      <c r="C3766" s="86"/>
      <c r="D3766" s="86"/>
      <c r="E3766" s="86"/>
      <c r="F3766" s="308"/>
    </row>
    <row r="3767" spans="2:6">
      <c r="B3767" s="308"/>
      <c r="C3767" s="86"/>
      <c r="D3767" s="86"/>
      <c r="E3767" s="86"/>
      <c r="F3767" s="308"/>
    </row>
    <row r="3768" spans="2:6">
      <c r="B3768" s="308"/>
      <c r="C3768" s="86"/>
      <c r="D3768" s="86"/>
      <c r="E3768" s="86"/>
      <c r="F3768" s="308"/>
    </row>
    <row r="3769" spans="2:6">
      <c r="B3769" s="308"/>
      <c r="C3769" s="86"/>
      <c r="D3769" s="86"/>
      <c r="E3769" s="86"/>
      <c r="F3769" s="308"/>
    </row>
    <row r="3770" spans="2:6">
      <c r="B3770" s="308"/>
      <c r="C3770" s="86"/>
      <c r="D3770" s="86"/>
      <c r="E3770" s="86"/>
      <c r="F3770" s="308"/>
    </row>
    <row r="3771" spans="2:6">
      <c r="B3771" s="308"/>
      <c r="C3771" s="86"/>
      <c r="D3771" s="86"/>
      <c r="E3771" s="86"/>
      <c r="F3771" s="308"/>
    </row>
    <row r="3772" spans="2:6">
      <c r="B3772" s="308"/>
      <c r="C3772" s="86"/>
      <c r="D3772" s="86"/>
      <c r="E3772" s="86"/>
      <c r="F3772" s="308"/>
    </row>
    <row r="3773" spans="2:6">
      <c r="B3773" s="308"/>
      <c r="C3773" s="86"/>
      <c r="D3773" s="86"/>
      <c r="E3773" s="86"/>
      <c r="F3773" s="308"/>
    </row>
    <row r="3774" spans="2:6">
      <c r="B3774" s="308"/>
      <c r="C3774" s="86"/>
      <c r="D3774" s="86"/>
      <c r="E3774" s="86"/>
      <c r="F3774" s="308"/>
    </row>
    <row r="3775" spans="2:6">
      <c r="B3775" s="308"/>
      <c r="C3775" s="86"/>
      <c r="D3775" s="86"/>
      <c r="E3775" s="86"/>
      <c r="F3775" s="308"/>
    </row>
    <row r="3776" spans="2:6">
      <c r="B3776" s="308"/>
      <c r="C3776" s="86"/>
      <c r="D3776" s="86"/>
      <c r="E3776" s="86"/>
      <c r="F3776" s="308"/>
    </row>
    <row r="3777" spans="2:6">
      <c r="B3777" s="308"/>
      <c r="C3777" s="86"/>
      <c r="D3777" s="86"/>
      <c r="E3777" s="86"/>
      <c r="F3777" s="308"/>
    </row>
    <row r="3778" spans="2:6">
      <c r="B3778" s="308"/>
      <c r="C3778" s="86"/>
      <c r="D3778" s="86"/>
      <c r="E3778" s="86"/>
      <c r="F3778" s="308"/>
    </row>
    <row r="3779" spans="2:6">
      <c r="B3779" s="308"/>
      <c r="C3779" s="86"/>
      <c r="D3779" s="86"/>
      <c r="E3779" s="86"/>
      <c r="F3779" s="308"/>
    </row>
    <row r="3780" spans="2:6">
      <c r="B3780" s="308"/>
      <c r="C3780" s="86"/>
      <c r="D3780" s="86"/>
      <c r="E3780" s="86"/>
      <c r="F3780" s="308"/>
    </row>
    <row r="3781" spans="2:6">
      <c r="B3781" s="308"/>
      <c r="C3781" s="86"/>
      <c r="D3781" s="86"/>
      <c r="E3781" s="86"/>
      <c r="F3781" s="308"/>
    </row>
    <row r="3782" spans="2:6">
      <c r="B3782" s="308"/>
      <c r="C3782" s="86"/>
      <c r="D3782" s="86"/>
      <c r="E3782" s="86"/>
      <c r="F3782" s="308"/>
    </row>
    <row r="3783" spans="2:6">
      <c r="B3783" s="308"/>
      <c r="C3783" s="86"/>
      <c r="D3783" s="86"/>
      <c r="E3783" s="86"/>
      <c r="F3783" s="308"/>
    </row>
    <row r="3784" spans="2:6">
      <c r="B3784" s="308"/>
      <c r="C3784" s="86"/>
      <c r="D3784" s="86"/>
      <c r="E3784" s="86"/>
      <c r="F3784" s="308"/>
    </row>
    <row r="3785" spans="2:6">
      <c r="B3785" s="308"/>
      <c r="C3785" s="86"/>
      <c r="D3785" s="86"/>
      <c r="E3785" s="86"/>
      <c r="F3785" s="308"/>
    </row>
    <row r="3786" spans="2:6">
      <c r="B3786" s="308"/>
      <c r="C3786" s="86"/>
      <c r="D3786" s="86"/>
      <c r="E3786" s="86"/>
      <c r="F3786" s="308"/>
    </row>
    <row r="3787" spans="2:6">
      <c r="B3787" s="308"/>
      <c r="C3787" s="86"/>
      <c r="D3787" s="86"/>
      <c r="E3787" s="86"/>
      <c r="F3787" s="308"/>
    </row>
    <row r="3788" spans="2:6">
      <c r="B3788" s="308"/>
      <c r="C3788" s="86"/>
      <c r="D3788" s="86"/>
      <c r="E3788" s="86"/>
      <c r="F3788" s="308"/>
    </row>
    <row r="3789" spans="2:6">
      <c r="B3789" s="308"/>
      <c r="C3789" s="86"/>
      <c r="D3789" s="86"/>
      <c r="E3789" s="86"/>
      <c r="F3789" s="308"/>
    </row>
    <row r="3790" spans="2:6">
      <c r="B3790" s="308"/>
      <c r="C3790" s="86"/>
      <c r="D3790" s="86"/>
      <c r="E3790" s="86"/>
      <c r="F3790" s="308"/>
    </row>
    <row r="3791" spans="2:6">
      <c r="B3791" s="308"/>
      <c r="C3791" s="86"/>
      <c r="D3791" s="86"/>
      <c r="E3791" s="86"/>
      <c r="F3791" s="308"/>
    </row>
    <row r="3792" spans="2:6">
      <c r="B3792" s="308"/>
      <c r="C3792" s="86"/>
      <c r="D3792" s="86"/>
      <c r="E3792" s="86"/>
      <c r="F3792" s="308"/>
    </row>
    <row r="3793" spans="2:6">
      <c r="B3793" s="308"/>
      <c r="C3793" s="86"/>
      <c r="D3793" s="86"/>
      <c r="E3793" s="86"/>
      <c r="F3793" s="308"/>
    </row>
    <row r="3794" spans="2:6">
      <c r="B3794" s="308"/>
      <c r="C3794" s="86"/>
      <c r="D3794" s="86"/>
      <c r="E3794" s="86"/>
      <c r="F3794" s="308"/>
    </row>
    <row r="3795" spans="2:6">
      <c r="B3795" s="308"/>
      <c r="C3795" s="86"/>
      <c r="D3795" s="86"/>
      <c r="E3795" s="86"/>
      <c r="F3795" s="308"/>
    </row>
    <row r="3796" spans="2:6">
      <c r="B3796" s="308"/>
      <c r="C3796" s="86"/>
      <c r="D3796" s="86"/>
      <c r="E3796" s="86"/>
      <c r="F3796" s="308"/>
    </row>
    <row r="3797" spans="2:6">
      <c r="B3797" s="308"/>
      <c r="C3797" s="86"/>
      <c r="D3797" s="86"/>
      <c r="E3797" s="86"/>
      <c r="F3797" s="308"/>
    </row>
    <row r="3798" spans="2:6">
      <c r="B3798" s="308"/>
      <c r="C3798" s="86"/>
      <c r="D3798" s="86"/>
      <c r="E3798" s="86"/>
      <c r="F3798" s="308"/>
    </row>
    <row r="3799" spans="2:6">
      <c r="B3799" s="308"/>
      <c r="C3799" s="86"/>
      <c r="D3799" s="86"/>
      <c r="E3799" s="86"/>
      <c r="F3799" s="308"/>
    </row>
    <row r="3800" spans="2:6">
      <c r="B3800" s="308"/>
      <c r="C3800" s="86"/>
      <c r="D3800" s="86"/>
      <c r="E3800" s="86"/>
      <c r="F3800" s="308"/>
    </row>
    <row r="3801" spans="2:6">
      <c r="B3801" s="308"/>
      <c r="C3801" s="86"/>
      <c r="D3801" s="86"/>
      <c r="E3801" s="86"/>
      <c r="F3801" s="308"/>
    </row>
    <row r="3802" spans="2:6">
      <c r="B3802" s="308"/>
      <c r="C3802" s="86"/>
      <c r="D3802" s="86"/>
      <c r="E3802" s="86"/>
      <c r="F3802" s="308"/>
    </row>
    <row r="3803" spans="2:6">
      <c r="B3803" s="308"/>
      <c r="C3803" s="86"/>
      <c r="D3803" s="86"/>
      <c r="E3803" s="86"/>
      <c r="F3803" s="308"/>
    </row>
    <row r="3804" spans="2:6">
      <c r="B3804" s="308"/>
      <c r="C3804" s="86"/>
      <c r="D3804" s="86"/>
      <c r="E3804" s="86"/>
      <c r="F3804" s="308"/>
    </row>
    <row r="3805" spans="2:6">
      <c r="B3805" s="308"/>
      <c r="C3805" s="86"/>
      <c r="D3805" s="86"/>
      <c r="E3805" s="86"/>
      <c r="F3805" s="308"/>
    </row>
    <row r="3806" spans="2:6">
      <c r="B3806" s="308"/>
      <c r="C3806" s="86"/>
      <c r="D3806" s="86"/>
      <c r="E3806" s="86"/>
      <c r="F3806" s="308"/>
    </row>
    <row r="3807" spans="2:6">
      <c r="B3807" s="308"/>
      <c r="C3807" s="86"/>
      <c r="D3807" s="86"/>
      <c r="E3807" s="86"/>
      <c r="F3807" s="308"/>
    </row>
    <row r="3808" spans="2:6">
      <c r="B3808" s="308"/>
      <c r="C3808" s="86"/>
      <c r="D3808" s="86"/>
      <c r="E3808" s="86"/>
      <c r="F3808" s="308"/>
    </row>
    <row r="3809" spans="2:6">
      <c r="B3809" s="308"/>
      <c r="C3809" s="86"/>
      <c r="D3809" s="86"/>
      <c r="E3809" s="86"/>
      <c r="F3809" s="308"/>
    </row>
    <row r="3810" spans="2:6">
      <c r="B3810" s="308"/>
      <c r="C3810" s="86"/>
      <c r="D3810" s="86"/>
      <c r="E3810" s="86"/>
      <c r="F3810" s="308"/>
    </row>
    <row r="3811" spans="2:6">
      <c r="B3811" s="308"/>
      <c r="C3811" s="86"/>
      <c r="D3811" s="86"/>
      <c r="E3811" s="86"/>
      <c r="F3811" s="308"/>
    </row>
    <row r="3812" spans="2:6">
      <c r="B3812" s="308"/>
      <c r="C3812" s="86"/>
      <c r="D3812" s="86"/>
      <c r="E3812" s="86"/>
      <c r="F3812" s="308"/>
    </row>
    <row r="3813" spans="2:6">
      <c r="B3813" s="308"/>
      <c r="C3813" s="86"/>
      <c r="D3813" s="86"/>
      <c r="E3813" s="86"/>
      <c r="F3813" s="308"/>
    </row>
    <row r="3814" spans="2:6">
      <c r="B3814" s="308"/>
      <c r="C3814" s="86"/>
      <c r="D3814" s="86"/>
      <c r="E3814" s="86"/>
      <c r="F3814" s="308"/>
    </row>
    <row r="3815" spans="2:6">
      <c r="B3815" s="308"/>
      <c r="C3815" s="86"/>
      <c r="D3815" s="86"/>
      <c r="E3815" s="86"/>
      <c r="F3815" s="308"/>
    </row>
    <row r="3816" spans="2:6">
      <c r="B3816" s="308"/>
      <c r="C3816" s="86"/>
      <c r="D3816" s="86"/>
      <c r="E3816" s="86"/>
      <c r="F3816" s="308"/>
    </row>
    <row r="3817" spans="2:6">
      <c r="B3817" s="308"/>
      <c r="C3817" s="86"/>
      <c r="D3817" s="86"/>
      <c r="E3817" s="86"/>
      <c r="F3817" s="308"/>
    </row>
    <row r="3818" spans="2:6">
      <c r="B3818" s="308"/>
      <c r="C3818" s="86"/>
      <c r="D3818" s="86"/>
      <c r="E3818" s="86"/>
      <c r="F3818" s="308"/>
    </row>
    <row r="3819" spans="2:6">
      <c r="B3819" s="308"/>
      <c r="C3819" s="86"/>
      <c r="D3819" s="86"/>
      <c r="E3819" s="86"/>
      <c r="F3819" s="308"/>
    </row>
    <row r="3820" spans="2:6">
      <c r="B3820" s="308"/>
      <c r="C3820" s="86"/>
      <c r="D3820" s="86"/>
      <c r="E3820" s="86"/>
      <c r="F3820" s="308"/>
    </row>
    <row r="3821" spans="2:6">
      <c r="B3821" s="308"/>
      <c r="C3821" s="86"/>
      <c r="D3821" s="86"/>
      <c r="E3821" s="86"/>
      <c r="F3821" s="308"/>
    </row>
    <row r="3822" spans="2:6">
      <c r="B3822" s="308"/>
      <c r="C3822" s="86"/>
      <c r="D3822" s="86"/>
      <c r="E3822" s="86"/>
      <c r="F3822" s="308"/>
    </row>
    <row r="3823" spans="2:6">
      <c r="B3823" s="308"/>
      <c r="C3823" s="86"/>
      <c r="D3823" s="86"/>
      <c r="E3823" s="86"/>
      <c r="F3823" s="308"/>
    </row>
    <row r="3824" spans="2:6">
      <c r="B3824" s="308"/>
      <c r="C3824" s="86"/>
      <c r="D3824" s="86"/>
      <c r="E3824" s="86"/>
      <c r="F3824" s="308"/>
    </row>
    <row r="3825" spans="2:6">
      <c r="B3825" s="308"/>
      <c r="C3825" s="86"/>
      <c r="D3825" s="86"/>
      <c r="E3825" s="86"/>
      <c r="F3825" s="308"/>
    </row>
    <row r="3826" spans="2:6">
      <c r="B3826" s="308"/>
      <c r="C3826" s="86"/>
      <c r="D3826" s="86"/>
      <c r="E3826" s="86"/>
      <c r="F3826" s="308"/>
    </row>
    <row r="3827" spans="2:6">
      <c r="B3827" s="308"/>
      <c r="C3827" s="86"/>
      <c r="D3827" s="86"/>
      <c r="E3827" s="86"/>
      <c r="F3827" s="308"/>
    </row>
    <row r="3828" spans="2:6">
      <c r="B3828" s="308"/>
      <c r="C3828" s="86"/>
      <c r="D3828" s="86"/>
      <c r="E3828" s="86"/>
      <c r="F3828" s="308"/>
    </row>
    <row r="3829" spans="2:6">
      <c r="B3829" s="308"/>
      <c r="C3829" s="86"/>
      <c r="D3829" s="86"/>
      <c r="E3829" s="86"/>
      <c r="F3829" s="308"/>
    </row>
    <row r="3830" spans="2:6">
      <c r="B3830" s="308"/>
      <c r="C3830" s="86"/>
      <c r="D3830" s="86"/>
      <c r="E3830" s="86"/>
      <c r="F3830" s="308"/>
    </row>
    <row r="3831" spans="2:6">
      <c r="B3831" s="308"/>
      <c r="C3831" s="86"/>
      <c r="D3831" s="86"/>
      <c r="E3831" s="86"/>
      <c r="F3831" s="308"/>
    </row>
    <row r="3832" spans="2:6">
      <c r="B3832" s="308"/>
      <c r="C3832" s="86"/>
      <c r="D3832" s="86"/>
      <c r="E3832" s="86"/>
      <c r="F3832" s="308"/>
    </row>
    <row r="3833" spans="2:6">
      <c r="B3833" s="308"/>
      <c r="C3833" s="86"/>
      <c r="D3833" s="86"/>
      <c r="E3833" s="86"/>
      <c r="F3833" s="308"/>
    </row>
    <row r="3834" spans="2:6">
      <c r="B3834" s="308"/>
      <c r="C3834" s="86"/>
      <c r="D3834" s="86"/>
      <c r="E3834" s="86"/>
      <c r="F3834" s="308"/>
    </row>
    <row r="3835" spans="2:6">
      <c r="B3835" s="308"/>
      <c r="C3835" s="86"/>
      <c r="D3835" s="86"/>
      <c r="E3835" s="86"/>
      <c r="F3835" s="308"/>
    </row>
    <row r="3836" spans="2:6">
      <c r="B3836" s="308"/>
      <c r="C3836" s="86"/>
      <c r="D3836" s="86"/>
      <c r="E3836" s="86"/>
      <c r="F3836" s="308"/>
    </row>
    <row r="3837" spans="2:6">
      <c r="B3837" s="308"/>
      <c r="C3837" s="86"/>
      <c r="D3837" s="86"/>
      <c r="E3837" s="86"/>
      <c r="F3837" s="308"/>
    </row>
    <row r="3838" spans="2:6">
      <c r="B3838" s="308"/>
      <c r="C3838" s="86"/>
      <c r="D3838" s="86"/>
      <c r="E3838" s="86"/>
      <c r="F3838" s="308"/>
    </row>
    <row r="3839" spans="2:6">
      <c r="B3839" s="308"/>
      <c r="C3839" s="86"/>
      <c r="D3839" s="86"/>
      <c r="E3839" s="86"/>
      <c r="F3839" s="308"/>
    </row>
    <row r="3840" spans="2:6">
      <c r="B3840" s="308"/>
      <c r="C3840" s="86"/>
      <c r="D3840" s="86"/>
      <c r="E3840" s="86"/>
      <c r="F3840" s="308"/>
    </row>
    <row r="3841" spans="2:6">
      <c r="B3841" s="308"/>
      <c r="C3841" s="86"/>
      <c r="D3841" s="86"/>
      <c r="E3841" s="86"/>
      <c r="F3841" s="308"/>
    </row>
    <row r="3842" spans="2:6">
      <c r="B3842" s="308"/>
      <c r="C3842" s="86"/>
      <c r="D3842" s="86"/>
      <c r="E3842" s="86"/>
      <c r="F3842" s="308"/>
    </row>
    <row r="3843" spans="2:6">
      <c r="B3843" s="308"/>
      <c r="C3843" s="86"/>
      <c r="D3843" s="86"/>
      <c r="E3843" s="86"/>
      <c r="F3843" s="308"/>
    </row>
    <row r="3844" spans="2:6">
      <c r="B3844" s="308"/>
      <c r="C3844" s="86"/>
      <c r="D3844" s="86"/>
      <c r="E3844" s="86"/>
      <c r="F3844" s="308"/>
    </row>
    <row r="3845" spans="2:6">
      <c r="B3845" s="308"/>
      <c r="C3845" s="86"/>
      <c r="D3845" s="86"/>
      <c r="E3845" s="86"/>
      <c r="F3845" s="308"/>
    </row>
    <row r="3846" spans="2:6">
      <c r="B3846" s="308"/>
      <c r="C3846" s="86"/>
      <c r="D3846" s="86"/>
      <c r="E3846" s="86"/>
      <c r="F3846" s="308"/>
    </row>
    <row r="3847" spans="2:6">
      <c r="B3847" s="308"/>
      <c r="C3847" s="86"/>
      <c r="D3847" s="86"/>
      <c r="E3847" s="86"/>
      <c r="F3847" s="308"/>
    </row>
    <row r="3848" spans="2:6">
      <c r="B3848" s="308"/>
      <c r="C3848" s="86"/>
      <c r="D3848" s="86"/>
      <c r="E3848" s="86"/>
      <c r="F3848" s="308"/>
    </row>
    <row r="3849" spans="2:6">
      <c r="B3849" s="308"/>
      <c r="C3849" s="86"/>
      <c r="D3849" s="86"/>
      <c r="E3849" s="86"/>
      <c r="F3849" s="308"/>
    </row>
    <row r="3850" spans="2:6">
      <c r="B3850" s="308"/>
      <c r="C3850" s="86"/>
      <c r="D3850" s="86"/>
      <c r="E3850" s="86"/>
      <c r="F3850" s="308"/>
    </row>
    <row r="3851" spans="2:6">
      <c r="B3851" s="308"/>
      <c r="C3851" s="86"/>
      <c r="D3851" s="86"/>
      <c r="E3851" s="86"/>
      <c r="F3851" s="308"/>
    </row>
    <row r="3852" spans="2:6">
      <c r="B3852" s="308"/>
      <c r="C3852" s="86"/>
      <c r="D3852" s="86"/>
      <c r="E3852" s="86"/>
      <c r="F3852" s="308"/>
    </row>
    <row r="3853" spans="2:6">
      <c r="B3853" s="308"/>
      <c r="C3853" s="86"/>
      <c r="D3853" s="86"/>
      <c r="E3853" s="86"/>
      <c r="F3853" s="308"/>
    </row>
    <row r="3854" spans="2:6">
      <c r="B3854" s="308"/>
      <c r="C3854" s="86"/>
      <c r="D3854" s="86"/>
      <c r="E3854" s="86"/>
      <c r="F3854" s="308"/>
    </row>
    <row r="3855" spans="2:6">
      <c r="B3855" s="308"/>
      <c r="C3855" s="86"/>
      <c r="D3855" s="86"/>
      <c r="E3855" s="86"/>
      <c r="F3855" s="308"/>
    </row>
    <row r="3856" spans="2:6">
      <c r="B3856" s="308"/>
      <c r="C3856" s="86"/>
      <c r="D3856" s="86"/>
      <c r="E3856" s="86"/>
      <c r="F3856" s="308"/>
    </row>
    <row r="3857" spans="2:6">
      <c r="B3857" s="308"/>
      <c r="C3857" s="86"/>
      <c r="D3857" s="86"/>
      <c r="E3857" s="86"/>
      <c r="F3857" s="308"/>
    </row>
    <row r="3858" spans="2:6">
      <c r="B3858" s="308"/>
      <c r="C3858" s="86"/>
      <c r="D3858" s="86"/>
      <c r="E3858" s="86"/>
      <c r="F3858" s="308"/>
    </row>
    <row r="3859" spans="2:6">
      <c r="B3859" s="308"/>
      <c r="C3859" s="86"/>
      <c r="D3859" s="86"/>
      <c r="E3859" s="86"/>
      <c r="F3859" s="308"/>
    </row>
    <row r="3860" spans="2:6">
      <c r="B3860" s="308"/>
      <c r="C3860" s="86"/>
      <c r="D3860" s="86"/>
      <c r="E3860" s="86"/>
      <c r="F3860" s="308"/>
    </row>
    <row r="3861" spans="2:6">
      <c r="B3861" s="308"/>
      <c r="C3861" s="86"/>
      <c r="D3861" s="86"/>
      <c r="E3861" s="86"/>
      <c r="F3861" s="308"/>
    </row>
    <row r="3862" spans="2:6">
      <c r="B3862" s="308"/>
      <c r="C3862" s="86"/>
      <c r="D3862" s="86"/>
      <c r="E3862" s="86"/>
      <c r="F3862" s="308"/>
    </row>
    <row r="3863" spans="2:6">
      <c r="B3863" s="308"/>
      <c r="C3863" s="86"/>
      <c r="D3863" s="86"/>
      <c r="E3863" s="86"/>
      <c r="F3863" s="308"/>
    </row>
    <row r="3864" spans="2:6">
      <c r="B3864" s="308"/>
      <c r="C3864" s="86"/>
      <c r="D3864" s="86"/>
      <c r="E3864" s="86"/>
      <c r="F3864" s="308"/>
    </row>
    <row r="3865" spans="2:6">
      <c r="B3865" s="308"/>
      <c r="C3865" s="86"/>
      <c r="D3865" s="86"/>
      <c r="E3865" s="86"/>
      <c r="F3865" s="308"/>
    </row>
    <row r="3866" spans="2:6">
      <c r="B3866" s="308"/>
      <c r="C3866" s="86"/>
      <c r="D3866" s="86"/>
      <c r="E3866" s="86"/>
      <c r="F3866" s="308"/>
    </row>
    <row r="3867" spans="2:6">
      <c r="B3867" s="308"/>
      <c r="C3867" s="86"/>
      <c r="D3867" s="86"/>
      <c r="E3867" s="86"/>
      <c r="F3867" s="308"/>
    </row>
    <row r="3868" spans="2:6">
      <c r="B3868" s="308"/>
      <c r="C3868" s="86"/>
      <c r="D3868" s="86"/>
      <c r="E3868" s="86"/>
      <c r="F3868" s="308"/>
    </row>
    <row r="3869" spans="2:6">
      <c r="B3869" s="308"/>
      <c r="C3869" s="86"/>
      <c r="D3869" s="86"/>
      <c r="E3869" s="86"/>
      <c r="F3869" s="308"/>
    </row>
    <row r="3870" spans="2:6">
      <c r="B3870" s="308"/>
      <c r="C3870" s="86"/>
      <c r="D3870" s="86"/>
      <c r="E3870" s="86"/>
      <c r="F3870" s="308"/>
    </row>
    <row r="3871" spans="2:6">
      <c r="B3871" s="308"/>
      <c r="C3871" s="86"/>
      <c r="D3871" s="86"/>
      <c r="E3871" s="86"/>
      <c r="F3871" s="308"/>
    </row>
    <row r="3872" spans="2:6">
      <c r="B3872" s="308"/>
      <c r="C3872" s="86"/>
      <c r="D3872" s="86"/>
      <c r="E3872" s="86"/>
      <c r="F3872" s="308"/>
    </row>
    <row r="3873" spans="2:6">
      <c r="B3873" s="308"/>
      <c r="C3873" s="86"/>
      <c r="D3873" s="86"/>
      <c r="E3873" s="86"/>
      <c r="F3873" s="308"/>
    </row>
    <row r="3874" spans="2:6">
      <c r="B3874" s="308"/>
      <c r="C3874" s="86"/>
      <c r="D3874" s="86"/>
      <c r="E3874" s="86"/>
      <c r="F3874" s="308"/>
    </row>
    <row r="3875" spans="2:6">
      <c r="B3875" s="308"/>
      <c r="C3875" s="86"/>
      <c r="D3875" s="86"/>
      <c r="E3875" s="86"/>
      <c r="F3875" s="308"/>
    </row>
    <row r="3876" spans="2:6">
      <c r="B3876" s="308"/>
      <c r="C3876" s="86"/>
      <c r="D3876" s="86"/>
      <c r="E3876" s="86"/>
      <c r="F3876" s="308"/>
    </row>
    <row r="3877" spans="2:6">
      <c r="B3877" s="308"/>
      <c r="C3877" s="86"/>
      <c r="D3877" s="86"/>
      <c r="E3877" s="86"/>
      <c r="F3877" s="308"/>
    </row>
    <row r="3878" spans="2:6">
      <c r="B3878" s="308"/>
      <c r="C3878" s="86"/>
      <c r="D3878" s="86"/>
      <c r="E3878" s="86"/>
      <c r="F3878" s="308"/>
    </row>
    <row r="3879" spans="2:6">
      <c r="B3879" s="308"/>
      <c r="C3879" s="86"/>
      <c r="D3879" s="86"/>
      <c r="E3879" s="86"/>
      <c r="F3879" s="308"/>
    </row>
    <row r="3880" spans="2:6">
      <c r="B3880" s="308"/>
      <c r="C3880" s="86"/>
      <c r="D3880" s="86"/>
      <c r="E3880" s="86"/>
      <c r="F3880" s="308"/>
    </row>
    <row r="3881" spans="2:6">
      <c r="B3881" s="308"/>
      <c r="C3881" s="86"/>
      <c r="D3881" s="86"/>
      <c r="E3881" s="86"/>
      <c r="F3881" s="308"/>
    </row>
    <row r="3882" spans="2:6">
      <c r="B3882" s="308"/>
      <c r="C3882" s="86"/>
      <c r="D3882" s="86"/>
      <c r="E3882" s="86"/>
      <c r="F3882" s="308"/>
    </row>
    <row r="3883" spans="2:6">
      <c r="B3883" s="308"/>
      <c r="C3883" s="86"/>
      <c r="D3883" s="86"/>
      <c r="E3883" s="86"/>
      <c r="F3883" s="308"/>
    </row>
    <row r="3884" spans="2:6">
      <c r="B3884" s="308"/>
      <c r="C3884" s="86"/>
      <c r="D3884" s="86"/>
      <c r="E3884" s="86"/>
      <c r="F3884" s="308"/>
    </row>
    <row r="3885" spans="2:6">
      <c r="B3885" s="308"/>
      <c r="C3885" s="86"/>
      <c r="D3885" s="86"/>
      <c r="E3885" s="86"/>
      <c r="F3885" s="308"/>
    </row>
    <row r="3886" spans="2:6">
      <c r="B3886" s="308"/>
      <c r="C3886" s="86"/>
      <c r="D3886" s="86"/>
      <c r="E3886" s="86"/>
      <c r="F3886" s="308"/>
    </row>
    <row r="3887" spans="2:6">
      <c r="B3887" s="308"/>
      <c r="C3887" s="86"/>
      <c r="D3887" s="86"/>
      <c r="E3887" s="86"/>
      <c r="F3887" s="308"/>
    </row>
    <row r="3888" spans="2:6">
      <c r="B3888" s="308"/>
      <c r="C3888" s="86"/>
      <c r="D3888" s="86"/>
      <c r="E3888" s="86"/>
      <c r="F3888" s="308"/>
    </row>
    <row r="3889" spans="2:6">
      <c r="B3889" s="308"/>
      <c r="C3889" s="86"/>
      <c r="D3889" s="86"/>
      <c r="E3889" s="86"/>
      <c r="F3889" s="308"/>
    </row>
    <row r="3890" spans="2:6">
      <c r="B3890" s="308"/>
      <c r="C3890" s="86"/>
      <c r="D3890" s="86"/>
      <c r="E3890" s="86"/>
      <c r="F3890" s="308"/>
    </row>
    <row r="3891" spans="2:6">
      <c r="B3891" s="308"/>
      <c r="C3891" s="86"/>
      <c r="D3891" s="86"/>
      <c r="E3891" s="86"/>
      <c r="F3891" s="308"/>
    </row>
    <row r="3892" spans="2:6">
      <c r="B3892" s="308"/>
      <c r="C3892" s="86"/>
      <c r="D3892" s="86"/>
      <c r="E3892" s="86"/>
      <c r="F3892" s="308"/>
    </row>
    <row r="3893" spans="2:6">
      <c r="B3893" s="308"/>
      <c r="C3893" s="86"/>
      <c r="D3893" s="86"/>
      <c r="E3893" s="86"/>
      <c r="F3893" s="308"/>
    </row>
    <row r="3894" spans="2:6">
      <c r="B3894" s="308"/>
      <c r="C3894" s="86"/>
      <c r="D3894" s="86"/>
      <c r="E3894" s="86"/>
      <c r="F3894" s="308"/>
    </row>
    <row r="3895" spans="2:6">
      <c r="B3895" s="308"/>
      <c r="C3895" s="86"/>
      <c r="D3895" s="86"/>
      <c r="E3895" s="86"/>
      <c r="F3895" s="308"/>
    </row>
    <row r="3896" spans="2:6">
      <c r="B3896" s="308"/>
      <c r="C3896" s="86"/>
      <c r="D3896" s="86"/>
      <c r="E3896" s="86"/>
      <c r="F3896" s="308"/>
    </row>
    <row r="3897" spans="2:6">
      <c r="B3897" s="308"/>
      <c r="C3897" s="86"/>
      <c r="D3897" s="86"/>
      <c r="E3897" s="86"/>
      <c r="F3897" s="308"/>
    </row>
    <row r="3898" spans="2:6">
      <c r="B3898" s="308"/>
      <c r="C3898" s="86"/>
      <c r="D3898" s="86"/>
      <c r="E3898" s="86"/>
      <c r="F3898" s="308"/>
    </row>
    <row r="3899" spans="2:6">
      <c r="B3899" s="308"/>
      <c r="C3899" s="86"/>
      <c r="D3899" s="86"/>
      <c r="E3899" s="86"/>
      <c r="F3899" s="308"/>
    </row>
    <row r="3900" spans="2:6">
      <c r="B3900" s="308"/>
      <c r="C3900" s="86"/>
      <c r="D3900" s="86"/>
      <c r="E3900" s="86"/>
      <c r="F3900" s="308"/>
    </row>
    <row r="3901" spans="2:6">
      <c r="B3901" s="308"/>
      <c r="C3901" s="86"/>
      <c r="D3901" s="86"/>
      <c r="E3901" s="86"/>
      <c r="F3901" s="308"/>
    </row>
    <row r="3902" spans="2:6">
      <c r="B3902" s="308"/>
      <c r="C3902" s="86"/>
      <c r="D3902" s="86"/>
      <c r="E3902" s="86"/>
      <c r="F3902" s="308"/>
    </row>
    <row r="3903" spans="2:6">
      <c r="B3903" s="308"/>
      <c r="C3903" s="86"/>
      <c r="D3903" s="86"/>
      <c r="E3903" s="86"/>
      <c r="F3903" s="308"/>
    </row>
    <row r="3904" spans="2:6">
      <c r="B3904" s="308"/>
      <c r="C3904" s="86"/>
      <c r="D3904" s="86"/>
      <c r="E3904" s="86"/>
      <c r="F3904" s="308"/>
    </row>
    <row r="3905" spans="2:6">
      <c r="B3905" s="308"/>
      <c r="C3905" s="86"/>
      <c r="D3905" s="86"/>
      <c r="E3905" s="86"/>
      <c r="F3905" s="308"/>
    </row>
    <row r="3906" spans="2:6">
      <c r="B3906" s="308"/>
      <c r="C3906" s="86"/>
      <c r="D3906" s="86"/>
      <c r="E3906" s="86"/>
      <c r="F3906" s="308"/>
    </row>
    <row r="3907" spans="2:6">
      <c r="B3907" s="308"/>
      <c r="C3907" s="86"/>
      <c r="D3907" s="86"/>
      <c r="E3907" s="86"/>
      <c r="F3907" s="308"/>
    </row>
    <row r="3908" spans="2:6">
      <c r="B3908" s="308"/>
      <c r="C3908" s="86"/>
      <c r="D3908" s="86"/>
      <c r="E3908" s="86"/>
      <c r="F3908" s="308"/>
    </row>
    <row r="3909" spans="2:6">
      <c r="B3909" s="308"/>
      <c r="C3909" s="86"/>
      <c r="D3909" s="86"/>
      <c r="E3909" s="86"/>
      <c r="F3909" s="308"/>
    </row>
    <row r="3910" spans="2:6">
      <c r="B3910" s="308"/>
      <c r="C3910" s="86"/>
      <c r="D3910" s="86"/>
      <c r="E3910" s="86"/>
      <c r="F3910" s="308"/>
    </row>
    <row r="3911" spans="2:6">
      <c r="B3911" s="308"/>
      <c r="C3911" s="86"/>
      <c r="D3911" s="86"/>
      <c r="E3911" s="86"/>
      <c r="F3911" s="308"/>
    </row>
    <row r="3912" spans="2:6">
      <c r="B3912" s="308"/>
      <c r="C3912" s="86"/>
      <c r="D3912" s="86"/>
      <c r="E3912" s="86"/>
      <c r="F3912" s="308"/>
    </row>
    <row r="3913" spans="2:6">
      <c r="B3913" s="308"/>
      <c r="C3913" s="86"/>
      <c r="D3913" s="86"/>
      <c r="E3913" s="86"/>
      <c r="F3913" s="308"/>
    </row>
    <row r="3914" spans="2:6">
      <c r="B3914" s="308"/>
      <c r="C3914" s="86"/>
      <c r="D3914" s="86"/>
      <c r="E3914" s="86"/>
      <c r="F3914" s="308"/>
    </row>
    <row r="3915" spans="2:6">
      <c r="B3915" s="308"/>
      <c r="C3915" s="86"/>
      <c r="D3915" s="86"/>
      <c r="E3915" s="86"/>
      <c r="F3915" s="308"/>
    </row>
    <row r="3916" spans="2:6">
      <c r="B3916" s="308"/>
      <c r="C3916" s="86"/>
      <c r="D3916" s="86"/>
      <c r="E3916" s="86"/>
      <c r="F3916" s="308"/>
    </row>
    <row r="3917" spans="2:6">
      <c r="B3917" s="308"/>
      <c r="C3917" s="86"/>
      <c r="D3917" s="86"/>
      <c r="E3917" s="86"/>
      <c r="F3917" s="308"/>
    </row>
    <row r="3918" spans="2:6">
      <c r="B3918" s="308"/>
      <c r="C3918" s="86"/>
      <c r="D3918" s="86"/>
      <c r="E3918" s="86"/>
      <c r="F3918" s="308"/>
    </row>
    <row r="3919" spans="2:6">
      <c r="B3919" s="308"/>
      <c r="C3919" s="86"/>
      <c r="D3919" s="86"/>
      <c r="E3919" s="86"/>
      <c r="F3919" s="308"/>
    </row>
    <row r="3920" spans="2:6">
      <c r="B3920" s="308"/>
      <c r="C3920" s="86"/>
      <c r="D3920" s="86"/>
      <c r="E3920" s="86"/>
      <c r="F3920" s="308"/>
    </row>
    <row r="3921" spans="2:6">
      <c r="B3921" s="308"/>
      <c r="C3921" s="86"/>
      <c r="D3921" s="86"/>
      <c r="E3921" s="86"/>
      <c r="F3921" s="308"/>
    </row>
    <row r="3922" spans="2:6">
      <c r="B3922" s="308"/>
      <c r="C3922" s="86"/>
      <c r="D3922" s="86"/>
      <c r="E3922" s="86"/>
      <c r="F3922" s="308"/>
    </row>
    <row r="3923" spans="2:6">
      <c r="B3923" s="308"/>
      <c r="C3923" s="86"/>
      <c r="D3923" s="86"/>
      <c r="E3923" s="86"/>
      <c r="F3923" s="308"/>
    </row>
    <row r="3924" spans="2:6">
      <c r="B3924" s="308"/>
      <c r="C3924" s="86"/>
      <c r="D3924" s="86"/>
      <c r="E3924" s="86"/>
      <c r="F3924" s="308"/>
    </row>
    <row r="3925" spans="2:6">
      <c r="B3925" s="308"/>
      <c r="C3925" s="86"/>
      <c r="D3925" s="86"/>
      <c r="E3925" s="86"/>
      <c r="F3925" s="308"/>
    </row>
    <row r="3926" spans="2:6">
      <c r="B3926" s="308"/>
      <c r="C3926" s="86"/>
      <c r="D3926" s="86"/>
      <c r="E3926" s="86"/>
      <c r="F3926" s="308"/>
    </row>
    <row r="3927" spans="2:6">
      <c r="B3927" s="308"/>
      <c r="C3927" s="86"/>
      <c r="D3927" s="86"/>
      <c r="E3927" s="86"/>
      <c r="F3927" s="308"/>
    </row>
    <row r="3928" spans="2:6">
      <c r="B3928" s="308"/>
      <c r="C3928" s="86"/>
      <c r="D3928" s="86"/>
      <c r="E3928" s="86"/>
      <c r="F3928" s="308"/>
    </row>
    <row r="3929" spans="2:6">
      <c r="B3929" s="308"/>
      <c r="C3929" s="86"/>
      <c r="D3929" s="86"/>
      <c r="E3929" s="86"/>
      <c r="F3929" s="308"/>
    </row>
    <row r="3930" spans="2:6">
      <c r="B3930" s="308"/>
      <c r="C3930" s="86"/>
      <c r="D3930" s="86"/>
      <c r="E3930" s="86"/>
      <c r="F3930" s="308"/>
    </row>
    <row r="3931" spans="2:6">
      <c r="B3931" s="308"/>
      <c r="C3931" s="86"/>
      <c r="D3931" s="86"/>
      <c r="E3931" s="86"/>
      <c r="F3931" s="308"/>
    </row>
    <row r="3932" spans="2:6">
      <c r="B3932" s="308"/>
      <c r="C3932" s="86"/>
      <c r="D3932" s="86"/>
      <c r="E3932" s="86"/>
      <c r="F3932" s="308"/>
    </row>
    <row r="3933" spans="2:6">
      <c r="B3933" s="308"/>
      <c r="C3933" s="86"/>
      <c r="D3933" s="86"/>
      <c r="E3933" s="86"/>
      <c r="F3933" s="308"/>
    </row>
    <row r="3934" spans="2:6">
      <c r="B3934" s="308"/>
      <c r="C3934" s="86"/>
      <c r="D3934" s="86"/>
      <c r="E3934" s="86"/>
      <c r="F3934" s="308"/>
    </row>
    <row r="3935" spans="2:6">
      <c r="B3935" s="308"/>
      <c r="C3935" s="86"/>
      <c r="D3935" s="86"/>
      <c r="E3935" s="86"/>
      <c r="F3935" s="308"/>
    </row>
    <row r="3936" spans="2:6">
      <c r="B3936" s="308"/>
      <c r="C3936" s="86"/>
      <c r="D3936" s="86"/>
      <c r="E3936" s="86"/>
      <c r="F3936" s="308"/>
    </row>
    <row r="3937" spans="2:6">
      <c r="B3937" s="308"/>
      <c r="C3937" s="86"/>
      <c r="D3937" s="86"/>
      <c r="E3937" s="86"/>
      <c r="F3937" s="308"/>
    </row>
    <row r="3938" spans="2:6">
      <c r="B3938" s="308"/>
      <c r="C3938" s="86"/>
      <c r="D3938" s="86"/>
      <c r="E3938" s="86"/>
      <c r="F3938" s="308"/>
    </row>
    <row r="3939" spans="2:6">
      <c r="B3939" s="308"/>
      <c r="C3939" s="86"/>
      <c r="D3939" s="86"/>
      <c r="E3939" s="86"/>
      <c r="F3939" s="308"/>
    </row>
    <row r="3940" spans="2:6">
      <c r="B3940" s="308"/>
      <c r="C3940" s="86"/>
      <c r="D3940" s="86"/>
      <c r="E3940" s="86"/>
      <c r="F3940" s="308"/>
    </row>
    <row r="3941" spans="2:6">
      <c r="B3941" s="308"/>
      <c r="C3941" s="86"/>
      <c r="D3941" s="86"/>
      <c r="E3941" s="86"/>
      <c r="F3941" s="308"/>
    </row>
    <row r="3942" spans="2:6">
      <c r="B3942" s="308"/>
      <c r="C3942" s="86"/>
      <c r="D3942" s="86"/>
      <c r="E3942" s="86"/>
      <c r="F3942" s="308"/>
    </row>
    <row r="3943" spans="2:6">
      <c r="B3943" s="308"/>
      <c r="C3943" s="86"/>
      <c r="D3943" s="86"/>
      <c r="E3943" s="86"/>
      <c r="F3943" s="308"/>
    </row>
    <row r="3944" spans="2:6">
      <c r="B3944" s="308"/>
      <c r="C3944" s="86"/>
      <c r="D3944" s="86"/>
      <c r="E3944" s="86"/>
      <c r="F3944" s="308"/>
    </row>
    <row r="3945" spans="2:6">
      <c r="B3945" s="308"/>
      <c r="C3945" s="86"/>
      <c r="D3945" s="86"/>
      <c r="E3945" s="86"/>
      <c r="F3945" s="308"/>
    </row>
    <row r="3946" spans="2:6">
      <c r="B3946" s="308"/>
      <c r="C3946" s="86"/>
      <c r="D3946" s="86"/>
      <c r="E3946" s="86"/>
      <c r="F3946" s="308"/>
    </row>
    <row r="3947" spans="2:6">
      <c r="B3947" s="308"/>
      <c r="C3947" s="86"/>
      <c r="D3947" s="86"/>
      <c r="E3947" s="86"/>
      <c r="F3947" s="308"/>
    </row>
    <row r="3948" spans="2:6">
      <c r="B3948" s="308"/>
      <c r="C3948" s="86"/>
      <c r="D3948" s="86"/>
      <c r="E3948" s="86"/>
      <c r="F3948" s="308"/>
    </row>
    <row r="3949" spans="2:6">
      <c r="B3949" s="308"/>
      <c r="C3949" s="86"/>
      <c r="D3949" s="86"/>
      <c r="E3949" s="86"/>
      <c r="F3949" s="308"/>
    </row>
    <row r="3950" spans="2:6">
      <c r="B3950" s="308"/>
      <c r="C3950" s="86"/>
      <c r="D3950" s="86"/>
      <c r="E3950" s="86"/>
      <c r="F3950" s="308"/>
    </row>
    <row r="3951" spans="2:6">
      <c r="B3951" s="308"/>
      <c r="C3951" s="86"/>
      <c r="D3951" s="86"/>
      <c r="E3951" s="86"/>
      <c r="F3951" s="308"/>
    </row>
    <row r="3952" spans="2:6">
      <c r="B3952" s="308"/>
      <c r="C3952" s="86"/>
      <c r="D3952" s="86"/>
      <c r="E3952" s="86"/>
      <c r="F3952" s="308"/>
    </row>
    <row r="3953" spans="2:6">
      <c r="B3953" s="308"/>
      <c r="C3953" s="86"/>
      <c r="D3953" s="86"/>
      <c r="E3953" s="86"/>
      <c r="F3953" s="308"/>
    </row>
    <row r="3954" spans="2:6">
      <c r="B3954" s="308"/>
      <c r="C3954" s="86"/>
      <c r="D3954" s="86"/>
      <c r="E3954" s="86"/>
      <c r="F3954" s="308"/>
    </row>
    <row r="3955" spans="2:6">
      <c r="B3955" s="308"/>
      <c r="C3955" s="86"/>
      <c r="D3955" s="86"/>
      <c r="E3955" s="86"/>
      <c r="F3955" s="308"/>
    </row>
    <row r="3956" spans="2:6">
      <c r="B3956" s="308"/>
      <c r="C3956" s="86"/>
      <c r="D3956" s="86"/>
      <c r="E3956" s="86"/>
      <c r="F3956" s="308"/>
    </row>
    <row r="3957" spans="2:6">
      <c r="B3957" s="308"/>
      <c r="C3957" s="86"/>
      <c r="D3957" s="86"/>
      <c r="E3957" s="86"/>
      <c r="F3957" s="308"/>
    </row>
    <row r="3958" spans="2:6">
      <c r="B3958" s="308"/>
      <c r="C3958" s="86"/>
      <c r="D3958" s="86"/>
      <c r="E3958" s="86"/>
      <c r="F3958" s="308"/>
    </row>
    <row r="3959" spans="2:6">
      <c r="B3959" s="308"/>
      <c r="C3959" s="86"/>
      <c r="D3959" s="86"/>
      <c r="E3959" s="86"/>
      <c r="F3959" s="308"/>
    </row>
    <row r="3960" spans="2:6">
      <c r="B3960" s="308"/>
      <c r="C3960" s="86"/>
      <c r="D3960" s="86"/>
      <c r="E3960" s="86"/>
      <c r="F3960" s="308"/>
    </row>
    <row r="3961" spans="2:6">
      <c r="B3961" s="308"/>
      <c r="C3961" s="86"/>
      <c r="D3961" s="86"/>
      <c r="E3961" s="86"/>
      <c r="F3961" s="308"/>
    </row>
    <row r="3962" spans="2:6">
      <c r="B3962" s="308"/>
      <c r="C3962" s="86"/>
      <c r="D3962" s="86"/>
      <c r="E3962" s="86"/>
      <c r="F3962" s="308"/>
    </row>
    <row r="3963" spans="2:6">
      <c r="B3963" s="308"/>
      <c r="C3963" s="86"/>
      <c r="D3963" s="86"/>
      <c r="E3963" s="86"/>
      <c r="F3963" s="308"/>
    </row>
    <row r="3964" spans="2:6">
      <c r="B3964" s="308"/>
      <c r="C3964" s="86"/>
      <c r="D3964" s="86"/>
      <c r="E3964" s="86"/>
      <c r="F3964" s="308"/>
    </row>
    <row r="3965" spans="2:6">
      <c r="B3965" s="308"/>
      <c r="C3965" s="86"/>
      <c r="D3965" s="86"/>
      <c r="E3965" s="86"/>
      <c r="F3965" s="308"/>
    </row>
    <row r="3966" spans="2:6">
      <c r="B3966" s="308"/>
      <c r="C3966" s="86"/>
      <c r="D3966" s="86"/>
      <c r="E3966" s="86"/>
      <c r="F3966" s="308"/>
    </row>
    <row r="3967" spans="2:6">
      <c r="B3967" s="308"/>
      <c r="C3967" s="86"/>
      <c r="D3967" s="86"/>
      <c r="E3967" s="86"/>
      <c r="F3967" s="308"/>
    </row>
    <row r="3968" spans="2:6">
      <c r="B3968" s="308"/>
      <c r="C3968" s="86"/>
      <c r="D3968" s="86"/>
      <c r="E3968" s="86"/>
      <c r="F3968" s="308"/>
    </row>
    <row r="3969" spans="2:6">
      <c r="B3969" s="308"/>
      <c r="C3969" s="86"/>
      <c r="D3969" s="86"/>
      <c r="E3969" s="86"/>
      <c r="F3969" s="308"/>
    </row>
    <row r="3970" spans="2:6">
      <c r="B3970" s="308"/>
      <c r="C3970" s="86"/>
      <c r="D3970" s="86"/>
      <c r="E3970" s="86"/>
      <c r="F3970" s="308"/>
    </row>
    <row r="3971" spans="2:6">
      <c r="B3971" s="308"/>
      <c r="C3971" s="86"/>
      <c r="D3971" s="86"/>
      <c r="E3971" s="86"/>
      <c r="F3971" s="308"/>
    </row>
    <row r="3972" spans="2:6">
      <c r="B3972" s="308"/>
      <c r="C3972" s="86"/>
      <c r="D3972" s="86"/>
      <c r="E3972" s="86"/>
      <c r="F3972" s="308"/>
    </row>
    <row r="3973" spans="2:6">
      <c r="B3973" s="308"/>
      <c r="C3973" s="86"/>
      <c r="D3973" s="86"/>
      <c r="E3973" s="86"/>
      <c r="F3973" s="308"/>
    </row>
    <row r="3974" spans="2:6">
      <c r="B3974" s="308"/>
      <c r="C3974" s="86"/>
      <c r="D3974" s="86"/>
      <c r="E3974" s="86"/>
      <c r="F3974" s="308"/>
    </row>
    <row r="3975" spans="2:6">
      <c r="B3975" s="308"/>
      <c r="C3975" s="86"/>
      <c r="D3975" s="86"/>
      <c r="E3975" s="86"/>
      <c r="F3975" s="308"/>
    </row>
    <row r="3976" spans="2:6">
      <c r="B3976" s="308"/>
      <c r="C3976" s="86"/>
      <c r="D3976" s="86"/>
      <c r="E3976" s="86"/>
      <c r="F3976" s="308"/>
    </row>
    <row r="3977" spans="2:6">
      <c r="B3977" s="308"/>
      <c r="C3977" s="86"/>
      <c r="D3977" s="86"/>
      <c r="E3977" s="86"/>
      <c r="F3977" s="308"/>
    </row>
    <row r="3978" spans="2:6">
      <c r="B3978" s="308"/>
      <c r="C3978" s="86"/>
      <c r="D3978" s="86"/>
      <c r="E3978" s="86"/>
      <c r="F3978" s="308"/>
    </row>
    <row r="3979" spans="2:6">
      <c r="B3979" s="308"/>
      <c r="C3979" s="86"/>
      <c r="D3979" s="86"/>
      <c r="E3979" s="86"/>
      <c r="F3979" s="308"/>
    </row>
    <row r="3980" spans="2:6">
      <c r="B3980" s="308"/>
      <c r="C3980" s="86"/>
      <c r="D3980" s="86"/>
      <c r="E3980" s="86"/>
      <c r="F3980" s="308"/>
    </row>
    <row r="3981" spans="2:6">
      <c r="B3981" s="308"/>
      <c r="C3981" s="86"/>
      <c r="D3981" s="86"/>
      <c r="E3981" s="86"/>
      <c r="F3981" s="308"/>
    </row>
    <row r="3982" spans="2:6">
      <c r="B3982" s="308"/>
      <c r="C3982" s="86"/>
      <c r="D3982" s="86"/>
      <c r="E3982" s="86"/>
      <c r="F3982" s="308"/>
    </row>
    <row r="3983" spans="2:6">
      <c r="B3983" s="308"/>
      <c r="C3983" s="86"/>
      <c r="D3983" s="86"/>
      <c r="E3983" s="86"/>
      <c r="F3983" s="308"/>
    </row>
    <row r="3984" spans="2:6">
      <c r="B3984" s="308"/>
      <c r="C3984" s="86"/>
      <c r="D3984" s="86"/>
      <c r="E3984" s="86"/>
      <c r="F3984" s="308"/>
    </row>
    <row r="3985" spans="2:6">
      <c r="B3985" s="308"/>
      <c r="C3985" s="86"/>
      <c r="D3985" s="86"/>
      <c r="E3985" s="86"/>
      <c r="F3985" s="308"/>
    </row>
    <row r="3986" spans="2:6">
      <c r="B3986" s="308"/>
      <c r="C3986" s="86"/>
      <c r="D3986" s="86"/>
      <c r="E3986" s="86"/>
      <c r="F3986" s="308"/>
    </row>
    <row r="3987" spans="2:6">
      <c r="B3987" s="308"/>
      <c r="C3987" s="86"/>
      <c r="D3987" s="86"/>
      <c r="E3987" s="86"/>
      <c r="F3987" s="308"/>
    </row>
    <row r="3988" spans="2:6">
      <c r="B3988" s="308"/>
      <c r="C3988" s="86"/>
      <c r="D3988" s="86"/>
      <c r="E3988" s="86"/>
      <c r="F3988" s="308"/>
    </row>
    <row r="3989" spans="2:6">
      <c r="B3989" s="308"/>
      <c r="C3989" s="86"/>
      <c r="D3989" s="86"/>
      <c r="E3989" s="86"/>
      <c r="F3989" s="308"/>
    </row>
    <row r="3990" spans="2:6">
      <c r="B3990" s="308"/>
      <c r="C3990" s="86"/>
      <c r="D3990" s="86"/>
      <c r="E3990" s="86"/>
      <c r="F3990" s="308"/>
    </row>
    <row r="3991" spans="2:6">
      <c r="B3991" s="308"/>
      <c r="C3991" s="86"/>
      <c r="D3991" s="86"/>
      <c r="E3991" s="86"/>
      <c r="F3991" s="308"/>
    </row>
    <row r="3992" spans="2:6">
      <c r="B3992" s="308"/>
      <c r="C3992" s="86"/>
      <c r="D3992" s="86"/>
      <c r="E3992" s="86"/>
      <c r="F3992" s="308"/>
    </row>
    <row r="3993" spans="2:6">
      <c r="B3993" s="308"/>
      <c r="C3993" s="86"/>
      <c r="D3993" s="86"/>
      <c r="E3993" s="86"/>
      <c r="F3993" s="308"/>
    </row>
    <row r="3994" spans="2:6">
      <c r="B3994" s="308"/>
      <c r="C3994" s="86"/>
      <c r="D3994" s="86"/>
      <c r="E3994" s="86"/>
      <c r="F3994" s="308"/>
    </row>
    <row r="3995" spans="2:6">
      <c r="B3995" s="308"/>
      <c r="C3995" s="86"/>
      <c r="D3995" s="86"/>
      <c r="E3995" s="86"/>
      <c r="F3995" s="308"/>
    </row>
    <row r="3996" spans="2:6">
      <c r="B3996" s="308"/>
      <c r="C3996" s="86"/>
      <c r="D3996" s="86"/>
      <c r="E3996" s="86"/>
      <c r="F3996" s="308"/>
    </row>
    <row r="3997" spans="2:6">
      <c r="B3997" s="308"/>
      <c r="C3997" s="86"/>
      <c r="D3997" s="86"/>
      <c r="E3997" s="86"/>
      <c r="F3997" s="308"/>
    </row>
    <row r="3998" spans="2:6">
      <c r="B3998" s="308"/>
      <c r="C3998" s="86"/>
      <c r="D3998" s="86"/>
      <c r="E3998" s="86"/>
      <c r="F3998" s="308"/>
    </row>
    <row r="3999" spans="2:6">
      <c r="B3999" s="308"/>
      <c r="C3999" s="86"/>
      <c r="D3999" s="86"/>
      <c r="E3999" s="86"/>
      <c r="F3999" s="308"/>
    </row>
    <row r="4000" spans="2:6">
      <c r="B4000" s="308"/>
      <c r="C4000" s="86"/>
      <c r="D4000" s="86"/>
      <c r="E4000" s="86"/>
      <c r="F4000" s="308"/>
    </row>
    <row r="4001" spans="2:6">
      <c r="B4001" s="308"/>
      <c r="C4001" s="86"/>
      <c r="D4001" s="86"/>
      <c r="E4001" s="86"/>
      <c r="F4001" s="308"/>
    </row>
    <row r="4002" spans="2:6">
      <c r="B4002" s="308"/>
      <c r="C4002" s="86"/>
      <c r="D4002" s="86"/>
      <c r="E4002" s="86"/>
      <c r="F4002" s="308"/>
    </row>
    <row r="4003" spans="2:6">
      <c r="B4003" s="308"/>
      <c r="C4003" s="86"/>
      <c r="D4003" s="86"/>
      <c r="E4003" s="86"/>
      <c r="F4003" s="308"/>
    </row>
    <row r="4004" spans="2:6">
      <c r="B4004" s="308"/>
      <c r="C4004" s="86"/>
      <c r="D4004" s="86"/>
      <c r="E4004" s="86"/>
      <c r="F4004" s="308"/>
    </row>
    <row r="4005" spans="2:6">
      <c r="B4005" s="308"/>
      <c r="C4005" s="86"/>
      <c r="D4005" s="86"/>
      <c r="E4005" s="86"/>
      <c r="F4005" s="308"/>
    </row>
    <row r="4006" spans="2:6">
      <c r="B4006" s="308"/>
      <c r="C4006" s="86"/>
      <c r="D4006" s="86"/>
      <c r="E4006" s="86"/>
      <c r="F4006" s="308"/>
    </row>
    <row r="4007" spans="2:6">
      <c r="B4007" s="308"/>
      <c r="C4007" s="86"/>
      <c r="D4007" s="86"/>
      <c r="E4007" s="86"/>
      <c r="F4007" s="308"/>
    </row>
    <row r="4008" spans="2:6">
      <c r="B4008" s="308"/>
      <c r="C4008" s="86"/>
      <c r="D4008" s="86"/>
      <c r="E4008" s="86"/>
      <c r="F4008" s="308"/>
    </row>
    <row r="4009" spans="2:6">
      <c r="B4009" s="308"/>
      <c r="C4009" s="86"/>
      <c r="D4009" s="86"/>
      <c r="E4009" s="86"/>
      <c r="F4009" s="308"/>
    </row>
    <row r="4010" spans="2:6">
      <c r="B4010" s="308"/>
      <c r="C4010" s="86"/>
      <c r="D4010" s="86"/>
      <c r="E4010" s="86"/>
      <c r="F4010" s="308"/>
    </row>
    <row r="4011" spans="2:6">
      <c r="B4011" s="308"/>
      <c r="C4011" s="86"/>
      <c r="D4011" s="86"/>
      <c r="E4011" s="86"/>
      <c r="F4011" s="308"/>
    </row>
    <row r="4012" spans="2:6">
      <c r="B4012" s="308"/>
      <c r="C4012" s="86"/>
      <c r="D4012" s="86"/>
      <c r="E4012" s="86"/>
      <c r="F4012" s="308"/>
    </row>
    <row r="4013" spans="2:6">
      <c r="B4013" s="308"/>
      <c r="C4013" s="86"/>
      <c r="D4013" s="86"/>
      <c r="E4013" s="86"/>
      <c r="F4013" s="308"/>
    </row>
    <row r="4014" spans="2:6">
      <c r="B4014" s="308"/>
      <c r="C4014" s="86"/>
      <c r="D4014" s="86"/>
      <c r="E4014" s="86"/>
      <c r="F4014" s="308"/>
    </row>
    <row r="4015" spans="2:6">
      <c r="B4015" s="308"/>
      <c r="C4015" s="86"/>
      <c r="D4015" s="86"/>
      <c r="E4015" s="86"/>
      <c r="F4015" s="308"/>
    </row>
    <row r="4016" spans="2:6">
      <c r="B4016" s="308"/>
      <c r="C4016" s="86"/>
      <c r="D4016" s="86"/>
      <c r="E4016" s="86"/>
      <c r="F4016" s="308"/>
    </row>
    <row r="4017" spans="2:6">
      <c r="B4017" s="308"/>
      <c r="C4017" s="86"/>
      <c r="D4017" s="86"/>
      <c r="E4017" s="86"/>
      <c r="F4017" s="308"/>
    </row>
    <row r="4018" spans="2:6">
      <c r="B4018" s="308"/>
      <c r="C4018" s="86"/>
      <c r="D4018" s="86"/>
      <c r="E4018" s="86"/>
      <c r="F4018" s="308"/>
    </row>
    <row r="4019" spans="2:6">
      <c r="B4019" s="308"/>
      <c r="C4019" s="86"/>
      <c r="D4019" s="86"/>
      <c r="E4019" s="86"/>
      <c r="F4019" s="308"/>
    </row>
    <row r="4020" spans="2:6">
      <c r="B4020" s="308"/>
      <c r="C4020" s="86"/>
      <c r="D4020" s="86"/>
      <c r="E4020" s="86"/>
      <c r="F4020" s="308"/>
    </row>
    <row r="4021" spans="2:6">
      <c r="B4021" s="308"/>
      <c r="C4021" s="86"/>
      <c r="D4021" s="86"/>
      <c r="E4021" s="86"/>
      <c r="F4021" s="308"/>
    </row>
    <row r="4022" spans="2:6">
      <c r="B4022" s="308"/>
      <c r="C4022" s="86"/>
      <c r="D4022" s="86"/>
      <c r="E4022" s="86"/>
      <c r="F4022" s="308"/>
    </row>
    <row r="4023" spans="2:6">
      <c r="B4023" s="308"/>
      <c r="C4023" s="86"/>
      <c r="D4023" s="86"/>
      <c r="E4023" s="86"/>
      <c r="F4023" s="308"/>
    </row>
    <row r="4024" spans="2:6">
      <c r="B4024" s="308"/>
      <c r="C4024" s="86"/>
      <c r="D4024" s="86"/>
      <c r="E4024" s="86"/>
      <c r="F4024" s="308"/>
    </row>
    <row r="4025" spans="2:6">
      <c r="B4025" s="308"/>
      <c r="C4025" s="86"/>
      <c r="D4025" s="86"/>
      <c r="E4025" s="86"/>
      <c r="F4025" s="308"/>
    </row>
    <row r="4026" spans="2:6">
      <c r="B4026" s="308"/>
      <c r="C4026" s="86"/>
      <c r="D4026" s="86"/>
      <c r="E4026" s="86"/>
      <c r="F4026" s="308"/>
    </row>
    <row r="4027" spans="2:6">
      <c r="B4027" s="308"/>
      <c r="C4027" s="86"/>
      <c r="D4027" s="86"/>
      <c r="E4027" s="86"/>
      <c r="F4027" s="308"/>
    </row>
    <row r="4028" spans="2:6">
      <c r="B4028" s="308"/>
      <c r="C4028" s="86"/>
      <c r="D4028" s="86"/>
      <c r="E4028" s="86"/>
      <c r="F4028" s="308"/>
    </row>
    <row r="4029" spans="2:6">
      <c r="B4029" s="308"/>
      <c r="C4029" s="86"/>
      <c r="D4029" s="86"/>
      <c r="E4029" s="86"/>
      <c r="F4029" s="308"/>
    </row>
    <row r="4030" spans="2:6">
      <c r="B4030" s="308"/>
      <c r="C4030" s="86"/>
      <c r="D4030" s="86"/>
      <c r="E4030" s="86"/>
      <c r="F4030" s="308"/>
    </row>
    <row r="4031" spans="2:6">
      <c r="B4031" s="308"/>
      <c r="C4031" s="86"/>
      <c r="D4031" s="86"/>
      <c r="E4031" s="86"/>
      <c r="F4031" s="308"/>
    </row>
    <row r="4032" spans="2:6">
      <c r="B4032" s="308"/>
      <c r="C4032" s="86"/>
      <c r="D4032" s="86"/>
      <c r="E4032" s="86"/>
      <c r="F4032" s="308"/>
    </row>
    <row r="4033" spans="2:6">
      <c r="B4033" s="308"/>
      <c r="C4033" s="86"/>
      <c r="D4033" s="86"/>
      <c r="E4033" s="86"/>
      <c r="F4033" s="308"/>
    </row>
    <row r="4034" spans="2:6">
      <c r="B4034" s="308"/>
      <c r="C4034" s="86"/>
      <c r="D4034" s="86"/>
      <c r="E4034" s="86"/>
      <c r="F4034" s="308"/>
    </row>
    <row r="4035" spans="2:6">
      <c r="B4035" s="308"/>
      <c r="C4035" s="86"/>
      <c r="D4035" s="86"/>
      <c r="E4035" s="86"/>
      <c r="F4035" s="308"/>
    </row>
    <row r="4036" spans="2:6">
      <c r="B4036" s="308"/>
      <c r="C4036" s="86"/>
      <c r="D4036" s="86"/>
      <c r="E4036" s="86"/>
      <c r="F4036" s="308"/>
    </row>
    <row r="4037" spans="2:6">
      <c r="B4037" s="308"/>
      <c r="C4037" s="86"/>
      <c r="D4037" s="86"/>
      <c r="E4037" s="86"/>
      <c r="F4037" s="308"/>
    </row>
    <row r="4038" spans="2:6">
      <c r="B4038" s="308"/>
      <c r="C4038" s="86"/>
      <c r="D4038" s="86"/>
      <c r="E4038" s="86"/>
      <c r="F4038" s="308"/>
    </row>
    <row r="4039" spans="2:6">
      <c r="B4039" s="308"/>
      <c r="C4039" s="86"/>
      <c r="D4039" s="86"/>
      <c r="E4039" s="86"/>
      <c r="F4039" s="308"/>
    </row>
    <row r="4040" spans="2:6">
      <c r="B4040" s="308"/>
      <c r="C4040" s="86"/>
      <c r="D4040" s="86"/>
      <c r="E4040" s="86"/>
      <c r="F4040" s="308"/>
    </row>
    <row r="4041" spans="2:6">
      <c r="B4041" s="308"/>
      <c r="C4041" s="86"/>
      <c r="D4041" s="86"/>
      <c r="E4041" s="86"/>
      <c r="F4041" s="308"/>
    </row>
    <row r="4042" spans="2:6">
      <c r="B4042" s="308"/>
      <c r="C4042" s="86"/>
      <c r="D4042" s="86"/>
      <c r="E4042" s="86"/>
      <c r="F4042" s="308"/>
    </row>
    <row r="4043" spans="2:6">
      <c r="B4043" s="308"/>
      <c r="C4043" s="86"/>
      <c r="D4043" s="86"/>
      <c r="E4043" s="86"/>
      <c r="F4043" s="308"/>
    </row>
    <row r="4044" spans="2:6">
      <c r="B4044" s="308"/>
      <c r="C4044" s="86"/>
      <c r="D4044" s="86"/>
      <c r="E4044" s="86"/>
      <c r="F4044" s="308"/>
    </row>
    <row r="4045" spans="2:6">
      <c r="B4045" s="308"/>
      <c r="C4045" s="86"/>
      <c r="D4045" s="86"/>
      <c r="E4045" s="86"/>
      <c r="F4045" s="308"/>
    </row>
    <row r="4046" spans="2:6">
      <c r="B4046" s="308"/>
      <c r="C4046" s="86"/>
      <c r="D4046" s="86"/>
      <c r="E4046" s="86"/>
      <c r="F4046" s="308"/>
    </row>
    <row r="4047" spans="2:6">
      <c r="B4047" s="308"/>
      <c r="C4047" s="86"/>
      <c r="D4047" s="86"/>
      <c r="E4047" s="86"/>
      <c r="F4047" s="308"/>
    </row>
    <row r="4048" spans="2:6">
      <c r="B4048" s="308"/>
      <c r="C4048" s="86"/>
      <c r="D4048" s="86"/>
      <c r="E4048" s="86"/>
      <c r="F4048" s="308"/>
    </row>
    <row r="4049" spans="2:6">
      <c r="B4049" s="308"/>
      <c r="C4049" s="86"/>
      <c r="D4049" s="86"/>
      <c r="E4049" s="86"/>
      <c r="F4049" s="308"/>
    </row>
    <row r="4050" spans="2:6">
      <c r="B4050" s="308"/>
      <c r="C4050" s="86"/>
      <c r="D4050" s="86"/>
      <c r="E4050" s="86"/>
      <c r="F4050" s="308"/>
    </row>
    <row r="4051" spans="2:6">
      <c r="B4051" s="308"/>
      <c r="C4051" s="86"/>
      <c r="D4051" s="86"/>
      <c r="E4051" s="86"/>
      <c r="F4051" s="308"/>
    </row>
    <row r="4052" spans="2:6">
      <c r="B4052" s="308"/>
      <c r="C4052" s="86"/>
      <c r="D4052" s="86"/>
      <c r="E4052" s="86"/>
      <c r="F4052" s="308"/>
    </row>
    <row r="4053" spans="2:6">
      <c r="B4053" s="308"/>
      <c r="C4053" s="86"/>
      <c r="D4053" s="86"/>
      <c r="E4053" s="86"/>
      <c r="F4053" s="308"/>
    </row>
    <row r="4054" spans="2:6">
      <c r="B4054" s="308"/>
      <c r="C4054" s="86"/>
      <c r="D4054" s="86"/>
      <c r="E4054" s="86"/>
      <c r="F4054" s="308"/>
    </row>
    <row r="4055" spans="2:6">
      <c r="B4055" s="308"/>
      <c r="C4055" s="86"/>
      <c r="D4055" s="86"/>
      <c r="E4055" s="86"/>
      <c r="F4055" s="308"/>
    </row>
    <row r="4056" spans="2:6">
      <c r="B4056" s="308"/>
      <c r="C4056" s="86"/>
      <c r="D4056" s="86"/>
      <c r="E4056" s="86"/>
      <c r="F4056" s="308"/>
    </row>
    <row r="4057" spans="2:6">
      <c r="B4057" s="308"/>
      <c r="C4057" s="86"/>
      <c r="D4057" s="86"/>
      <c r="E4057" s="86"/>
      <c r="F4057" s="308"/>
    </row>
    <row r="4058" spans="2:6">
      <c r="B4058" s="308"/>
      <c r="C4058" s="86"/>
      <c r="D4058" s="86"/>
      <c r="E4058" s="86"/>
      <c r="F4058" s="308"/>
    </row>
    <row r="4059" spans="2:6">
      <c r="B4059" s="308"/>
      <c r="C4059" s="86"/>
      <c r="D4059" s="86"/>
      <c r="E4059" s="86"/>
      <c r="F4059" s="308"/>
    </row>
    <row r="4060" spans="2:6">
      <c r="B4060" s="308"/>
      <c r="C4060" s="86"/>
      <c r="D4060" s="86"/>
      <c r="E4060" s="86"/>
      <c r="F4060" s="308"/>
    </row>
    <row r="4061" spans="2:6">
      <c r="B4061" s="308"/>
      <c r="C4061" s="86"/>
      <c r="D4061" s="86"/>
      <c r="E4061" s="86"/>
      <c r="F4061" s="308"/>
    </row>
    <row r="4062" spans="2:6">
      <c r="B4062" s="308"/>
      <c r="C4062" s="86"/>
      <c r="D4062" s="86"/>
      <c r="E4062" s="86"/>
      <c r="F4062" s="308"/>
    </row>
    <row r="4063" spans="2:6">
      <c r="B4063" s="308"/>
      <c r="C4063" s="86"/>
      <c r="D4063" s="86"/>
      <c r="E4063" s="86"/>
      <c r="F4063" s="308"/>
    </row>
    <row r="4064" spans="2:6">
      <c r="B4064" s="308"/>
      <c r="C4064" s="86"/>
      <c r="D4064" s="86"/>
      <c r="E4064" s="86"/>
      <c r="F4064" s="308"/>
    </row>
    <row r="4065" spans="2:6">
      <c r="B4065" s="308"/>
      <c r="C4065" s="86"/>
      <c r="D4065" s="86"/>
      <c r="E4065" s="86"/>
      <c r="F4065" s="308"/>
    </row>
    <row r="4066" spans="2:6">
      <c r="B4066" s="308"/>
      <c r="C4066" s="86"/>
      <c r="D4066" s="86"/>
      <c r="E4066" s="86"/>
      <c r="F4066" s="308"/>
    </row>
    <row r="4067" spans="2:6">
      <c r="B4067" s="308"/>
      <c r="C4067" s="86"/>
      <c r="D4067" s="86"/>
      <c r="E4067" s="86"/>
      <c r="F4067" s="308"/>
    </row>
    <row r="4068" spans="2:6">
      <c r="B4068" s="308"/>
      <c r="C4068" s="86"/>
      <c r="D4068" s="86"/>
      <c r="E4068" s="86"/>
      <c r="F4068" s="308"/>
    </row>
    <row r="4069" spans="2:6">
      <c r="B4069" s="308"/>
      <c r="C4069" s="86"/>
      <c r="D4069" s="86"/>
      <c r="E4069" s="86"/>
      <c r="F4069" s="308"/>
    </row>
    <row r="4070" spans="2:6">
      <c r="B4070" s="308"/>
      <c r="C4070" s="86"/>
      <c r="D4070" s="86"/>
      <c r="E4070" s="86"/>
      <c r="F4070" s="308"/>
    </row>
    <row r="4071" spans="2:6">
      <c r="B4071" s="308"/>
      <c r="C4071" s="86"/>
      <c r="D4071" s="86"/>
      <c r="E4071" s="86"/>
      <c r="F4071" s="308"/>
    </row>
    <row r="4072" spans="2:6">
      <c r="B4072" s="308"/>
      <c r="C4072" s="86"/>
      <c r="D4072" s="86"/>
      <c r="E4072" s="86"/>
      <c r="F4072" s="308"/>
    </row>
    <row r="4073" spans="2:6">
      <c r="B4073" s="308"/>
      <c r="C4073" s="86"/>
      <c r="D4073" s="86"/>
      <c r="E4073" s="86"/>
      <c r="F4073" s="308"/>
    </row>
    <row r="4074" spans="2:6">
      <c r="B4074" s="308"/>
      <c r="C4074" s="86"/>
      <c r="D4074" s="86"/>
      <c r="E4074" s="86"/>
      <c r="F4074" s="308"/>
    </row>
    <row r="4075" spans="2:6">
      <c r="B4075" s="308"/>
      <c r="C4075" s="86"/>
      <c r="D4075" s="86"/>
      <c r="E4075" s="86"/>
      <c r="F4075" s="308"/>
    </row>
    <row r="4076" spans="2:6">
      <c r="B4076" s="308"/>
      <c r="C4076" s="86"/>
      <c r="D4076" s="86"/>
      <c r="E4076" s="86"/>
      <c r="F4076" s="308"/>
    </row>
    <row r="4077" spans="2:6">
      <c r="B4077" s="308"/>
      <c r="C4077" s="86"/>
      <c r="D4077" s="86"/>
      <c r="E4077" s="86"/>
      <c r="F4077" s="308"/>
    </row>
    <row r="4078" spans="2:6">
      <c r="B4078" s="308"/>
      <c r="C4078" s="86"/>
      <c r="D4078" s="86"/>
      <c r="E4078" s="86"/>
      <c r="F4078" s="308"/>
    </row>
    <row r="4079" spans="2:6">
      <c r="B4079" s="308"/>
      <c r="C4079" s="86"/>
      <c r="D4079" s="86"/>
      <c r="E4079" s="86"/>
      <c r="F4079" s="308"/>
    </row>
    <row r="4080" spans="2:6">
      <c r="B4080" s="308"/>
      <c r="C4080" s="86"/>
      <c r="D4080" s="86"/>
      <c r="E4080" s="86"/>
      <c r="F4080" s="308"/>
    </row>
    <row r="4081" spans="2:6">
      <c r="B4081" s="308"/>
      <c r="C4081" s="86"/>
      <c r="D4081" s="86"/>
      <c r="E4081" s="86"/>
      <c r="F4081" s="308"/>
    </row>
    <row r="4082" spans="2:6">
      <c r="B4082" s="308"/>
      <c r="C4082" s="86"/>
      <c r="D4082" s="86"/>
      <c r="E4082" s="86"/>
      <c r="F4082" s="308"/>
    </row>
    <row r="4083" spans="2:6">
      <c r="B4083" s="308"/>
      <c r="C4083" s="86"/>
      <c r="D4083" s="86"/>
      <c r="E4083" s="86"/>
      <c r="F4083" s="308"/>
    </row>
    <row r="4084" spans="2:6">
      <c r="B4084" s="308"/>
      <c r="C4084" s="86"/>
      <c r="D4084" s="86"/>
      <c r="E4084" s="86"/>
      <c r="F4084" s="308"/>
    </row>
    <row r="4085" spans="2:6">
      <c r="B4085" s="308"/>
      <c r="C4085" s="86"/>
      <c r="D4085" s="86"/>
      <c r="E4085" s="86"/>
      <c r="F4085" s="308"/>
    </row>
    <row r="4086" spans="2:6">
      <c r="B4086" s="308"/>
      <c r="C4086" s="86"/>
      <c r="D4086" s="86"/>
      <c r="E4086" s="86"/>
      <c r="F4086" s="308"/>
    </row>
    <row r="4087" spans="2:6">
      <c r="B4087" s="308"/>
      <c r="C4087" s="86"/>
      <c r="D4087" s="86"/>
      <c r="E4087" s="86"/>
      <c r="F4087" s="308"/>
    </row>
    <row r="4088" spans="2:6">
      <c r="B4088" s="308"/>
      <c r="C4088" s="86"/>
      <c r="D4088" s="86"/>
      <c r="E4088" s="86"/>
      <c r="F4088" s="308"/>
    </row>
    <row r="4089" spans="2:6">
      <c r="B4089" s="308"/>
      <c r="C4089" s="86"/>
      <c r="D4089" s="86"/>
      <c r="E4089" s="86"/>
      <c r="F4089" s="308"/>
    </row>
    <row r="4090" spans="2:6">
      <c r="B4090" s="308"/>
      <c r="C4090" s="86"/>
      <c r="D4090" s="86"/>
      <c r="E4090" s="86"/>
      <c r="F4090" s="308"/>
    </row>
    <row r="4091" spans="2:6">
      <c r="B4091" s="308"/>
      <c r="C4091" s="86"/>
      <c r="D4091" s="86"/>
      <c r="E4091" s="86"/>
      <c r="F4091" s="308"/>
    </row>
    <row r="4092" spans="2:6">
      <c r="B4092" s="308"/>
      <c r="C4092" s="86"/>
      <c r="D4092" s="86"/>
      <c r="E4092" s="86"/>
      <c r="F4092" s="308"/>
    </row>
    <row r="4093" spans="2:6">
      <c r="B4093" s="308"/>
      <c r="C4093" s="86"/>
      <c r="D4093" s="86"/>
      <c r="E4093" s="86"/>
      <c r="F4093" s="308"/>
    </row>
    <row r="4094" spans="2:6">
      <c r="B4094" s="308"/>
      <c r="C4094" s="86"/>
      <c r="D4094" s="86"/>
      <c r="E4094" s="86"/>
      <c r="F4094" s="308"/>
    </row>
    <row r="4095" spans="2:6">
      <c r="B4095" s="308"/>
      <c r="C4095" s="86"/>
      <c r="D4095" s="86"/>
      <c r="E4095" s="86"/>
      <c r="F4095" s="308"/>
    </row>
    <row r="4096" spans="2:6">
      <c r="B4096" s="308"/>
      <c r="C4096" s="86"/>
      <c r="D4096" s="86"/>
      <c r="E4096" s="86"/>
      <c r="F4096" s="308"/>
    </row>
    <row r="4097" spans="2:6">
      <c r="B4097" s="308"/>
      <c r="C4097" s="86"/>
      <c r="D4097" s="86"/>
      <c r="E4097" s="86"/>
      <c r="F4097" s="308"/>
    </row>
    <row r="4098" spans="2:6">
      <c r="B4098" s="308"/>
      <c r="C4098" s="86"/>
      <c r="D4098" s="86"/>
      <c r="E4098" s="86"/>
      <c r="F4098" s="308"/>
    </row>
    <row r="4099" spans="2:6">
      <c r="B4099" s="308"/>
      <c r="C4099" s="86"/>
      <c r="D4099" s="86"/>
      <c r="E4099" s="86"/>
      <c r="F4099" s="308"/>
    </row>
    <row r="4100" spans="2:6">
      <c r="B4100" s="308"/>
      <c r="C4100" s="86"/>
      <c r="D4100" s="86"/>
      <c r="E4100" s="86"/>
      <c r="F4100" s="308"/>
    </row>
    <row r="4101" spans="2:6">
      <c r="B4101" s="308"/>
      <c r="C4101" s="86"/>
      <c r="D4101" s="86"/>
      <c r="E4101" s="86"/>
      <c r="F4101" s="308"/>
    </row>
    <row r="4102" spans="2:6">
      <c r="B4102" s="308"/>
      <c r="C4102" s="86"/>
      <c r="D4102" s="86"/>
      <c r="E4102" s="86"/>
      <c r="F4102" s="308"/>
    </row>
    <row r="4103" spans="2:6">
      <c r="B4103" s="308"/>
      <c r="C4103" s="86"/>
      <c r="D4103" s="86"/>
      <c r="E4103" s="86"/>
      <c r="F4103" s="308"/>
    </row>
    <row r="4104" spans="2:6">
      <c r="B4104" s="308"/>
      <c r="C4104" s="86"/>
      <c r="D4104" s="86"/>
      <c r="E4104" s="86"/>
      <c r="F4104" s="308"/>
    </row>
    <row r="4105" spans="2:6">
      <c r="B4105" s="308"/>
      <c r="C4105" s="86"/>
      <c r="D4105" s="86"/>
      <c r="E4105" s="86"/>
      <c r="F4105" s="308"/>
    </row>
    <row r="4106" spans="2:6">
      <c r="B4106" s="308"/>
      <c r="C4106" s="86"/>
      <c r="D4106" s="86"/>
      <c r="E4106" s="86"/>
      <c r="F4106" s="308"/>
    </row>
    <row r="4107" spans="2:6">
      <c r="B4107" s="308"/>
      <c r="C4107" s="86"/>
      <c r="D4107" s="86"/>
      <c r="E4107" s="86"/>
      <c r="F4107" s="308"/>
    </row>
    <row r="4108" spans="2:6">
      <c r="B4108" s="308"/>
      <c r="C4108" s="86"/>
      <c r="D4108" s="86"/>
      <c r="E4108" s="86"/>
      <c r="F4108" s="308"/>
    </row>
    <row r="4109" spans="2:6">
      <c r="B4109" s="308"/>
      <c r="C4109" s="86"/>
      <c r="D4109" s="86"/>
      <c r="E4109" s="86"/>
      <c r="F4109" s="308"/>
    </row>
    <row r="4110" spans="2:6">
      <c r="B4110" s="308"/>
      <c r="C4110" s="86"/>
      <c r="D4110" s="86"/>
      <c r="E4110" s="86"/>
      <c r="F4110" s="308"/>
    </row>
    <row r="4111" spans="2:6">
      <c r="B4111" s="308"/>
      <c r="C4111" s="86"/>
      <c r="D4111" s="86"/>
      <c r="E4111" s="86"/>
      <c r="F4111" s="308"/>
    </row>
    <row r="4112" spans="2:6">
      <c r="B4112" s="308"/>
      <c r="C4112" s="86"/>
      <c r="D4112" s="86"/>
      <c r="E4112" s="86"/>
      <c r="F4112" s="308"/>
    </row>
    <row r="4113" spans="2:6">
      <c r="B4113" s="308"/>
      <c r="C4113" s="86"/>
      <c r="D4113" s="86"/>
      <c r="E4113" s="86"/>
      <c r="F4113" s="308"/>
    </row>
    <row r="4114" spans="2:6">
      <c r="B4114" s="308"/>
      <c r="C4114" s="86"/>
      <c r="D4114" s="86"/>
      <c r="E4114" s="86"/>
      <c r="F4114" s="308"/>
    </row>
    <row r="4115" spans="2:6">
      <c r="B4115" s="308"/>
      <c r="C4115" s="86"/>
      <c r="D4115" s="86"/>
      <c r="E4115" s="86"/>
      <c r="F4115" s="308"/>
    </row>
    <row r="4116" spans="2:6">
      <c r="B4116" s="308"/>
      <c r="C4116" s="86"/>
      <c r="D4116" s="86"/>
      <c r="E4116" s="86"/>
      <c r="F4116" s="308"/>
    </row>
    <row r="4117" spans="2:6">
      <c r="B4117" s="308"/>
      <c r="C4117" s="86"/>
      <c r="D4117" s="86"/>
      <c r="E4117" s="86"/>
      <c r="F4117" s="308"/>
    </row>
    <row r="4118" spans="2:6">
      <c r="B4118" s="308"/>
      <c r="C4118" s="86"/>
      <c r="D4118" s="86"/>
      <c r="E4118" s="86"/>
      <c r="F4118" s="308"/>
    </row>
    <row r="4119" spans="2:6">
      <c r="B4119" s="308"/>
      <c r="C4119" s="86"/>
      <c r="D4119" s="86"/>
      <c r="E4119" s="86"/>
      <c r="F4119" s="308"/>
    </row>
    <row r="4120" spans="2:6">
      <c r="B4120" s="308"/>
      <c r="C4120" s="86"/>
      <c r="D4120" s="86"/>
      <c r="E4120" s="86"/>
      <c r="F4120" s="308"/>
    </row>
    <row r="4121" spans="2:6">
      <c r="B4121" s="308"/>
      <c r="C4121" s="86"/>
      <c r="D4121" s="86"/>
      <c r="E4121" s="86"/>
      <c r="F4121" s="308"/>
    </row>
    <row r="4122" spans="2:6">
      <c r="B4122" s="308"/>
      <c r="C4122" s="86"/>
      <c r="D4122" s="86"/>
      <c r="E4122" s="86"/>
      <c r="F4122" s="308"/>
    </row>
    <row r="4123" spans="2:6">
      <c r="B4123" s="308"/>
      <c r="C4123" s="86"/>
      <c r="D4123" s="86"/>
      <c r="E4123" s="86"/>
      <c r="F4123" s="308"/>
    </row>
    <row r="4124" spans="2:6">
      <c r="B4124" s="308"/>
      <c r="C4124" s="86"/>
      <c r="D4124" s="86"/>
      <c r="E4124" s="86"/>
      <c r="F4124" s="308"/>
    </row>
    <row r="4125" spans="2:6">
      <c r="B4125" s="308"/>
      <c r="C4125" s="86"/>
      <c r="D4125" s="86"/>
      <c r="E4125" s="86"/>
      <c r="F4125" s="308"/>
    </row>
    <row r="4126" spans="2:6">
      <c r="B4126" s="308"/>
      <c r="C4126" s="86"/>
      <c r="D4126" s="86"/>
      <c r="E4126" s="86"/>
      <c r="F4126" s="308"/>
    </row>
    <row r="4127" spans="2:6">
      <c r="B4127" s="308"/>
      <c r="C4127" s="86"/>
      <c r="D4127" s="86"/>
      <c r="E4127" s="86"/>
      <c r="F4127" s="308"/>
    </row>
    <row r="4128" spans="2:6">
      <c r="B4128" s="308"/>
      <c r="C4128" s="86"/>
      <c r="D4128" s="86"/>
      <c r="E4128" s="86"/>
      <c r="F4128" s="308"/>
    </row>
    <row r="4129" spans="2:6">
      <c r="B4129" s="308"/>
      <c r="C4129" s="86"/>
      <c r="D4129" s="86"/>
      <c r="E4129" s="86"/>
      <c r="F4129" s="308"/>
    </row>
    <row r="4130" spans="2:6">
      <c r="B4130" s="308"/>
      <c r="C4130" s="86"/>
      <c r="D4130" s="86"/>
      <c r="E4130" s="86"/>
      <c r="F4130" s="308"/>
    </row>
    <row r="4131" spans="2:6">
      <c r="B4131" s="308"/>
      <c r="C4131" s="86"/>
      <c r="D4131" s="86"/>
      <c r="E4131" s="86"/>
      <c r="F4131" s="308"/>
    </row>
    <row r="4132" spans="2:6">
      <c r="B4132" s="308"/>
      <c r="C4132" s="86"/>
      <c r="D4132" s="86"/>
      <c r="E4132" s="86"/>
      <c r="F4132" s="308"/>
    </row>
    <row r="4133" spans="2:6">
      <c r="B4133" s="308"/>
      <c r="C4133" s="86"/>
      <c r="D4133" s="86"/>
      <c r="E4133" s="86"/>
      <c r="F4133" s="308"/>
    </row>
    <row r="4134" spans="2:6">
      <c r="B4134" s="308"/>
      <c r="C4134" s="86"/>
      <c r="D4134" s="86"/>
      <c r="E4134" s="86"/>
      <c r="F4134" s="308"/>
    </row>
    <row r="4135" spans="2:6">
      <c r="B4135" s="308"/>
      <c r="C4135" s="86"/>
      <c r="D4135" s="86"/>
      <c r="E4135" s="86"/>
      <c r="F4135" s="308"/>
    </row>
    <row r="4136" spans="2:6">
      <c r="B4136" s="308"/>
      <c r="C4136" s="86"/>
      <c r="D4136" s="86"/>
      <c r="E4136" s="86"/>
      <c r="F4136" s="308"/>
    </row>
    <row r="4137" spans="2:6">
      <c r="B4137" s="308"/>
      <c r="C4137" s="86"/>
      <c r="D4137" s="86"/>
      <c r="E4137" s="86"/>
      <c r="F4137" s="308"/>
    </row>
    <row r="4138" spans="2:6">
      <c r="B4138" s="308"/>
      <c r="C4138" s="86"/>
      <c r="D4138" s="86"/>
      <c r="E4138" s="86"/>
      <c r="F4138" s="308"/>
    </row>
    <row r="4139" spans="2:6">
      <c r="B4139" s="308"/>
      <c r="C4139" s="86"/>
      <c r="D4139" s="86"/>
      <c r="E4139" s="86"/>
      <c r="F4139" s="308"/>
    </row>
    <row r="4140" spans="2:6">
      <c r="B4140" s="308"/>
      <c r="C4140" s="86"/>
      <c r="D4140" s="86"/>
      <c r="E4140" s="86"/>
      <c r="F4140" s="308"/>
    </row>
    <row r="4141" spans="2:6">
      <c r="B4141" s="308"/>
      <c r="C4141" s="86"/>
      <c r="D4141" s="86"/>
      <c r="E4141" s="86"/>
      <c r="F4141" s="308"/>
    </row>
    <row r="4142" spans="2:6">
      <c r="B4142" s="308"/>
      <c r="C4142" s="86"/>
      <c r="D4142" s="86"/>
      <c r="E4142" s="86"/>
      <c r="F4142" s="308"/>
    </row>
    <row r="4143" spans="2:6">
      <c r="B4143" s="308"/>
      <c r="C4143" s="86"/>
      <c r="D4143" s="86"/>
      <c r="E4143" s="86"/>
      <c r="F4143" s="308"/>
    </row>
    <row r="4144" spans="2:6">
      <c r="B4144" s="308"/>
      <c r="C4144" s="86"/>
      <c r="D4144" s="86"/>
      <c r="E4144" s="86"/>
      <c r="F4144" s="308"/>
    </row>
    <row r="4145" spans="2:6">
      <c r="B4145" s="308"/>
      <c r="C4145" s="86"/>
      <c r="D4145" s="86"/>
      <c r="E4145" s="86"/>
      <c r="F4145" s="308"/>
    </row>
    <row r="4146" spans="2:6">
      <c r="B4146" s="308"/>
      <c r="C4146" s="86"/>
      <c r="D4146" s="86"/>
      <c r="E4146" s="86"/>
      <c r="F4146" s="308"/>
    </row>
    <row r="4147" spans="2:6">
      <c r="B4147" s="308"/>
      <c r="C4147" s="86"/>
      <c r="D4147" s="86"/>
      <c r="E4147" s="86"/>
      <c r="F4147" s="308"/>
    </row>
    <row r="4148" spans="2:6">
      <c r="B4148" s="308"/>
      <c r="C4148" s="86"/>
      <c r="D4148" s="86"/>
      <c r="E4148" s="86"/>
      <c r="F4148" s="308"/>
    </row>
    <row r="4149" spans="2:6">
      <c r="B4149" s="308"/>
      <c r="C4149" s="86"/>
      <c r="D4149" s="86"/>
      <c r="E4149" s="86"/>
      <c r="F4149" s="308"/>
    </row>
    <row r="4150" spans="2:6">
      <c r="B4150" s="308"/>
      <c r="C4150" s="86"/>
      <c r="D4150" s="86"/>
      <c r="E4150" s="86"/>
      <c r="F4150" s="308"/>
    </row>
    <row r="4151" spans="2:6">
      <c r="B4151" s="308"/>
      <c r="C4151" s="86"/>
      <c r="D4151" s="86"/>
      <c r="E4151" s="86"/>
      <c r="F4151" s="308"/>
    </row>
    <row r="4152" spans="2:6">
      <c r="B4152" s="308"/>
      <c r="C4152" s="86"/>
      <c r="D4152" s="86"/>
      <c r="E4152" s="86"/>
      <c r="F4152" s="308"/>
    </row>
    <row r="4153" spans="2:6">
      <c r="B4153" s="308"/>
      <c r="C4153" s="86"/>
      <c r="D4153" s="86"/>
      <c r="E4153" s="86"/>
      <c r="F4153" s="308"/>
    </row>
    <row r="4154" spans="2:6">
      <c r="B4154" s="308"/>
      <c r="C4154" s="86"/>
      <c r="D4154" s="86"/>
      <c r="E4154" s="86"/>
      <c r="F4154" s="308"/>
    </row>
    <row r="4155" spans="2:6">
      <c r="B4155" s="308"/>
      <c r="C4155" s="86"/>
      <c r="D4155" s="86"/>
      <c r="E4155" s="86"/>
      <c r="F4155" s="308"/>
    </row>
    <row r="4156" spans="2:6">
      <c r="B4156" s="308"/>
      <c r="C4156" s="86"/>
      <c r="D4156" s="86"/>
      <c r="E4156" s="86"/>
      <c r="F4156" s="308"/>
    </row>
    <row r="4157" spans="2:6">
      <c r="B4157" s="308"/>
      <c r="C4157" s="86"/>
      <c r="D4157" s="86"/>
      <c r="E4157" s="86"/>
      <c r="F4157" s="308"/>
    </row>
    <row r="4158" spans="2:6">
      <c r="B4158" s="308"/>
      <c r="C4158" s="86"/>
      <c r="D4158" s="86"/>
      <c r="E4158" s="86"/>
      <c r="F4158" s="308"/>
    </row>
    <row r="4159" spans="2:6">
      <c r="B4159" s="308"/>
      <c r="C4159" s="86"/>
      <c r="D4159" s="86"/>
      <c r="E4159" s="86"/>
      <c r="F4159" s="308"/>
    </row>
    <row r="4160" spans="2:6">
      <c r="B4160" s="308"/>
      <c r="C4160" s="86"/>
      <c r="D4160" s="86"/>
      <c r="E4160" s="86"/>
      <c r="F4160" s="308"/>
    </row>
    <row r="4161" spans="2:6">
      <c r="B4161" s="308"/>
      <c r="C4161" s="86"/>
      <c r="D4161" s="86"/>
      <c r="E4161" s="86"/>
      <c r="F4161" s="308"/>
    </row>
    <row r="4162" spans="2:6">
      <c r="B4162" s="308"/>
      <c r="C4162" s="86"/>
      <c r="D4162" s="86"/>
      <c r="E4162" s="86"/>
      <c r="F4162" s="308"/>
    </row>
    <row r="4163" spans="2:6">
      <c r="B4163" s="308"/>
      <c r="C4163" s="86"/>
      <c r="D4163" s="86"/>
      <c r="E4163" s="86"/>
      <c r="F4163" s="308"/>
    </row>
    <row r="4164" spans="2:6">
      <c r="B4164" s="308"/>
      <c r="C4164" s="86"/>
      <c r="D4164" s="86"/>
      <c r="E4164" s="86"/>
      <c r="F4164" s="308"/>
    </row>
    <row r="4165" spans="2:6">
      <c r="B4165" s="308"/>
      <c r="C4165" s="86"/>
      <c r="D4165" s="86"/>
      <c r="E4165" s="86"/>
      <c r="F4165" s="308"/>
    </row>
    <row r="4166" spans="2:6">
      <c r="B4166" s="308"/>
      <c r="C4166" s="86"/>
      <c r="D4166" s="86"/>
      <c r="E4166" s="86"/>
      <c r="F4166" s="308"/>
    </row>
    <row r="4167" spans="2:6">
      <c r="B4167" s="308"/>
      <c r="C4167" s="86"/>
      <c r="D4167" s="86"/>
      <c r="E4167" s="86"/>
      <c r="F4167" s="308"/>
    </row>
    <row r="4168" spans="2:6">
      <c r="B4168" s="308"/>
      <c r="C4168" s="86"/>
      <c r="D4168" s="86"/>
      <c r="E4168" s="86"/>
      <c r="F4168" s="308"/>
    </row>
    <row r="4169" spans="2:6">
      <c r="B4169" s="308"/>
      <c r="C4169" s="86"/>
      <c r="D4169" s="86"/>
      <c r="E4169" s="86"/>
      <c r="F4169" s="308"/>
    </row>
    <row r="4170" spans="2:6">
      <c r="B4170" s="308"/>
      <c r="C4170" s="86"/>
      <c r="D4170" s="86"/>
      <c r="E4170" s="86"/>
      <c r="F4170" s="308"/>
    </row>
    <row r="4171" spans="2:6">
      <c r="B4171" s="308"/>
      <c r="C4171" s="86"/>
      <c r="D4171" s="86"/>
      <c r="E4171" s="86"/>
      <c r="F4171" s="308"/>
    </row>
    <row r="4172" spans="2:6">
      <c r="B4172" s="308"/>
      <c r="C4172" s="86"/>
      <c r="D4172" s="86"/>
      <c r="E4172" s="86"/>
      <c r="F4172" s="308"/>
    </row>
    <row r="4173" spans="2:6">
      <c r="B4173" s="308"/>
      <c r="C4173" s="86"/>
      <c r="D4173" s="86"/>
      <c r="E4173" s="86"/>
      <c r="F4173" s="308"/>
    </row>
    <row r="4174" spans="2:6">
      <c r="B4174" s="308"/>
      <c r="C4174" s="86"/>
      <c r="D4174" s="86"/>
      <c r="E4174" s="86"/>
      <c r="F4174" s="308"/>
    </row>
    <row r="4175" spans="2:6">
      <c r="B4175" s="308"/>
      <c r="C4175" s="86"/>
      <c r="D4175" s="86"/>
      <c r="E4175" s="86"/>
      <c r="F4175" s="308"/>
    </row>
    <row r="4176" spans="2:6">
      <c r="B4176" s="308"/>
      <c r="C4176" s="86"/>
      <c r="D4176" s="86"/>
      <c r="E4176" s="86"/>
      <c r="F4176" s="308"/>
    </row>
    <row r="4177" spans="2:6">
      <c r="B4177" s="308"/>
      <c r="C4177" s="86"/>
      <c r="D4177" s="86"/>
      <c r="E4177" s="86"/>
      <c r="F4177" s="308"/>
    </row>
    <row r="4178" spans="2:6">
      <c r="B4178" s="308"/>
      <c r="C4178" s="86"/>
      <c r="D4178" s="86"/>
      <c r="E4178" s="86"/>
      <c r="F4178" s="308"/>
    </row>
    <row r="4179" spans="2:6">
      <c r="B4179" s="308"/>
      <c r="C4179" s="86"/>
      <c r="D4179" s="86"/>
      <c r="E4179" s="86"/>
      <c r="F4179" s="308"/>
    </row>
    <row r="4180" spans="2:6">
      <c r="B4180" s="308"/>
      <c r="C4180" s="86"/>
      <c r="D4180" s="86"/>
      <c r="E4180" s="86"/>
      <c r="F4180" s="308"/>
    </row>
    <row r="4181" spans="2:6">
      <c r="B4181" s="308"/>
      <c r="C4181" s="86"/>
      <c r="D4181" s="86"/>
      <c r="E4181" s="86"/>
      <c r="F4181" s="308"/>
    </row>
    <row r="4182" spans="2:6">
      <c r="B4182" s="308"/>
      <c r="C4182" s="86"/>
      <c r="D4182" s="86"/>
      <c r="E4182" s="86"/>
      <c r="F4182" s="308"/>
    </row>
    <row r="4183" spans="2:6">
      <c r="B4183" s="308"/>
      <c r="C4183" s="86"/>
      <c r="D4183" s="86"/>
      <c r="E4183" s="86"/>
      <c r="F4183" s="308"/>
    </row>
    <row r="4184" spans="2:6">
      <c r="B4184" s="308"/>
      <c r="C4184" s="86"/>
      <c r="D4184" s="86"/>
      <c r="E4184" s="86"/>
      <c r="F4184" s="308"/>
    </row>
    <row r="4185" spans="2:6">
      <c r="B4185" s="308"/>
      <c r="C4185" s="86"/>
      <c r="D4185" s="86"/>
      <c r="E4185" s="86"/>
      <c r="F4185" s="308"/>
    </row>
    <row r="4186" spans="2:6">
      <c r="B4186" s="308"/>
      <c r="C4186" s="86"/>
      <c r="D4186" s="86"/>
      <c r="E4186" s="86"/>
      <c r="F4186" s="308"/>
    </row>
    <row r="4187" spans="2:6">
      <c r="B4187" s="308"/>
      <c r="C4187" s="86"/>
      <c r="D4187" s="86"/>
      <c r="E4187" s="86"/>
      <c r="F4187" s="308"/>
    </row>
    <row r="4188" spans="2:6">
      <c r="B4188" s="308"/>
      <c r="C4188" s="86"/>
      <c r="D4188" s="86"/>
      <c r="E4188" s="86"/>
      <c r="F4188" s="308"/>
    </row>
    <row r="4189" spans="2:6">
      <c r="B4189" s="308"/>
      <c r="C4189" s="86"/>
      <c r="D4189" s="86"/>
      <c r="E4189" s="86"/>
      <c r="F4189" s="308"/>
    </row>
    <row r="4190" spans="2:6">
      <c r="B4190" s="308"/>
      <c r="C4190" s="86"/>
      <c r="D4190" s="86"/>
      <c r="E4190" s="86"/>
      <c r="F4190" s="308"/>
    </row>
    <row r="4191" spans="2:6">
      <c r="B4191" s="308"/>
      <c r="C4191" s="86"/>
      <c r="D4191" s="86"/>
      <c r="E4191" s="86"/>
      <c r="F4191" s="308"/>
    </row>
    <row r="4192" spans="2:6">
      <c r="B4192" s="308"/>
      <c r="C4192" s="86"/>
      <c r="D4192" s="86"/>
      <c r="E4192" s="86"/>
      <c r="F4192" s="308"/>
    </row>
    <row r="4193" spans="2:6">
      <c r="B4193" s="308"/>
      <c r="C4193" s="86"/>
      <c r="D4193" s="86"/>
      <c r="E4193" s="86"/>
      <c r="F4193" s="308"/>
    </row>
    <row r="4194" spans="2:6">
      <c r="B4194" s="308"/>
      <c r="C4194" s="86"/>
      <c r="D4194" s="86"/>
      <c r="E4194" s="86"/>
      <c r="F4194" s="308"/>
    </row>
    <row r="4195" spans="2:6">
      <c r="B4195" s="308"/>
      <c r="C4195" s="86"/>
      <c r="D4195" s="86"/>
      <c r="E4195" s="86"/>
      <c r="F4195" s="308"/>
    </row>
    <row r="4196" spans="2:6">
      <c r="B4196" s="308"/>
      <c r="C4196" s="86"/>
      <c r="D4196" s="86"/>
      <c r="E4196" s="86"/>
      <c r="F4196" s="308"/>
    </row>
    <row r="4197" spans="2:6">
      <c r="B4197" s="308"/>
      <c r="C4197" s="86"/>
      <c r="D4197" s="86"/>
      <c r="E4197" s="86"/>
      <c r="F4197" s="308"/>
    </row>
    <row r="4198" spans="2:6">
      <c r="B4198" s="308"/>
      <c r="C4198" s="86"/>
      <c r="D4198" s="86"/>
      <c r="E4198" s="86"/>
      <c r="F4198" s="308"/>
    </row>
    <row r="4199" spans="2:6">
      <c r="B4199" s="308"/>
      <c r="C4199" s="86"/>
      <c r="D4199" s="86"/>
      <c r="E4199" s="86"/>
      <c r="F4199" s="308"/>
    </row>
    <row r="4200" spans="2:6">
      <c r="B4200" s="308"/>
      <c r="C4200" s="86"/>
      <c r="D4200" s="86"/>
      <c r="E4200" s="86"/>
      <c r="F4200" s="308"/>
    </row>
    <row r="4201" spans="2:6">
      <c r="B4201" s="308"/>
      <c r="C4201" s="86"/>
      <c r="D4201" s="86"/>
      <c r="E4201" s="86"/>
      <c r="F4201" s="308"/>
    </row>
    <row r="4202" spans="2:6">
      <c r="B4202" s="308"/>
      <c r="C4202" s="86"/>
      <c r="D4202" s="86"/>
      <c r="E4202" s="86"/>
      <c r="F4202" s="308"/>
    </row>
    <row r="4203" spans="2:6">
      <c r="B4203" s="308"/>
      <c r="C4203" s="86"/>
      <c r="D4203" s="86"/>
      <c r="E4203" s="86"/>
      <c r="F4203" s="308"/>
    </row>
    <row r="4204" spans="2:6">
      <c r="B4204" s="308"/>
      <c r="C4204" s="86"/>
      <c r="D4204" s="86"/>
      <c r="E4204" s="86"/>
      <c r="F4204" s="308"/>
    </row>
    <row r="4205" spans="2:6">
      <c r="B4205" s="308"/>
      <c r="C4205" s="86"/>
      <c r="D4205" s="86"/>
      <c r="E4205" s="86"/>
      <c r="F4205" s="308"/>
    </row>
    <row r="4206" spans="2:6">
      <c r="B4206" s="308"/>
      <c r="C4206" s="86"/>
      <c r="D4206" s="86"/>
      <c r="E4206" s="86"/>
      <c r="F4206" s="308"/>
    </row>
    <row r="4207" spans="2:6">
      <c r="B4207" s="308"/>
      <c r="C4207" s="86"/>
      <c r="D4207" s="86"/>
      <c r="E4207" s="86"/>
      <c r="F4207" s="308"/>
    </row>
    <row r="4208" spans="2:6">
      <c r="B4208" s="308"/>
      <c r="C4208" s="86"/>
      <c r="D4208" s="86"/>
      <c r="E4208" s="86"/>
      <c r="F4208" s="308"/>
    </row>
    <row r="4209" spans="2:6">
      <c r="B4209" s="308"/>
      <c r="C4209" s="86"/>
      <c r="D4209" s="86"/>
      <c r="E4209" s="86"/>
      <c r="F4209" s="308"/>
    </row>
    <row r="4210" spans="2:6">
      <c r="B4210" s="308"/>
      <c r="C4210" s="86"/>
      <c r="D4210" s="86"/>
      <c r="E4210" s="86"/>
      <c r="F4210" s="308"/>
    </row>
    <row r="4211" spans="2:6">
      <c r="B4211" s="308"/>
      <c r="C4211" s="86"/>
      <c r="D4211" s="86"/>
      <c r="E4211" s="86"/>
      <c r="F4211" s="308"/>
    </row>
    <row r="4212" spans="2:6">
      <c r="B4212" s="308"/>
      <c r="C4212" s="86"/>
      <c r="D4212" s="86"/>
      <c r="E4212" s="86"/>
      <c r="F4212" s="308"/>
    </row>
    <row r="4213" spans="2:6">
      <c r="B4213" s="308"/>
      <c r="C4213" s="86"/>
      <c r="D4213" s="86"/>
      <c r="E4213" s="86"/>
      <c r="F4213" s="308"/>
    </row>
    <row r="4214" spans="2:6">
      <c r="B4214" s="308"/>
      <c r="C4214" s="86"/>
      <c r="D4214" s="86"/>
      <c r="E4214" s="86"/>
      <c r="F4214" s="308"/>
    </row>
    <row r="4215" spans="2:6">
      <c r="B4215" s="308"/>
      <c r="C4215" s="86"/>
      <c r="D4215" s="86"/>
      <c r="E4215" s="86"/>
      <c r="F4215" s="308"/>
    </row>
    <row r="4216" spans="2:6">
      <c r="B4216" s="308"/>
      <c r="C4216" s="86"/>
      <c r="D4216" s="86"/>
      <c r="E4216" s="86"/>
      <c r="F4216" s="308"/>
    </row>
    <row r="4217" spans="2:6">
      <c r="B4217" s="308"/>
      <c r="C4217" s="86"/>
      <c r="D4217" s="86"/>
      <c r="E4217" s="86"/>
      <c r="F4217" s="308"/>
    </row>
    <row r="4218" spans="2:6">
      <c r="B4218" s="308"/>
      <c r="C4218" s="86"/>
      <c r="D4218" s="86"/>
      <c r="E4218" s="86"/>
      <c r="F4218" s="308"/>
    </row>
    <row r="4219" spans="2:6">
      <c r="B4219" s="308"/>
      <c r="C4219" s="86"/>
      <c r="D4219" s="86"/>
      <c r="E4219" s="86"/>
      <c r="F4219" s="308"/>
    </row>
    <row r="4220" spans="2:6">
      <c r="B4220" s="308"/>
      <c r="C4220" s="86"/>
      <c r="D4220" s="86"/>
      <c r="E4220" s="86"/>
      <c r="F4220" s="308"/>
    </row>
    <row r="4221" spans="2:6">
      <c r="B4221" s="308"/>
      <c r="C4221" s="86"/>
      <c r="D4221" s="86"/>
      <c r="E4221" s="86"/>
      <c r="F4221" s="308"/>
    </row>
    <row r="4222" spans="2:6">
      <c r="B4222" s="308"/>
      <c r="C4222" s="86"/>
      <c r="D4222" s="86"/>
      <c r="E4222" s="86"/>
      <c r="F4222" s="308"/>
    </row>
    <row r="4223" spans="2:6">
      <c r="B4223" s="308"/>
      <c r="C4223" s="86"/>
      <c r="D4223" s="86"/>
      <c r="E4223" s="86"/>
      <c r="F4223" s="308"/>
    </row>
    <row r="4224" spans="2:6">
      <c r="B4224" s="308"/>
      <c r="C4224" s="86"/>
      <c r="D4224" s="86"/>
      <c r="E4224" s="86"/>
      <c r="F4224" s="308"/>
    </row>
    <row r="4225" spans="2:6">
      <c r="B4225" s="308"/>
      <c r="C4225" s="86"/>
      <c r="D4225" s="86"/>
      <c r="E4225" s="86"/>
      <c r="F4225" s="308"/>
    </row>
    <row r="4226" spans="2:6">
      <c r="B4226" s="308"/>
      <c r="C4226" s="86"/>
      <c r="D4226" s="86"/>
      <c r="E4226" s="86"/>
      <c r="F4226" s="308"/>
    </row>
    <row r="4227" spans="2:6">
      <c r="B4227" s="308"/>
      <c r="C4227" s="86"/>
      <c r="D4227" s="86"/>
      <c r="E4227" s="86"/>
      <c r="F4227" s="308"/>
    </row>
    <row r="4228" spans="2:6">
      <c r="B4228" s="308"/>
      <c r="C4228" s="86"/>
      <c r="D4228" s="86"/>
      <c r="E4228" s="86"/>
      <c r="F4228" s="308"/>
    </row>
    <row r="4229" spans="2:6">
      <c r="B4229" s="308"/>
      <c r="C4229" s="86"/>
      <c r="D4229" s="86"/>
      <c r="E4229" s="86"/>
      <c r="F4229" s="308"/>
    </row>
    <row r="4230" spans="2:6">
      <c r="B4230" s="308"/>
      <c r="C4230" s="86"/>
      <c r="D4230" s="86"/>
      <c r="E4230" s="86"/>
      <c r="F4230" s="308"/>
    </row>
    <row r="4231" spans="2:6">
      <c r="B4231" s="308"/>
      <c r="C4231" s="86"/>
      <c r="D4231" s="86"/>
      <c r="E4231" s="86"/>
      <c r="F4231" s="308"/>
    </row>
    <row r="4232" spans="2:6">
      <c r="B4232" s="308"/>
      <c r="C4232" s="86"/>
      <c r="D4232" s="86"/>
      <c r="E4232" s="86"/>
      <c r="F4232" s="308"/>
    </row>
    <row r="4233" spans="2:6">
      <c r="B4233" s="308"/>
      <c r="C4233" s="86"/>
      <c r="D4233" s="86"/>
      <c r="E4233" s="86"/>
      <c r="F4233" s="308"/>
    </row>
    <row r="4234" spans="2:6">
      <c r="B4234" s="308"/>
      <c r="C4234" s="86"/>
      <c r="D4234" s="86"/>
      <c r="E4234" s="86"/>
      <c r="F4234" s="308"/>
    </row>
    <row r="4235" spans="2:6">
      <c r="B4235" s="308"/>
      <c r="C4235" s="86"/>
      <c r="D4235" s="86"/>
      <c r="E4235" s="86"/>
      <c r="F4235" s="308"/>
    </row>
    <row r="4236" spans="2:6">
      <c r="B4236" s="308"/>
      <c r="C4236" s="86"/>
      <c r="D4236" s="86"/>
      <c r="E4236" s="86"/>
      <c r="F4236" s="308"/>
    </row>
    <row r="4237" spans="2:6">
      <c r="B4237" s="308"/>
      <c r="C4237" s="86"/>
      <c r="D4237" s="86"/>
      <c r="E4237" s="86"/>
      <c r="F4237" s="308"/>
    </row>
    <row r="4238" spans="2:6">
      <c r="B4238" s="308"/>
      <c r="C4238" s="86"/>
      <c r="D4238" s="86"/>
      <c r="E4238" s="86"/>
      <c r="F4238" s="308"/>
    </row>
    <row r="4239" spans="2:6">
      <c r="B4239" s="308"/>
      <c r="C4239" s="86"/>
      <c r="D4239" s="86"/>
      <c r="E4239" s="86"/>
      <c r="F4239" s="308"/>
    </row>
    <row r="4240" spans="2:6">
      <c r="B4240" s="308"/>
      <c r="C4240" s="86"/>
      <c r="D4240" s="86"/>
      <c r="E4240" s="86"/>
      <c r="F4240" s="308"/>
    </row>
    <row r="4241" spans="2:6">
      <c r="B4241" s="308"/>
      <c r="C4241" s="86"/>
      <c r="D4241" s="86"/>
      <c r="E4241" s="86"/>
      <c r="F4241" s="308"/>
    </row>
    <row r="4242" spans="2:6">
      <c r="B4242" s="308"/>
      <c r="C4242" s="86"/>
      <c r="D4242" s="86"/>
      <c r="E4242" s="86"/>
      <c r="F4242" s="308"/>
    </row>
    <row r="4243" spans="2:6">
      <c r="B4243" s="308"/>
      <c r="C4243" s="86"/>
      <c r="D4243" s="86"/>
      <c r="E4243" s="86"/>
      <c r="F4243" s="308"/>
    </row>
    <row r="4244" spans="2:6">
      <c r="B4244" s="308"/>
      <c r="C4244" s="86"/>
      <c r="D4244" s="86"/>
      <c r="E4244" s="86"/>
      <c r="F4244" s="308"/>
    </row>
    <row r="4245" spans="2:6">
      <c r="B4245" s="308"/>
      <c r="C4245" s="86"/>
      <c r="D4245" s="86"/>
      <c r="E4245" s="86"/>
      <c r="F4245" s="308"/>
    </row>
    <row r="4246" spans="2:6">
      <c r="B4246" s="308"/>
      <c r="C4246" s="86"/>
      <c r="D4246" s="86"/>
      <c r="E4246" s="86"/>
      <c r="F4246" s="308"/>
    </row>
    <row r="4247" spans="2:6">
      <c r="B4247" s="308"/>
      <c r="C4247" s="86"/>
      <c r="D4247" s="86"/>
      <c r="E4247" s="86"/>
      <c r="F4247" s="308"/>
    </row>
    <row r="4248" spans="2:6">
      <c r="B4248" s="308"/>
      <c r="C4248" s="86"/>
      <c r="D4248" s="86"/>
      <c r="E4248" s="86"/>
      <c r="F4248" s="308"/>
    </row>
    <row r="4249" spans="2:6">
      <c r="B4249" s="308"/>
      <c r="C4249" s="86"/>
      <c r="D4249" s="86"/>
      <c r="E4249" s="86"/>
      <c r="F4249" s="308"/>
    </row>
    <row r="4250" spans="2:6">
      <c r="B4250" s="308"/>
      <c r="C4250" s="86"/>
      <c r="D4250" s="86"/>
      <c r="E4250" s="86"/>
      <c r="F4250" s="308"/>
    </row>
    <row r="4251" spans="2:6">
      <c r="B4251" s="308"/>
      <c r="C4251" s="86"/>
      <c r="D4251" s="86"/>
      <c r="E4251" s="86"/>
      <c r="F4251" s="308"/>
    </row>
    <row r="4252" spans="2:6">
      <c r="B4252" s="308"/>
      <c r="C4252" s="86"/>
      <c r="D4252" s="86"/>
      <c r="E4252" s="86"/>
      <c r="F4252" s="308"/>
    </row>
    <row r="4253" spans="2:6">
      <c r="B4253" s="308"/>
      <c r="C4253" s="86"/>
      <c r="D4253" s="86"/>
      <c r="E4253" s="86"/>
      <c r="F4253" s="308"/>
    </row>
    <row r="4254" spans="2:6">
      <c r="B4254" s="308"/>
      <c r="C4254" s="86"/>
      <c r="D4254" s="86"/>
      <c r="E4254" s="86"/>
      <c r="F4254" s="308"/>
    </row>
    <row r="4255" spans="2:6">
      <c r="B4255" s="308"/>
      <c r="C4255" s="86"/>
      <c r="D4255" s="86"/>
      <c r="E4255" s="86"/>
      <c r="F4255" s="308"/>
    </row>
    <row r="4256" spans="2:6">
      <c r="B4256" s="308"/>
      <c r="C4256" s="86"/>
      <c r="D4256" s="86"/>
      <c r="E4256" s="86"/>
      <c r="F4256" s="308"/>
    </row>
    <row r="4257" spans="2:6">
      <c r="B4257" s="308"/>
      <c r="C4257" s="86"/>
      <c r="D4257" s="86"/>
      <c r="E4257" s="86"/>
      <c r="F4257" s="308"/>
    </row>
    <row r="4258" spans="2:6">
      <c r="B4258" s="308"/>
      <c r="C4258" s="86"/>
      <c r="D4258" s="86"/>
      <c r="E4258" s="86"/>
      <c r="F4258" s="308"/>
    </row>
    <row r="4259" spans="2:6">
      <c r="B4259" s="308"/>
      <c r="C4259" s="86"/>
      <c r="D4259" s="86"/>
      <c r="E4259" s="86"/>
      <c r="F4259" s="308"/>
    </row>
    <row r="4260" spans="2:6">
      <c r="B4260" s="308"/>
      <c r="C4260" s="86"/>
      <c r="D4260" s="86"/>
      <c r="E4260" s="86"/>
      <c r="F4260" s="308"/>
    </row>
    <row r="4261" spans="2:6">
      <c r="B4261" s="308"/>
      <c r="C4261" s="86"/>
      <c r="D4261" s="86"/>
      <c r="E4261" s="86"/>
      <c r="F4261" s="308"/>
    </row>
    <row r="4262" spans="2:6">
      <c r="B4262" s="308"/>
      <c r="C4262" s="86"/>
      <c r="D4262" s="86"/>
      <c r="E4262" s="86"/>
      <c r="F4262" s="308"/>
    </row>
    <row r="4263" spans="2:6">
      <c r="B4263" s="308"/>
      <c r="C4263" s="86"/>
      <c r="D4263" s="86"/>
      <c r="E4263" s="86"/>
      <c r="F4263" s="308"/>
    </row>
    <row r="4264" spans="2:6">
      <c r="B4264" s="308"/>
      <c r="C4264" s="86"/>
      <c r="D4264" s="86"/>
      <c r="E4264" s="86"/>
      <c r="F4264" s="308"/>
    </row>
    <row r="4265" spans="2:6">
      <c r="B4265" s="308"/>
      <c r="C4265" s="86"/>
      <c r="D4265" s="86"/>
      <c r="E4265" s="86"/>
      <c r="F4265" s="308"/>
    </row>
    <row r="4266" spans="2:6">
      <c r="B4266" s="308"/>
      <c r="C4266" s="86"/>
      <c r="D4266" s="86"/>
      <c r="E4266" s="86"/>
      <c r="F4266" s="308"/>
    </row>
    <row r="4267" spans="2:6">
      <c r="B4267" s="308"/>
      <c r="C4267" s="86"/>
      <c r="D4267" s="86"/>
      <c r="E4267" s="86"/>
      <c r="F4267" s="308"/>
    </row>
    <row r="4268" spans="2:6">
      <c r="B4268" s="308"/>
      <c r="C4268" s="86"/>
      <c r="D4268" s="86"/>
      <c r="E4268" s="86"/>
      <c r="F4268" s="308"/>
    </row>
    <row r="4269" spans="2:6">
      <c r="B4269" s="308"/>
      <c r="C4269" s="86"/>
      <c r="D4269" s="86"/>
      <c r="E4269" s="86"/>
      <c r="F4269" s="308"/>
    </row>
    <row r="4270" spans="2:6">
      <c r="B4270" s="308"/>
      <c r="C4270" s="86"/>
      <c r="D4270" s="86"/>
      <c r="E4270" s="86"/>
      <c r="F4270" s="308"/>
    </row>
    <row r="4271" spans="2:6">
      <c r="B4271" s="308"/>
      <c r="C4271" s="86"/>
      <c r="D4271" s="86"/>
      <c r="E4271" s="86"/>
      <c r="F4271" s="308"/>
    </row>
    <row r="4272" spans="2:6">
      <c r="B4272" s="308"/>
      <c r="C4272" s="86"/>
      <c r="D4272" s="86"/>
      <c r="E4272" s="86"/>
      <c r="F4272" s="308"/>
    </row>
    <row r="4273" spans="2:6">
      <c r="B4273" s="308"/>
      <c r="C4273" s="86"/>
      <c r="D4273" s="86"/>
      <c r="E4273" s="86"/>
      <c r="F4273" s="308"/>
    </row>
    <row r="4274" spans="2:6">
      <c r="B4274" s="308"/>
      <c r="C4274" s="86"/>
      <c r="D4274" s="86"/>
      <c r="E4274" s="86"/>
      <c r="F4274" s="308"/>
    </row>
    <row r="4275" spans="2:6">
      <c r="B4275" s="308"/>
      <c r="C4275" s="86"/>
      <c r="D4275" s="86"/>
      <c r="E4275" s="86"/>
      <c r="F4275" s="308"/>
    </row>
    <row r="4276" spans="2:6">
      <c r="B4276" s="308"/>
      <c r="C4276" s="86"/>
      <c r="D4276" s="86"/>
      <c r="E4276" s="86"/>
      <c r="F4276" s="308"/>
    </row>
    <row r="4277" spans="2:6">
      <c r="B4277" s="308"/>
      <c r="C4277" s="86"/>
      <c r="D4277" s="86"/>
      <c r="E4277" s="86"/>
      <c r="F4277" s="308"/>
    </row>
    <row r="4278" spans="2:6">
      <c r="B4278" s="308"/>
      <c r="C4278" s="86"/>
      <c r="D4278" s="86"/>
      <c r="E4278" s="86"/>
      <c r="F4278" s="308"/>
    </row>
    <row r="4279" spans="2:6">
      <c r="B4279" s="308"/>
      <c r="C4279" s="86"/>
      <c r="D4279" s="86"/>
      <c r="E4279" s="86"/>
      <c r="F4279" s="308"/>
    </row>
    <row r="4280" spans="2:6">
      <c r="B4280" s="308"/>
      <c r="C4280" s="86"/>
      <c r="D4280" s="86"/>
      <c r="E4280" s="86"/>
      <c r="F4280" s="308"/>
    </row>
    <row r="4281" spans="2:6">
      <c r="B4281" s="308"/>
      <c r="C4281" s="86"/>
      <c r="D4281" s="86"/>
      <c r="E4281" s="86"/>
      <c r="F4281" s="308"/>
    </row>
    <row r="4282" spans="2:6">
      <c r="B4282" s="308"/>
      <c r="C4282" s="86"/>
      <c r="D4282" s="86"/>
      <c r="E4282" s="86"/>
      <c r="F4282" s="308"/>
    </row>
    <row r="4283" spans="2:6">
      <c r="B4283" s="308"/>
      <c r="C4283" s="86"/>
      <c r="D4283" s="86"/>
      <c r="E4283" s="86"/>
      <c r="F4283" s="308"/>
    </row>
    <row r="4284" spans="2:6">
      <c r="B4284" s="308"/>
      <c r="C4284" s="86"/>
      <c r="D4284" s="86"/>
      <c r="E4284" s="86"/>
      <c r="F4284" s="308"/>
    </row>
    <row r="4285" spans="2:6">
      <c r="B4285" s="308"/>
      <c r="C4285" s="86"/>
      <c r="D4285" s="86"/>
      <c r="E4285" s="86"/>
      <c r="F4285" s="308"/>
    </row>
    <row r="4286" spans="2:6">
      <c r="B4286" s="308"/>
      <c r="C4286" s="86"/>
      <c r="D4286" s="86"/>
      <c r="E4286" s="86"/>
      <c r="F4286" s="308"/>
    </row>
    <row r="4287" spans="2:6">
      <c r="B4287" s="308"/>
      <c r="C4287" s="86"/>
      <c r="D4287" s="86"/>
      <c r="E4287" s="86"/>
      <c r="F4287" s="308"/>
    </row>
    <row r="4288" spans="2:6">
      <c r="B4288" s="308"/>
      <c r="C4288" s="86"/>
      <c r="D4288" s="86"/>
      <c r="E4288" s="86"/>
      <c r="F4288" s="308"/>
    </row>
    <row r="4289" spans="2:6">
      <c r="B4289" s="308"/>
      <c r="C4289" s="86"/>
      <c r="D4289" s="86"/>
      <c r="E4289" s="86"/>
      <c r="F4289" s="308"/>
    </row>
    <row r="4290" spans="2:6">
      <c r="B4290" s="308"/>
      <c r="C4290" s="86"/>
      <c r="D4290" s="86"/>
      <c r="E4290" s="86"/>
      <c r="F4290" s="308"/>
    </row>
    <row r="4291" spans="2:6">
      <c r="B4291" s="308"/>
      <c r="C4291" s="86"/>
      <c r="D4291" s="86"/>
      <c r="E4291" s="86"/>
      <c r="F4291" s="308"/>
    </row>
    <row r="4292" spans="2:6">
      <c r="B4292" s="308"/>
      <c r="C4292" s="86"/>
      <c r="D4292" s="86"/>
      <c r="E4292" s="86"/>
      <c r="F4292" s="308"/>
    </row>
    <row r="4293" spans="2:6">
      <c r="B4293" s="308"/>
      <c r="C4293" s="86"/>
      <c r="D4293" s="86"/>
      <c r="E4293" s="86"/>
      <c r="F4293" s="308"/>
    </row>
    <row r="4294" spans="2:6">
      <c r="B4294" s="308"/>
      <c r="C4294" s="86"/>
      <c r="D4294" s="86"/>
      <c r="E4294" s="86"/>
      <c r="F4294" s="308"/>
    </row>
    <row r="4295" spans="2:6">
      <c r="B4295" s="308"/>
      <c r="C4295" s="86"/>
      <c r="D4295" s="86"/>
      <c r="E4295" s="86"/>
      <c r="F4295" s="308"/>
    </row>
    <row r="4296" spans="2:6">
      <c r="B4296" s="308"/>
      <c r="C4296" s="86"/>
      <c r="D4296" s="86"/>
      <c r="E4296" s="86"/>
      <c r="F4296" s="308"/>
    </row>
    <row r="4297" spans="2:6">
      <c r="B4297" s="308"/>
      <c r="C4297" s="86"/>
      <c r="D4297" s="86"/>
      <c r="E4297" s="86"/>
      <c r="F4297" s="308"/>
    </row>
    <row r="4298" spans="2:6">
      <c r="B4298" s="308"/>
      <c r="C4298" s="86"/>
      <c r="D4298" s="86"/>
      <c r="E4298" s="86"/>
      <c r="F4298" s="308"/>
    </row>
    <row r="4299" spans="2:6">
      <c r="B4299" s="308"/>
      <c r="C4299" s="86"/>
      <c r="D4299" s="86"/>
      <c r="E4299" s="86"/>
      <c r="F4299" s="308"/>
    </row>
    <row r="4300" spans="2:6">
      <c r="B4300" s="308"/>
      <c r="C4300" s="86"/>
      <c r="D4300" s="86"/>
      <c r="E4300" s="86"/>
      <c r="F4300" s="308"/>
    </row>
    <row r="4301" spans="2:6">
      <c r="B4301" s="308"/>
      <c r="C4301" s="86"/>
      <c r="D4301" s="86"/>
      <c r="E4301" s="86"/>
      <c r="F4301" s="308"/>
    </row>
    <row r="4302" spans="2:6">
      <c r="B4302" s="308"/>
      <c r="C4302" s="86"/>
      <c r="D4302" s="86"/>
      <c r="E4302" s="86"/>
      <c r="F4302" s="308"/>
    </row>
    <row r="4303" spans="2:6">
      <c r="B4303" s="308"/>
      <c r="C4303" s="86"/>
      <c r="D4303" s="86"/>
      <c r="E4303" s="86"/>
      <c r="F4303" s="308"/>
    </row>
    <row r="4304" spans="2:6">
      <c r="B4304" s="308"/>
      <c r="C4304" s="86"/>
      <c r="D4304" s="86"/>
      <c r="E4304" s="86"/>
      <c r="F4304" s="308"/>
    </row>
    <row r="4305" spans="2:6">
      <c r="B4305" s="308"/>
      <c r="C4305" s="86"/>
      <c r="D4305" s="86"/>
      <c r="E4305" s="86"/>
      <c r="F4305" s="308"/>
    </row>
    <row r="4306" spans="2:6">
      <c r="B4306" s="308"/>
      <c r="C4306" s="86"/>
      <c r="D4306" s="86"/>
      <c r="E4306" s="86"/>
      <c r="F4306" s="308"/>
    </row>
    <row r="4307" spans="2:6">
      <c r="B4307" s="308"/>
      <c r="C4307" s="86"/>
      <c r="D4307" s="86"/>
      <c r="E4307" s="86"/>
      <c r="F4307" s="308"/>
    </row>
    <row r="4308" spans="2:6">
      <c r="B4308" s="308"/>
      <c r="C4308" s="86"/>
      <c r="D4308" s="86"/>
      <c r="E4308" s="86"/>
      <c r="F4308" s="308"/>
    </row>
    <row r="4309" spans="2:6">
      <c r="B4309" s="308"/>
      <c r="C4309" s="86"/>
      <c r="D4309" s="86"/>
      <c r="E4309" s="86"/>
      <c r="F4309" s="308"/>
    </row>
    <row r="4310" spans="2:6">
      <c r="B4310" s="308"/>
      <c r="C4310" s="86"/>
      <c r="D4310" s="86"/>
      <c r="E4310" s="86"/>
      <c r="F4310" s="308"/>
    </row>
    <row r="4311" spans="2:6">
      <c r="B4311" s="308"/>
      <c r="C4311" s="86"/>
      <c r="D4311" s="86"/>
      <c r="E4311" s="86"/>
      <c r="F4311" s="308"/>
    </row>
    <row r="4312" spans="2:6">
      <c r="B4312" s="308"/>
      <c r="C4312" s="86"/>
      <c r="D4312" s="86"/>
      <c r="E4312" s="86"/>
      <c r="F4312" s="308"/>
    </row>
    <row r="4313" spans="2:6">
      <c r="B4313" s="308"/>
      <c r="C4313" s="86"/>
      <c r="D4313" s="86"/>
      <c r="E4313" s="86"/>
      <c r="F4313" s="308"/>
    </row>
    <row r="4314" spans="2:6">
      <c r="B4314" s="308"/>
      <c r="C4314" s="86"/>
      <c r="D4314" s="86"/>
      <c r="E4314" s="86"/>
      <c r="F4314" s="308"/>
    </row>
    <row r="4315" spans="2:6">
      <c r="B4315" s="308"/>
      <c r="C4315" s="86"/>
      <c r="D4315" s="86"/>
      <c r="E4315" s="86"/>
      <c r="F4315" s="308"/>
    </row>
    <row r="4316" spans="2:6">
      <c r="B4316" s="308"/>
      <c r="C4316" s="86"/>
      <c r="D4316" s="86"/>
      <c r="E4316" s="86"/>
      <c r="F4316" s="308"/>
    </row>
    <row r="4317" spans="2:6">
      <c r="B4317" s="308"/>
      <c r="C4317" s="86"/>
      <c r="D4317" s="86"/>
      <c r="E4317" s="86"/>
      <c r="F4317" s="308"/>
    </row>
    <row r="4318" spans="2:6">
      <c r="B4318" s="308"/>
      <c r="C4318" s="86"/>
      <c r="D4318" s="86"/>
      <c r="E4318" s="86"/>
      <c r="F4318" s="308"/>
    </row>
    <row r="4319" spans="2:6">
      <c r="B4319" s="308"/>
      <c r="C4319" s="86"/>
      <c r="D4319" s="86"/>
      <c r="E4319" s="86"/>
      <c r="F4319" s="308"/>
    </row>
    <row r="4320" spans="2:6">
      <c r="B4320" s="308"/>
      <c r="C4320" s="86"/>
      <c r="D4320" s="86"/>
      <c r="E4320" s="86"/>
      <c r="F4320" s="308"/>
    </row>
    <row r="4321" spans="2:6">
      <c r="B4321" s="308"/>
      <c r="C4321" s="86"/>
      <c r="D4321" s="86"/>
      <c r="E4321" s="86"/>
      <c r="F4321" s="308"/>
    </row>
    <row r="4322" spans="2:6">
      <c r="B4322" s="308"/>
      <c r="C4322" s="86"/>
      <c r="D4322" s="86"/>
      <c r="E4322" s="86"/>
      <c r="F4322" s="308"/>
    </row>
    <row r="4323" spans="2:6">
      <c r="B4323" s="308"/>
      <c r="C4323" s="86"/>
      <c r="D4323" s="86"/>
      <c r="E4323" s="86"/>
      <c r="F4323" s="308"/>
    </row>
    <row r="4324" spans="2:6">
      <c r="B4324" s="308"/>
      <c r="C4324" s="86"/>
      <c r="D4324" s="86"/>
      <c r="E4324" s="86"/>
      <c r="F4324" s="308"/>
    </row>
    <row r="4325" spans="2:6">
      <c r="B4325" s="308"/>
      <c r="C4325" s="86"/>
      <c r="D4325" s="86"/>
      <c r="E4325" s="86"/>
      <c r="F4325" s="308"/>
    </row>
    <row r="4326" spans="2:6">
      <c r="B4326" s="308"/>
      <c r="C4326" s="86"/>
      <c r="D4326" s="86"/>
      <c r="E4326" s="86"/>
      <c r="F4326" s="308"/>
    </row>
    <row r="4327" spans="2:6">
      <c r="B4327" s="308"/>
      <c r="C4327" s="86"/>
      <c r="D4327" s="86"/>
      <c r="E4327" s="86"/>
      <c r="F4327" s="308"/>
    </row>
    <row r="4328" spans="2:6">
      <c r="B4328" s="308"/>
      <c r="C4328" s="86"/>
      <c r="D4328" s="86"/>
      <c r="E4328" s="86"/>
      <c r="F4328" s="308"/>
    </row>
    <row r="4329" spans="2:6">
      <c r="B4329" s="308"/>
      <c r="C4329" s="86"/>
      <c r="D4329" s="86"/>
      <c r="E4329" s="86"/>
      <c r="F4329" s="308"/>
    </row>
    <row r="4330" spans="2:6">
      <c r="B4330" s="308"/>
      <c r="C4330" s="86"/>
      <c r="D4330" s="86"/>
      <c r="E4330" s="86"/>
      <c r="F4330" s="308"/>
    </row>
    <row r="4331" spans="2:6">
      <c r="B4331" s="308"/>
      <c r="C4331" s="86"/>
      <c r="D4331" s="86"/>
      <c r="E4331" s="86"/>
      <c r="F4331" s="308"/>
    </row>
    <row r="4332" spans="2:6">
      <c r="B4332" s="308"/>
      <c r="C4332" s="86"/>
      <c r="D4332" s="86"/>
      <c r="E4332" s="86"/>
      <c r="F4332" s="308"/>
    </row>
    <row r="4333" spans="2:6">
      <c r="B4333" s="308"/>
      <c r="C4333" s="86"/>
      <c r="D4333" s="86"/>
      <c r="E4333" s="86"/>
      <c r="F4333" s="308"/>
    </row>
    <row r="4334" spans="2:6">
      <c r="B4334" s="308"/>
      <c r="C4334" s="86"/>
      <c r="D4334" s="86"/>
      <c r="E4334" s="86"/>
      <c r="F4334" s="308"/>
    </row>
    <row r="4335" spans="2:6">
      <c r="B4335" s="308"/>
      <c r="C4335" s="86"/>
      <c r="D4335" s="86"/>
      <c r="E4335" s="86"/>
      <c r="F4335" s="308"/>
    </row>
    <row r="4336" spans="2:6">
      <c r="B4336" s="308"/>
      <c r="C4336" s="86"/>
      <c r="D4336" s="86"/>
      <c r="E4336" s="86"/>
      <c r="F4336" s="308"/>
    </row>
    <row r="4337" spans="2:6">
      <c r="B4337" s="308"/>
      <c r="C4337" s="86"/>
      <c r="D4337" s="86"/>
      <c r="E4337" s="86"/>
      <c r="F4337" s="308"/>
    </row>
    <row r="4338" spans="2:6">
      <c r="B4338" s="308"/>
      <c r="C4338" s="86"/>
      <c r="D4338" s="86"/>
      <c r="E4338" s="86"/>
      <c r="F4338" s="308"/>
    </row>
    <row r="4339" spans="2:6">
      <c r="B4339" s="308"/>
      <c r="C4339" s="86"/>
      <c r="D4339" s="86"/>
      <c r="E4339" s="86"/>
      <c r="F4339" s="308"/>
    </row>
    <row r="4340" spans="2:6">
      <c r="B4340" s="308"/>
      <c r="C4340" s="86"/>
      <c r="D4340" s="86"/>
      <c r="E4340" s="86"/>
      <c r="F4340" s="308"/>
    </row>
    <row r="4341" spans="2:6">
      <c r="B4341" s="308"/>
      <c r="C4341" s="86"/>
      <c r="D4341" s="86"/>
      <c r="E4341" s="86"/>
      <c r="F4341" s="308"/>
    </row>
    <row r="4342" spans="2:6">
      <c r="B4342" s="308"/>
      <c r="C4342" s="86"/>
      <c r="D4342" s="86"/>
      <c r="E4342" s="86"/>
      <c r="F4342" s="308"/>
    </row>
    <row r="4343" spans="2:6">
      <c r="B4343" s="308"/>
      <c r="C4343" s="86"/>
      <c r="D4343" s="86"/>
      <c r="E4343" s="86"/>
      <c r="F4343" s="308"/>
    </row>
    <row r="4344" spans="2:6">
      <c r="B4344" s="308"/>
      <c r="C4344" s="86"/>
      <c r="D4344" s="86"/>
      <c r="E4344" s="86"/>
      <c r="F4344" s="308"/>
    </row>
    <row r="4345" spans="2:6">
      <c r="B4345" s="308"/>
      <c r="C4345" s="86"/>
      <c r="D4345" s="86"/>
      <c r="E4345" s="86"/>
      <c r="F4345" s="308"/>
    </row>
    <row r="4346" spans="2:6">
      <c r="B4346" s="308"/>
      <c r="C4346" s="86"/>
      <c r="D4346" s="86"/>
      <c r="E4346" s="86"/>
      <c r="F4346" s="308"/>
    </row>
    <row r="4347" spans="2:6">
      <c r="B4347" s="308"/>
      <c r="C4347" s="86"/>
      <c r="D4347" s="86"/>
      <c r="E4347" s="86"/>
      <c r="F4347" s="308"/>
    </row>
    <row r="4348" spans="2:6">
      <c r="B4348" s="308"/>
      <c r="C4348" s="86"/>
      <c r="D4348" s="86"/>
      <c r="E4348" s="86"/>
      <c r="F4348" s="308"/>
    </row>
    <row r="4349" spans="2:6">
      <c r="B4349" s="308"/>
      <c r="C4349" s="86"/>
      <c r="D4349" s="86"/>
      <c r="E4349" s="86"/>
      <c r="F4349" s="308"/>
    </row>
    <row r="4350" spans="2:6">
      <c r="B4350" s="308"/>
      <c r="C4350" s="86"/>
      <c r="D4350" s="86"/>
      <c r="E4350" s="86"/>
      <c r="F4350" s="308"/>
    </row>
    <row r="4351" spans="2:6">
      <c r="B4351" s="308"/>
      <c r="C4351" s="86"/>
      <c r="D4351" s="86"/>
      <c r="E4351" s="86"/>
      <c r="F4351" s="308"/>
    </row>
    <row r="4352" spans="2:6">
      <c r="B4352" s="308"/>
      <c r="C4352" s="86"/>
      <c r="D4352" s="86"/>
      <c r="E4352" s="86"/>
      <c r="F4352" s="308"/>
    </row>
    <row r="4353" spans="2:6">
      <c r="B4353" s="308"/>
      <c r="C4353" s="86"/>
      <c r="D4353" s="86"/>
      <c r="E4353" s="86"/>
      <c r="F4353" s="308"/>
    </row>
    <row r="4354" spans="2:6">
      <c r="B4354" s="308"/>
      <c r="C4354" s="86"/>
      <c r="D4354" s="86"/>
      <c r="E4354" s="86"/>
      <c r="F4354" s="308"/>
    </row>
    <row r="4355" spans="2:6">
      <c r="B4355" s="308"/>
      <c r="C4355" s="86"/>
      <c r="D4355" s="86"/>
      <c r="E4355" s="86"/>
      <c r="F4355" s="308"/>
    </row>
    <row r="4356" spans="2:6">
      <c r="B4356" s="308"/>
      <c r="C4356" s="86"/>
      <c r="D4356" s="86"/>
      <c r="E4356" s="86"/>
      <c r="F4356" s="308"/>
    </row>
    <row r="4357" spans="2:6">
      <c r="B4357" s="308"/>
      <c r="C4357" s="86"/>
      <c r="D4357" s="86"/>
      <c r="E4357" s="86"/>
      <c r="F4357" s="308"/>
    </row>
    <row r="4358" spans="2:6">
      <c r="B4358" s="308"/>
      <c r="C4358" s="86"/>
      <c r="D4358" s="86"/>
      <c r="E4358" s="86"/>
      <c r="F4358" s="308"/>
    </row>
    <row r="4359" spans="2:6">
      <c r="B4359" s="308"/>
      <c r="C4359" s="86"/>
      <c r="D4359" s="86"/>
      <c r="E4359" s="86"/>
      <c r="F4359" s="308"/>
    </row>
    <row r="4360" spans="2:6">
      <c r="B4360" s="308"/>
      <c r="C4360" s="86"/>
      <c r="D4360" s="86"/>
      <c r="E4360" s="86"/>
      <c r="F4360" s="308"/>
    </row>
    <row r="4361" spans="2:6">
      <c r="B4361" s="308"/>
      <c r="C4361" s="86"/>
      <c r="D4361" s="86"/>
      <c r="E4361" s="86"/>
      <c r="F4361" s="308"/>
    </row>
    <row r="4362" spans="2:6">
      <c r="B4362" s="308"/>
      <c r="C4362" s="86"/>
      <c r="D4362" s="86"/>
      <c r="E4362" s="86"/>
      <c r="F4362" s="308"/>
    </row>
    <row r="4363" spans="2:6">
      <c r="B4363" s="308"/>
      <c r="C4363" s="86"/>
      <c r="D4363" s="86"/>
      <c r="E4363" s="86"/>
      <c r="F4363" s="308"/>
    </row>
    <row r="4364" spans="2:6">
      <c r="B4364" s="308"/>
      <c r="C4364" s="86"/>
      <c r="D4364" s="86"/>
      <c r="E4364" s="86"/>
      <c r="F4364" s="308"/>
    </row>
    <row r="4365" spans="2:6">
      <c r="B4365" s="308"/>
      <c r="C4365" s="86"/>
      <c r="D4365" s="86"/>
      <c r="E4365" s="86"/>
      <c r="F4365" s="308"/>
    </row>
    <row r="4366" spans="2:6">
      <c r="B4366" s="308"/>
      <c r="C4366" s="86"/>
      <c r="D4366" s="86"/>
      <c r="E4366" s="86"/>
      <c r="F4366" s="308"/>
    </row>
    <row r="4367" spans="2:6">
      <c r="B4367" s="308"/>
      <c r="C4367" s="86"/>
      <c r="D4367" s="86"/>
      <c r="E4367" s="86"/>
      <c r="F4367" s="308"/>
    </row>
    <row r="4368" spans="2:6">
      <c r="B4368" s="308"/>
      <c r="C4368" s="86"/>
      <c r="D4368" s="86"/>
      <c r="E4368" s="86"/>
      <c r="F4368" s="308"/>
    </row>
    <row r="4369" spans="2:6">
      <c r="B4369" s="308"/>
      <c r="C4369" s="86"/>
      <c r="D4369" s="86"/>
      <c r="E4369" s="86"/>
      <c r="F4369" s="308"/>
    </row>
    <row r="4370" spans="2:6">
      <c r="B4370" s="308"/>
      <c r="C4370" s="86"/>
      <c r="D4370" s="86"/>
      <c r="E4370" s="86"/>
      <c r="F4370" s="308"/>
    </row>
    <row r="4371" spans="2:6">
      <c r="B4371" s="308"/>
      <c r="C4371" s="86"/>
      <c r="D4371" s="86"/>
      <c r="E4371" s="86"/>
      <c r="F4371" s="308"/>
    </row>
    <row r="4372" spans="2:6">
      <c r="B4372" s="308"/>
      <c r="C4372" s="86"/>
      <c r="D4372" s="86"/>
      <c r="E4372" s="86"/>
      <c r="F4372" s="308"/>
    </row>
    <row r="4373" spans="2:6">
      <c r="B4373" s="308"/>
      <c r="C4373" s="86"/>
      <c r="D4373" s="86"/>
      <c r="E4373" s="86"/>
      <c r="F4373" s="308"/>
    </row>
    <row r="4374" spans="2:6">
      <c r="B4374" s="308"/>
      <c r="C4374" s="86"/>
      <c r="D4374" s="86"/>
      <c r="E4374" s="86"/>
      <c r="F4374" s="308"/>
    </row>
    <row r="4375" spans="2:6">
      <c r="B4375" s="308"/>
      <c r="C4375" s="86"/>
      <c r="D4375" s="86"/>
      <c r="E4375" s="86"/>
      <c r="F4375" s="308"/>
    </row>
    <row r="4376" spans="2:6">
      <c r="B4376" s="308"/>
      <c r="C4376" s="86"/>
      <c r="D4376" s="86"/>
      <c r="E4376" s="86"/>
      <c r="F4376" s="308"/>
    </row>
    <row r="4377" spans="2:6">
      <c r="B4377" s="308"/>
      <c r="C4377" s="86"/>
      <c r="D4377" s="86"/>
      <c r="E4377" s="86"/>
      <c r="F4377" s="308"/>
    </row>
    <row r="4378" spans="2:6">
      <c r="B4378" s="308"/>
      <c r="C4378" s="86"/>
      <c r="D4378" s="86"/>
      <c r="E4378" s="86"/>
      <c r="F4378" s="308"/>
    </row>
    <row r="4379" spans="2:6">
      <c r="B4379" s="308"/>
      <c r="C4379" s="86"/>
      <c r="D4379" s="86"/>
      <c r="E4379" s="86"/>
      <c r="F4379" s="308"/>
    </row>
    <row r="4380" spans="2:6">
      <c r="B4380" s="308"/>
      <c r="C4380" s="86"/>
      <c r="D4380" s="86"/>
      <c r="E4380" s="86"/>
      <c r="F4380" s="308"/>
    </row>
    <row r="4381" spans="2:6">
      <c r="B4381" s="308"/>
      <c r="C4381" s="86"/>
      <c r="D4381" s="86"/>
      <c r="E4381" s="86"/>
      <c r="F4381" s="308"/>
    </row>
    <row r="4382" spans="2:6">
      <c r="B4382" s="308"/>
      <c r="C4382" s="86"/>
      <c r="D4382" s="86"/>
      <c r="E4382" s="86"/>
      <c r="F4382" s="308"/>
    </row>
    <row r="4383" spans="2:6">
      <c r="B4383" s="308"/>
      <c r="C4383" s="86"/>
      <c r="D4383" s="86"/>
      <c r="E4383" s="86"/>
      <c r="F4383" s="308"/>
    </row>
    <row r="4384" spans="2:6">
      <c r="B4384" s="308"/>
      <c r="C4384" s="86"/>
      <c r="D4384" s="86"/>
      <c r="E4384" s="86"/>
      <c r="F4384" s="308"/>
    </row>
    <row r="4385" spans="2:6">
      <c r="B4385" s="308"/>
      <c r="C4385" s="86"/>
      <c r="D4385" s="86"/>
      <c r="E4385" s="86"/>
      <c r="F4385" s="308"/>
    </row>
    <row r="4386" spans="2:6">
      <c r="B4386" s="308"/>
      <c r="C4386" s="86"/>
      <c r="D4386" s="86"/>
      <c r="E4386" s="86"/>
      <c r="F4386" s="308"/>
    </row>
    <row r="4387" spans="2:6">
      <c r="B4387" s="308"/>
      <c r="C4387" s="86"/>
      <c r="D4387" s="86"/>
      <c r="E4387" s="86"/>
      <c r="F4387" s="308"/>
    </row>
    <row r="4388" spans="2:6">
      <c r="B4388" s="308"/>
      <c r="C4388" s="86"/>
      <c r="D4388" s="86"/>
      <c r="E4388" s="86"/>
      <c r="F4388" s="308"/>
    </row>
    <row r="4389" spans="2:6">
      <c r="B4389" s="308"/>
      <c r="C4389" s="86"/>
      <c r="D4389" s="86"/>
      <c r="E4389" s="86"/>
      <c r="F4389" s="308"/>
    </row>
    <row r="4390" spans="2:6">
      <c r="B4390" s="308"/>
      <c r="C4390" s="86"/>
      <c r="D4390" s="86"/>
      <c r="E4390" s="86"/>
      <c r="F4390" s="308"/>
    </row>
    <row r="4391" spans="2:6">
      <c r="B4391" s="308"/>
      <c r="C4391" s="86"/>
      <c r="D4391" s="86"/>
      <c r="E4391" s="86"/>
      <c r="F4391" s="308"/>
    </row>
    <row r="4392" spans="2:6">
      <c r="B4392" s="308"/>
      <c r="C4392" s="86"/>
      <c r="D4392" s="86"/>
      <c r="E4392" s="86"/>
      <c r="F4392" s="308"/>
    </row>
    <row r="4393" spans="2:6">
      <c r="B4393" s="308"/>
      <c r="C4393" s="86"/>
      <c r="D4393" s="86"/>
      <c r="E4393" s="86"/>
      <c r="F4393" s="308"/>
    </row>
    <row r="4394" spans="2:6">
      <c r="B4394" s="308"/>
      <c r="C4394" s="86"/>
      <c r="D4394" s="86"/>
      <c r="E4394" s="86"/>
      <c r="F4394" s="308"/>
    </row>
    <row r="4395" spans="2:6">
      <c r="B4395" s="308"/>
      <c r="C4395" s="86"/>
      <c r="D4395" s="86"/>
      <c r="E4395" s="86"/>
      <c r="F4395" s="308"/>
    </row>
    <row r="4396" spans="2:6">
      <c r="B4396" s="308"/>
      <c r="C4396" s="86"/>
      <c r="D4396" s="86"/>
      <c r="E4396" s="86"/>
      <c r="F4396" s="308"/>
    </row>
    <row r="4397" spans="2:6">
      <c r="B4397" s="308"/>
      <c r="C4397" s="86"/>
      <c r="D4397" s="86"/>
      <c r="E4397" s="86"/>
      <c r="F4397" s="308"/>
    </row>
    <row r="4398" spans="2:6">
      <c r="B4398" s="308"/>
      <c r="C4398" s="86"/>
      <c r="D4398" s="86"/>
      <c r="E4398" s="86"/>
      <c r="F4398" s="308"/>
    </row>
    <row r="4399" spans="2:6">
      <c r="B4399" s="308"/>
      <c r="C4399" s="86"/>
      <c r="D4399" s="86"/>
      <c r="E4399" s="86"/>
      <c r="F4399" s="308"/>
    </row>
    <row r="4400" spans="2:6">
      <c r="B4400" s="308"/>
      <c r="C4400" s="86"/>
      <c r="D4400" s="86"/>
      <c r="E4400" s="86"/>
      <c r="F4400" s="308"/>
    </row>
    <row r="4401" spans="2:6">
      <c r="B4401" s="308"/>
      <c r="C4401" s="86"/>
      <c r="D4401" s="86"/>
      <c r="E4401" s="86"/>
      <c r="F4401" s="308"/>
    </row>
    <row r="4402" spans="2:6">
      <c r="B4402" s="308"/>
      <c r="C4402" s="86"/>
      <c r="D4402" s="86"/>
      <c r="E4402" s="86"/>
      <c r="F4402" s="308"/>
    </row>
    <row r="4403" spans="2:6">
      <c r="B4403" s="308"/>
      <c r="C4403" s="86"/>
      <c r="D4403" s="86"/>
      <c r="E4403" s="86"/>
      <c r="F4403" s="308"/>
    </row>
    <row r="4404" spans="2:6">
      <c r="B4404" s="308"/>
      <c r="C4404" s="86"/>
      <c r="D4404" s="86"/>
      <c r="E4404" s="86"/>
      <c r="F4404" s="308"/>
    </row>
    <row r="4405" spans="2:6">
      <c r="B4405" s="308"/>
      <c r="C4405" s="86"/>
      <c r="D4405" s="86"/>
      <c r="E4405" s="86"/>
      <c r="F4405" s="308"/>
    </row>
    <row r="4406" spans="2:6">
      <c r="B4406" s="308"/>
      <c r="C4406" s="86"/>
      <c r="D4406" s="86"/>
      <c r="E4406" s="86"/>
      <c r="F4406" s="308"/>
    </row>
    <row r="4407" spans="2:6">
      <c r="B4407" s="308"/>
      <c r="C4407" s="86"/>
      <c r="D4407" s="86"/>
      <c r="E4407" s="86"/>
      <c r="F4407" s="308"/>
    </row>
    <row r="4408" spans="2:6">
      <c r="B4408" s="308"/>
      <c r="C4408" s="86"/>
      <c r="D4408" s="86"/>
      <c r="E4408" s="86"/>
      <c r="F4408" s="308"/>
    </row>
    <row r="4409" spans="2:6">
      <c r="B4409" s="308"/>
      <c r="C4409" s="86"/>
      <c r="D4409" s="86"/>
      <c r="E4409" s="86"/>
      <c r="F4409" s="308"/>
    </row>
    <row r="4410" spans="2:6">
      <c r="B4410" s="308"/>
      <c r="C4410" s="86"/>
      <c r="D4410" s="86"/>
      <c r="E4410" s="86"/>
      <c r="F4410" s="308"/>
    </row>
    <row r="4411" spans="2:6">
      <c r="B4411" s="308"/>
      <c r="C4411" s="86"/>
      <c r="D4411" s="86"/>
      <c r="E4411" s="86"/>
      <c r="F4411" s="308"/>
    </row>
    <row r="4412" spans="2:6">
      <c r="B4412" s="308"/>
      <c r="C4412" s="86"/>
      <c r="D4412" s="86"/>
      <c r="E4412" s="86"/>
      <c r="F4412" s="308"/>
    </row>
    <row r="4413" spans="2:6">
      <c r="B4413" s="308"/>
      <c r="C4413" s="86"/>
      <c r="D4413" s="86"/>
      <c r="E4413" s="86"/>
      <c r="F4413" s="308"/>
    </row>
    <row r="4414" spans="2:6">
      <c r="B4414" s="308"/>
      <c r="C4414" s="86"/>
      <c r="D4414" s="86"/>
      <c r="E4414" s="86"/>
      <c r="F4414" s="308"/>
    </row>
    <row r="4415" spans="2:6">
      <c r="B4415" s="308"/>
      <c r="C4415" s="86"/>
      <c r="D4415" s="86"/>
      <c r="E4415" s="86"/>
      <c r="F4415" s="308"/>
    </row>
    <row r="4416" spans="2:6">
      <c r="B4416" s="308"/>
      <c r="C4416" s="86"/>
      <c r="D4416" s="86"/>
      <c r="E4416" s="86"/>
      <c r="F4416" s="308"/>
    </row>
    <row r="4417" spans="2:6">
      <c r="B4417" s="308"/>
      <c r="C4417" s="86"/>
      <c r="D4417" s="86"/>
      <c r="E4417" s="86"/>
      <c r="F4417" s="308"/>
    </row>
    <row r="4418" spans="2:6">
      <c r="B4418" s="308"/>
      <c r="C4418" s="86"/>
      <c r="D4418" s="86"/>
      <c r="E4418" s="86"/>
      <c r="F4418" s="308"/>
    </row>
    <row r="4419" spans="2:6">
      <c r="B4419" s="308"/>
      <c r="C4419" s="86"/>
      <c r="D4419" s="86"/>
      <c r="E4419" s="86"/>
      <c r="F4419" s="308"/>
    </row>
    <row r="4420" spans="2:6">
      <c r="B4420" s="308"/>
      <c r="C4420" s="86"/>
      <c r="D4420" s="86"/>
      <c r="E4420" s="86"/>
      <c r="F4420" s="308"/>
    </row>
    <row r="4421" spans="2:6">
      <c r="B4421" s="308"/>
      <c r="C4421" s="86"/>
      <c r="D4421" s="86"/>
      <c r="E4421" s="86"/>
      <c r="F4421" s="308"/>
    </row>
    <row r="4422" spans="2:6">
      <c r="B4422" s="308"/>
      <c r="C4422" s="86"/>
      <c r="D4422" s="86"/>
      <c r="E4422" s="86"/>
      <c r="F4422" s="308"/>
    </row>
    <row r="4423" spans="2:6">
      <c r="B4423" s="308"/>
      <c r="C4423" s="86"/>
      <c r="D4423" s="86"/>
      <c r="E4423" s="86"/>
      <c r="F4423" s="308"/>
    </row>
    <row r="4424" spans="2:6">
      <c r="B4424" s="308"/>
      <c r="C4424" s="86"/>
      <c r="D4424" s="86"/>
      <c r="E4424" s="86"/>
      <c r="F4424" s="308"/>
    </row>
    <row r="4425" spans="2:6">
      <c r="B4425" s="308"/>
      <c r="C4425" s="86"/>
      <c r="D4425" s="86"/>
      <c r="E4425" s="86"/>
      <c r="F4425" s="308"/>
    </row>
    <row r="4426" spans="2:6">
      <c r="B4426" s="308"/>
      <c r="C4426" s="86"/>
      <c r="D4426" s="86"/>
      <c r="E4426" s="86"/>
      <c r="F4426" s="308"/>
    </row>
    <row r="4427" spans="2:6">
      <c r="B4427" s="308"/>
      <c r="C4427" s="86"/>
      <c r="D4427" s="86"/>
      <c r="E4427" s="86"/>
      <c r="F4427" s="308"/>
    </row>
    <row r="4428" spans="2:6">
      <c r="B4428" s="308"/>
      <c r="C4428" s="86"/>
      <c r="D4428" s="86"/>
      <c r="E4428" s="86"/>
      <c r="F4428" s="308"/>
    </row>
    <row r="4429" spans="2:6">
      <c r="B4429" s="308"/>
      <c r="C4429" s="86"/>
      <c r="D4429" s="86"/>
      <c r="E4429" s="86"/>
      <c r="F4429" s="308"/>
    </row>
    <row r="4430" spans="2:6">
      <c r="B4430" s="308"/>
      <c r="C4430" s="86"/>
      <c r="D4430" s="86"/>
      <c r="E4430" s="86"/>
      <c r="F4430" s="308"/>
    </row>
    <row r="4431" spans="2:6">
      <c r="B4431" s="308"/>
      <c r="C4431" s="86"/>
      <c r="D4431" s="86"/>
      <c r="E4431" s="86"/>
      <c r="F4431" s="308"/>
    </row>
    <row r="4432" spans="2:6">
      <c r="B4432" s="308"/>
      <c r="C4432" s="86"/>
      <c r="D4432" s="86"/>
      <c r="E4432" s="86"/>
      <c r="F4432" s="308"/>
    </row>
    <row r="4433" spans="2:6">
      <c r="B4433" s="308"/>
      <c r="C4433" s="86"/>
      <c r="D4433" s="86"/>
      <c r="E4433" s="86"/>
      <c r="F4433" s="308"/>
    </row>
    <row r="4434" spans="2:6">
      <c r="B4434" s="308"/>
      <c r="C4434" s="86"/>
      <c r="D4434" s="86"/>
      <c r="E4434" s="86"/>
      <c r="F4434" s="308"/>
    </row>
    <row r="4435" spans="2:6">
      <c r="B4435" s="308"/>
      <c r="C4435" s="86"/>
      <c r="D4435" s="86"/>
      <c r="E4435" s="86"/>
      <c r="F4435" s="308"/>
    </row>
    <row r="4436" spans="2:6">
      <c r="B4436" s="308"/>
      <c r="C4436" s="86"/>
      <c r="D4436" s="86"/>
      <c r="E4436" s="86"/>
      <c r="F4436" s="308"/>
    </row>
    <row r="4437" spans="2:6">
      <c r="B4437" s="308"/>
      <c r="C4437" s="86"/>
      <c r="D4437" s="86"/>
      <c r="E4437" s="86"/>
      <c r="F4437" s="308"/>
    </row>
    <row r="4438" spans="2:6">
      <c r="B4438" s="308"/>
      <c r="C4438" s="86"/>
      <c r="D4438" s="86"/>
      <c r="E4438" s="86"/>
      <c r="F4438" s="308"/>
    </row>
    <row r="4439" spans="2:6">
      <c r="B4439" s="308"/>
      <c r="C4439" s="86"/>
      <c r="D4439" s="86"/>
      <c r="E4439" s="86"/>
      <c r="F4439" s="308"/>
    </row>
    <row r="4440" spans="2:6">
      <c r="B4440" s="308"/>
      <c r="C4440" s="86"/>
      <c r="D4440" s="86"/>
      <c r="E4440" s="86"/>
      <c r="F4440" s="308"/>
    </row>
    <row r="4441" spans="2:6">
      <c r="B4441" s="308"/>
      <c r="C4441" s="86"/>
      <c r="D4441" s="86"/>
      <c r="E4441" s="86"/>
      <c r="F4441" s="308"/>
    </row>
    <row r="4442" spans="2:6">
      <c r="B4442" s="308"/>
      <c r="C4442" s="86"/>
      <c r="D4442" s="86"/>
      <c r="E4442" s="86"/>
      <c r="F4442" s="308"/>
    </row>
    <row r="4443" spans="2:6">
      <c r="B4443" s="308"/>
      <c r="C4443" s="86"/>
      <c r="D4443" s="86"/>
      <c r="E4443" s="86"/>
      <c r="F4443" s="308"/>
    </row>
    <row r="4444" spans="2:6">
      <c r="B4444" s="308"/>
      <c r="C4444" s="86"/>
      <c r="D4444" s="86"/>
      <c r="E4444" s="86"/>
      <c r="F4444" s="308"/>
    </row>
    <row r="4445" spans="2:6">
      <c r="B4445" s="308"/>
      <c r="C4445" s="86"/>
      <c r="D4445" s="86"/>
      <c r="E4445" s="86"/>
      <c r="F4445" s="308"/>
    </row>
    <row r="4446" spans="2:6">
      <c r="B4446" s="308"/>
      <c r="C4446" s="86"/>
      <c r="D4446" s="86"/>
      <c r="E4446" s="86"/>
      <c r="F4446" s="308"/>
    </row>
    <row r="4447" spans="2:6">
      <c r="B4447" s="308"/>
      <c r="C4447" s="86"/>
      <c r="D4447" s="86"/>
      <c r="E4447" s="86"/>
      <c r="F4447" s="308"/>
    </row>
    <row r="4448" spans="2:6">
      <c r="B4448" s="308"/>
      <c r="C4448" s="86"/>
      <c r="D4448" s="86"/>
      <c r="E4448" s="86"/>
      <c r="F4448" s="308"/>
    </row>
    <row r="4449" spans="2:6">
      <c r="B4449" s="308"/>
      <c r="C4449" s="86"/>
      <c r="D4449" s="86"/>
      <c r="E4449" s="86"/>
      <c r="F4449" s="308"/>
    </row>
    <row r="4450" spans="2:6">
      <c r="B4450" s="308"/>
      <c r="C4450" s="86"/>
      <c r="D4450" s="86"/>
      <c r="E4450" s="86"/>
      <c r="F4450" s="308"/>
    </row>
    <row r="4451" spans="2:6">
      <c r="B4451" s="308"/>
      <c r="C4451" s="86"/>
      <c r="D4451" s="86"/>
      <c r="E4451" s="86"/>
      <c r="F4451" s="308"/>
    </row>
    <row r="4452" spans="2:6">
      <c r="B4452" s="308"/>
      <c r="C4452" s="86"/>
      <c r="D4452" s="86"/>
      <c r="E4452" s="86"/>
      <c r="F4452" s="308"/>
    </row>
    <row r="4453" spans="2:6">
      <c r="B4453" s="308"/>
      <c r="C4453" s="86"/>
      <c r="D4453" s="86"/>
      <c r="E4453" s="86"/>
      <c r="F4453" s="308"/>
    </row>
    <row r="4454" spans="2:6">
      <c r="B4454" s="308"/>
      <c r="C4454" s="86"/>
      <c r="D4454" s="86"/>
      <c r="E4454" s="86"/>
      <c r="F4454" s="308"/>
    </row>
    <row r="4455" spans="2:6">
      <c r="B4455" s="308"/>
      <c r="C4455" s="86"/>
      <c r="D4455" s="86"/>
      <c r="E4455" s="86"/>
      <c r="F4455" s="308"/>
    </row>
    <row r="4456" spans="2:6">
      <c r="B4456" s="308"/>
      <c r="C4456" s="86"/>
      <c r="D4456" s="86"/>
      <c r="E4456" s="86"/>
      <c r="F4456" s="308"/>
    </row>
    <row r="4457" spans="2:6">
      <c r="B4457" s="308"/>
      <c r="C4457" s="86"/>
      <c r="D4457" s="86"/>
      <c r="E4457" s="86"/>
      <c r="F4457" s="308"/>
    </row>
    <row r="4458" spans="2:6">
      <c r="B4458" s="308"/>
      <c r="C4458" s="86"/>
      <c r="D4458" s="86"/>
      <c r="E4458" s="86"/>
      <c r="F4458" s="308"/>
    </row>
    <row r="4459" spans="2:6">
      <c r="B4459" s="308"/>
      <c r="C4459" s="86"/>
      <c r="D4459" s="86"/>
      <c r="E4459" s="86"/>
      <c r="F4459" s="308"/>
    </row>
    <row r="4460" spans="2:6">
      <c r="B4460" s="308"/>
      <c r="C4460" s="86"/>
      <c r="D4460" s="86"/>
      <c r="E4460" s="86"/>
      <c r="F4460" s="308"/>
    </row>
    <row r="4461" spans="2:6">
      <c r="B4461" s="308"/>
      <c r="C4461" s="86"/>
      <c r="D4461" s="86"/>
      <c r="E4461" s="86"/>
      <c r="F4461" s="308"/>
    </row>
    <row r="4462" spans="2:6">
      <c r="B4462" s="308"/>
      <c r="C4462" s="86"/>
      <c r="D4462" s="86"/>
      <c r="E4462" s="86"/>
      <c r="F4462" s="308"/>
    </row>
    <row r="4463" spans="2:6">
      <c r="B4463" s="308"/>
      <c r="C4463" s="86"/>
      <c r="D4463" s="86"/>
      <c r="E4463" s="86"/>
      <c r="F4463" s="308"/>
    </row>
    <row r="4464" spans="2:6">
      <c r="B4464" s="308"/>
      <c r="C4464" s="86"/>
      <c r="D4464" s="86"/>
      <c r="E4464" s="86"/>
      <c r="F4464" s="308"/>
    </row>
    <row r="4465" spans="2:6">
      <c r="B4465" s="308"/>
      <c r="C4465" s="86"/>
      <c r="D4465" s="86"/>
      <c r="E4465" s="86"/>
      <c r="F4465" s="308"/>
    </row>
    <row r="4466" spans="2:6">
      <c r="B4466" s="308"/>
      <c r="C4466" s="86"/>
      <c r="D4466" s="86"/>
      <c r="E4466" s="86"/>
      <c r="F4466" s="308"/>
    </row>
    <row r="4467" spans="2:6">
      <c r="B4467" s="308"/>
      <c r="C4467" s="86"/>
      <c r="D4467" s="86"/>
      <c r="E4467" s="86"/>
      <c r="F4467" s="308"/>
    </row>
    <row r="4468" spans="2:6">
      <c r="B4468" s="308"/>
      <c r="C4468" s="86"/>
      <c r="D4468" s="86"/>
      <c r="E4468" s="86"/>
      <c r="F4468" s="308"/>
    </row>
    <row r="4469" spans="2:6">
      <c r="B4469" s="308"/>
      <c r="C4469" s="86"/>
      <c r="D4469" s="86"/>
      <c r="E4469" s="86"/>
      <c r="F4469" s="308"/>
    </row>
    <row r="4470" spans="2:6">
      <c r="B4470" s="308"/>
      <c r="C4470" s="86"/>
      <c r="D4470" s="86"/>
      <c r="E4470" s="86"/>
      <c r="F4470" s="308"/>
    </row>
    <row r="4471" spans="2:6">
      <c r="B4471" s="308"/>
      <c r="C4471" s="86"/>
      <c r="D4471" s="86"/>
      <c r="E4471" s="86"/>
      <c r="F4471" s="308"/>
    </row>
    <row r="4472" spans="2:6">
      <c r="B4472" s="308"/>
      <c r="C4472" s="86"/>
      <c r="D4472" s="86"/>
      <c r="E4472" s="86"/>
      <c r="F4472" s="308"/>
    </row>
    <row r="4473" spans="2:6">
      <c r="B4473" s="308"/>
      <c r="C4473" s="86"/>
      <c r="D4473" s="86"/>
      <c r="E4473" s="86"/>
      <c r="F4473" s="308"/>
    </row>
    <row r="4474" spans="2:6">
      <c r="B4474" s="308"/>
      <c r="C4474" s="86"/>
      <c r="D4474" s="86"/>
      <c r="E4474" s="86"/>
      <c r="F4474" s="308"/>
    </row>
    <row r="4475" spans="2:6">
      <c r="B4475" s="308"/>
      <c r="C4475" s="86"/>
      <c r="D4475" s="86"/>
      <c r="E4475" s="86"/>
      <c r="F4475" s="308"/>
    </row>
    <row r="4476" spans="2:6">
      <c r="B4476" s="308"/>
      <c r="C4476" s="86"/>
      <c r="D4476" s="86"/>
      <c r="E4476" s="86"/>
      <c r="F4476" s="308"/>
    </row>
    <row r="4477" spans="2:6">
      <c r="B4477" s="308"/>
      <c r="C4477" s="86"/>
      <c r="D4477" s="86"/>
      <c r="E4477" s="86"/>
      <c r="F4477" s="308"/>
    </row>
    <row r="4478" spans="2:6">
      <c r="B4478" s="308"/>
      <c r="C4478" s="86"/>
      <c r="D4478" s="86"/>
      <c r="E4478" s="86"/>
      <c r="F4478" s="308"/>
    </row>
    <row r="4479" spans="2:6">
      <c r="B4479" s="308"/>
      <c r="C4479" s="86"/>
      <c r="D4479" s="86"/>
      <c r="E4479" s="86"/>
      <c r="F4479" s="308"/>
    </row>
    <row r="4480" spans="2:6">
      <c r="B4480" s="308"/>
      <c r="C4480" s="86"/>
      <c r="D4480" s="86"/>
      <c r="E4480" s="86"/>
      <c r="F4480" s="308"/>
    </row>
    <row r="4481" spans="2:6">
      <c r="B4481" s="308"/>
      <c r="C4481" s="86"/>
      <c r="D4481" s="86"/>
      <c r="E4481" s="86"/>
      <c r="F4481" s="308"/>
    </row>
    <row r="4482" spans="2:6">
      <c r="B4482" s="308"/>
      <c r="C4482" s="86"/>
      <c r="D4482" s="86"/>
      <c r="E4482" s="86"/>
      <c r="F4482" s="308"/>
    </row>
    <row r="4483" spans="2:6">
      <c r="B4483" s="308"/>
      <c r="C4483" s="86"/>
      <c r="D4483" s="86"/>
      <c r="E4483" s="86"/>
      <c r="F4483" s="308"/>
    </row>
    <row r="4484" spans="2:6">
      <c r="B4484" s="308"/>
      <c r="C4484" s="86"/>
      <c r="D4484" s="86"/>
      <c r="E4484" s="86"/>
      <c r="F4484" s="308"/>
    </row>
    <row r="4485" spans="2:6">
      <c r="B4485" s="308"/>
      <c r="C4485" s="86"/>
      <c r="D4485" s="86"/>
      <c r="E4485" s="86"/>
      <c r="F4485" s="308"/>
    </row>
    <row r="4486" spans="2:6">
      <c r="B4486" s="308"/>
      <c r="C4486" s="86"/>
      <c r="D4486" s="86"/>
      <c r="E4486" s="86"/>
      <c r="F4486" s="308"/>
    </row>
    <row r="4487" spans="2:6">
      <c r="B4487" s="308"/>
      <c r="C4487" s="86"/>
      <c r="D4487" s="86"/>
      <c r="E4487" s="86"/>
      <c r="F4487" s="308"/>
    </row>
    <row r="4488" spans="2:6">
      <c r="B4488" s="308"/>
      <c r="C4488" s="86"/>
      <c r="D4488" s="86"/>
      <c r="E4488" s="86"/>
      <c r="F4488" s="308"/>
    </row>
    <row r="4489" spans="2:6">
      <c r="B4489" s="308"/>
      <c r="C4489" s="86"/>
      <c r="D4489" s="86"/>
      <c r="E4489" s="86"/>
      <c r="F4489" s="308"/>
    </row>
    <row r="4490" spans="2:6">
      <c r="B4490" s="308"/>
      <c r="C4490" s="86"/>
      <c r="D4490" s="86"/>
      <c r="E4490" s="86"/>
      <c r="F4490" s="308"/>
    </row>
    <row r="4491" spans="2:6">
      <c r="B4491" s="308"/>
      <c r="C4491" s="86"/>
      <c r="D4491" s="86"/>
      <c r="E4491" s="86"/>
      <c r="F4491" s="308"/>
    </row>
    <row r="4492" spans="2:6">
      <c r="B4492" s="308"/>
      <c r="C4492" s="86"/>
      <c r="D4492" s="86"/>
      <c r="E4492" s="86"/>
      <c r="F4492" s="308"/>
    </row>
    <row r="4493" spans="2:6">
      <c r="B4493" s="308"/>
      <c r="C4493" s="86"/>
      <c r="D4493" s="86"/>
      <c r="E4493" s="86"/>
      <c r="F4493" s="308"/>
    </row>
    <row r="4494" spans="2:6">
      <c r="B4494" s="308"/>
      <c r="C4494" s="86"/>
      <c r="D4494" s="86"/>
      <c r="E4494" s="86"/>
      <c r="F4494" s="308"/>
    </row>
    <row r="4495" spans="2:6">
      <c r="B4495" s="308"/>
      <c r="C4495" s="86"/>
      <c r="D4495" s="86"/>
      <c r="E4495" s="86"/>
      <c r="F4495" s="308"/>
    </row>
    <row r="4496" spans="2:6">
      <c r="B4496" s="308"/>
      <c r="C4496" s="86"/>
      <c r="D4496" s="86"/>
      <c r="E4496" s="86"/>
      <c r="F4496" s="308"/>
    </row>
    <row r="4497" spans="2:6">
      <c r="B4497" s="308"/>
      <c r="C4497" s="86"/>
      <c r="D4497" s="86"/>
      <c r="E4497" s="86"/>
      <c r="F4497" s="308"/>
    </row>
    <row r="4498" spans="2:6">
      <c r="B4498" s="308"/>
      <c r="C4498" s="86"/>
      <c r="D4498" s="86"/>
      <c r="E4498" s="86"/>
      <c r="F4498" s="308"/>
    </row>
    <row r="4499" spans="2:6">
      <c r="B4499" s="308"/>
      <c r="C4499" s="86"/>
      <c r="D4499" s="86"/>
      <c r="E4499" s="86"/>
      <c r="F4499" s="308"/>
    </row>
    <row r="4500" spans="2:6">
      <c r="B4500" s="308"/>
      <c r="C4500" s="86"/>
      <c r="D4500" s="86"/>
      <c r="E4500" s="86"/>
      <c r="F4500" s="308"/>
    </row>
    <row r="4501" spans="2:6">
      <c r="B4501" s="308"/>
      <c r="C4501" s="86"/>
      <c r="D4501" s="86"/>
      <c r="E4501" s="86"/>
      <c r="F4501" s="308"/>
    </row>
    <row r="4502" spans="2:6">
      <c r="B4502" s="308"/>
      <c r="C4502" s="86"/>
      <c r="D4502" s="86"/>
      <c r="E4502" s="86"/>
      <c r="F4502" s="308"/>
    </row>
    <row r="4503" spans="2:6">
      <c r="B4503" s="308"/>
      <c r="C4503" s="86"/>
      <c r="D4503" s="86"/>
      <c r="E4503" s="86"/>
      <c r="F4503" s="308"/>
    </row>
    <row r="4504" spans="2:6">
      <c r="B4504" s="308"/>
      <c r="C4504" s="86"/>
      <c r="D4504" s="86"/>
      <c r="E4504" s="86"/>
      <c r="F4504" s="308"/>
    </row>
    <row r="4505" spans="2:6">
      <c r="B4505" s="308"/>
      <c r="C4505" s="86"/>
      <c r="D4505" s="86"/>
      <c r="E4505" s="86"/>
      <c r="F4505" s="308"/>
    </row>
    <row r="4506" spans="2:6">
      <c r="B4506" s="308"/>
      <c r="C4506" s="86"/>
      <c r="D4506" s="86"/>
      <c r="E4506" s="86"/>
      <c r="F4506" s="308"/>
    </row>
    <row r="4507" spans="2:6">
      <c r="B4507" s="308"/>
      <c r="C4507" s="86"/>
      <c r="D4507" s="86"/>
      <c r="E4507" s="86"/>
      <c r="F4507" s="308"/>
    </row>
    <row r="4508" spans="2:6">
      <c r="B4508" s="308"/>
      <c r="C4508" s="86"/>
      <c r="D4508" s="86"/>
      <c r="E4508" s="86"/>
      <c r="F4508" s="308"/>
    </row>
    <row r="4509" spans="2:6">
      <c r="B4509" s="308"/>
      <c r="C4509" s="86"/>
      <c r="D4509" s="86"/>
      <c r="E4509" s="86"/>
      <c r="F4509" s="308"/>
    </row>
    <row r="4510" spans="2:6">
      <c r="B4510" s="308"/>
      <c r="C4510" s="86"/>
      <c r="D4510" s="86"/>
      <c r="E4510" s="86"/>
      <c r="F4510" s="308"/>
    </row>
    <row r="4511" spans="2:6">
      <c r="B4511" s="308"/>
      <c r="C4511" s="86"/>
      <c r="D4511" s="86"/>
      <c r="E4511" s="86"/>
      <c r="F4511" s="308"/>
    </row>
    <row r="4512" spans="2:6">
      <c r="B4512" s="308"/>
      <c r="C4512" s="86"/>
      <c r="D4512" s="86"/>
      <c r="E4512" s="86"/>
      <c r="F4512" s="308"/>
    </row>
    <row r="4513" spans="2:6">
      <c r="B4513" s="308"/>
      <c r="C4513" s="86"/>
      <c r="D4513" s="86"/>
      <c r="E4513" s="86"/>
      <c r="F4513" s="308"/>
    </row>
    <row r="4514" spans="2:6">
      <c r="B4514" s="308"/>
      <c r="C4514" s="86"/>
      <c r="D4514" s="86"/>
      <c r="E4514" s="86"/>
      <c r="F4514" s="308"/>
    </row>
    <row r="4515" spans="2:6">
      <c r="B4515" s="308"/>
      <c r="C4515" s="86"/>
      <c r="D4515" s="86"/>
      <c r="E4515" s="86"/>
      <c r="F4515" s="308"/>
    </row>
    <row r="4516" spans="2:6">
      <c r="B4516" s="308"/>
      <c r="C4516" s="86"/>
      <c r="D4516" s="86"/>
      <c r="E4516" s="86"/>
      <c r="F4516" s="308"/>
    </row>
    <row r="4517" spans="2:6">
      <c r="B4517" s="308"/>
      <c r="C4517" s="86"/>
      <c r="D4517" s="86"/>
      <c r="E4517" s="86"/>
      <c r="F4517" s="308"/>
    </row>
    <row r="4518" spans="2:6">
      <c r="B4518" s="308"/>
      <c r="C4518" s="86"/>
      <c r="D4518" s="86"/>
      <c r="E4518" s="86"/>
      <c r="F4518" s="308"/>
    </row>
    <row r="4519" spans="2:6">
      <c r="B4519" s="308"/>
      <c r="C4519" s="86"/>
      <c r="D4519" s="86"/>
      <c r="E4519" s="86"/>
      <c r="F4519" s="308"/>
    </row>
    <row r="4520" spans="2:6">
      <c r="B4520" s="308"/>
      <c r="C4520" s="86"/>
      <c r="D4520" s="86"/>
      <c r="E4520" s="86"/>
      <c r="F4520" s="308"/>
    </row>
    <row r="4521" spans="2:6">
      <c r="B4521" s="308"/>
      <c r="C4521" s="86"/>
      <c r="D4521" s="86"/>
      <c r="E4521" s="86"/>
      <c r="F4521" s="308"/>
    </row>
    <row r="4522" spans="2:6">
      <c r="B4522" s="308"/>
      <c r="C4522" s="86"/>
      <c r="D4522" s="86"/>
      <c r="E4522" s="86"/>
      <c r="F4522" s="308"/>
    </row>
    <row r="4523" spans="2:6">
      <c r="B4523" s="308"/>
      <c r="C4523" s="86"/>
      <c r="D4523" s="86"/>
      <c r="E4523" s="86"/>
      <c r="F4523" s="308"/>
    </row>
    <row r="4524" spans="2:6">
      <c r="B4524" s="308"/>
      <c r="C4524" s="86"/>
      <c r="D4524" s="86"/>
      <c r="E4524" s="86"/>
      <c r="F4524" s="308"/>
    </row>
    <row r="4525" spans="2:6">
      <c r="B4525" s="308"/>
      <c r="C4525" s="86"/>
      <c r="D4525" s="86"/>
      <c r="E4525" s="86"/>
      <c r="F4525" s="308"/>
    </row>
    <row r="4526" spans="2:6">
      <c r="B4526" s="308"/>
      <c r="C4526" s="86"/>
      <c r="D4526" s="86"/>
      <c r="E4526" s="86"/>
      <c r="F4526" s="308"/>
    </row>
    <row r="4527" spans="2:6">
      <c r="B4527" s="308"/>
      <c r="C4527" s="86"/>
      <c r="D4527" s="86"/>
      <c r="E4527" s="86"/>
      <c r="F4527" s="308"/>
    </row>
    <row r="4528" spans="2:6">
      <c r="B4528" s="308"/>
      <c r="C4528" s="86"/>
      <c r="D4528" s="86"/>
      <c r="E4528" s="86"/>
      <c r="F4528" s="308"/>
    </row>
    <row r="4529" spans="2:6">
      <c r="B4529" s="308"/>
      <c r="C4529" s="86"/>
      <c r="D4529" s="86"/>
      <c r="E4529" s="86"/>
      <c r="F4529" s="308"/>
    </row>
    <row r="4530" spans="2:6">
      <c r="B4530" s="308"/>
      <c r="C4530" s="86"/>
      <c r="D4530" s="86"/>
      <c r="E4530" s="86"/>
      <c r="F4530" s="308"/>
    </row>
    <row r="4531" spans="2:6">
      <c r="B4531" s="308"/>
      <c r="C4531" s="86"/>
      <c r="D4531" s="86"/>
      <c r="E4531" s="86"/>
      <c r="F4531" s="308"/>
    </row>
    <row r="4532" spans="2:6">
      <c r="B4532" s="308"/>
      <c r="C4532" s="86"/>
      <c r="D4532" s="86"/>
      <c r="E4532" s="86"/>
      <c r="F4532" s="308"/>
    </row>
    <row r="4533" spans="2:6">
      <c r="B4533" s="308"/>
      <c r="C4533" s="86"/>
      <c r="D4533" s="86"/>
      <c r="E4533" s="86"/>
      <c r="F4533" s="308"/>
    </row>
    <row r="4534" spans="2:6">
      <c r="B4534" s="308"/>
      <c r="C4534" s="86"/>
      <c r="D4534" s="86"/>
      <c r="E4534" s="86"/>
      <c r="F4534" s="308"/>
    </row>
    <row r="4535" spans="2:6">
      <c r="B4535" s="308"/>
      <c r="C4535" s="86"/>
      <c r="D4535" s="86"/>
      <c r="E4535" s="86"/>
      <c r="F4535" s="308"/>
    </row>
    <row r="4536" spans="2:6">
      <c r="B4536" s="308"/>
      <c r="C4536" s="86"/>
      <c r="D4536" s="86"/>
      <c r="E4536" s="86"/>
      <c r="F4536" s="308"/>
    </row>
    <row r="4537" spans="2:6">
      <c r="B4537" s="308"/>
      <c r="C4537" s="86"/>
      <c r="D4537" s="86"/>
      <c r="E4537" s="86"/>
      <c r="F4537" s="308"/>
    </row>
    <row r="4538" spans="2:6">
      <c r="B4538" s="308"/>
      <c r="C4538" s="86"/>
      <c r="D4538" s="86"/>
      <c r="E4538" s="86"/>
      <c r="F4538" s="308"/>
    </row>
    <row r="4539" spans="2:6">
      <c r="B4539" s="308"/>
      <c r="C4539" s="86"/>
      <c r="D4539" s="86"/>
      <c r="E4539" s="86"/>
      <c r="F4539" s="308"/>
    </row>
    <row r="4540" spans="2:6">
      <c r="B4540" s="308"/>
      <c r="C4540" s="86"/>
      <c r="D4540" s="86"/>
      <c r="E4540" s="86"/>
      <c r="F4540" s="308"/>
    </row>
    <row r="4541" spans="2:6">
      <c r="B4541" s="308"/>
      <c r="C4541" s="86"/>
      <c r="D4541" s="86"/>
      <c r="E4541" s="86"/>
      <c r="F4541" s="308"/>
    </row>
    <row r="4542" spans="2:6">
      <c r="B4542" s="308"/>
      <c r="C4542" s="86"/>
      <c r="D4542" s="86"/>
      <c r="E4542" s="86"/>
      <c r="F4542" s="308"/>
    </row>
    <row r="4543" spans="2:6">
      <c r="B4543" s="308"/>
      <c r="C4543" s="86"/>
      <c r="D4543" s="86"/>
      <c r="E4543" s="86"/>
      <c r="F4543" s="308"/>
    </row>
    <row r="4544" spans="2:6">
      <c r="B4544" s="308"/>
      <c r="C4544" s="86"/>
      <c r="D4544" s="86"/>
      <c r="E4544" s="86"/>
      <c r="F4544" s="308"/>
    </row>
    <row r="4545" spans="2:6">
      <c r="B4545" s="308"/>
      <c r="C4545" s="86"/>
      <c r="D4545" s="86"/>
      <c r="E4545" s="86"/>
      <c r="F4545" s="308"/>
    </row>
    <row r="4546" spans="2:6">
      <c r="B4546" s="308"/>
      <c r="C4546" s="86"/>
      <c r="D4546" s="86"/>
      <c r="E4546" s="86"/>
      <c r="F4546" s="308"/>
    </row>
    <row r="4547" spans="2:6">
      <c r="B4547" s="308"/>
      <c r="C4547" s="86"/>
      <c r="D4547" s="86"/>
      <c r="E4547" s="86"/>
      <c r="F4547" s="308"/>
    </row>
    <row r="4548" spans="2:6">
      <c r="B4548" s="308"/>
      <c r="C4548" s="86"/>
      <c r="D4548" s="86"/>
      <c r="E4548" s="86"/>
      <c r="F4548" s="308"/>
    </row>
    <row r="4549" spans="2:6">
      <c r="B4549" s="308"/>
      <c r="C4549" s="86"/>
      <c r="D4549" s="86"/>
      <c r="E4549" s="86"/>
      <c r="F4549" s="308"/>
    </row>
    <row r="4550" spans="2:6">
      <c r="B4550" s="308"/>
      <c r="C4550" s="86"/>
      <c r="D4550" s="86"/>
      <c r="E4550" s="86"/>
      <c r="F4550" s="308"/>
    </row>
    <row r="4551" spans="2:6">
      <c r="B4551" s="308"/>
      <c r="C4551" s="86"/>
      <c r="D4551" s="86"/>
      <c r="E4551" s="86"/>
      <c r="F4551" s="308"/>
    </row>
    <row r="4552" spans="2:6">
      <c r="B4552" s="308"/>
      <c r="C4552" s="86"/>
      <c r="D4552" s="86"/>
      <c r="E4552" s="86"/>
      <c r="F4552" s="308"/>
    </row>
    <row r="4553" spans="2:6">
      <c r="B4553" s="308"/>
      <c r="C4553" s="86"/>
      <c r="D4553" s="86"/>
      <c r="E4553" s="86"/>
      <c r="F4553" s="308"/>
    </row>
    <row r="4554" spans="2:6">
      <c r="B4554" s="308"/>
      <c r="C4554" s="86"/>
      <c r="D4554" s="86"/>
      <c r="E4554" s="86"/>
      <c r="F4554" s="308"/>
    </row>
    <row r="4555" spans="2:6">
      <c r="B4555" s="308"/>
      <c r="C4555" s="86"/>
      <c r="D4555" s="86"/>
      <c r="E4555" s="86"/>
      <c r="F4555" s="308"/>
    </row>
    <row r="4556" spans="2:6">
      <c r="B4556" s="308"/>
      <c r="C4556" s="86"/>
      <c r="D4556" s="86"/>
      <c r="E4556" s="86"/>
      <c r="F4556" s="308"/>
    </row>
    <row r="4557" spans="2:6">
      <c r="B4557" s="308"/>
      <c r="C4557" s="86"/>
      <c r="D4557" s="86"/>
      <c r="E4557" s="86"/>
      <c r="F4557" s="308"/>
    </row>
    <row r="4558" spans="2:6">
      <c r="B4558" s="308"/>
      <c r="C4558" s="86"/>
      <c r="D4558" s="86"/>
      <c r="E4558" s="86"/>
      <c r="F4558" s="308"/>
    </row>
    <row r="4559" spans="2:6">
      <c r="B4559" s="308"/>
      <c r="C4559" s="86"/>
      <c r="D4559" s="86"/>
      <c r="E4559" s="86"/>
      <c r="F4559" s="308"/>
    </row>
    <row r="4560" spans="2:6">
      <c r="B4560" s="308"/>
      <c r="C4560" s="86"/>
      <c r="D4560" s="86"/>
      <c r="E4560" s="86"/>
      <c r="F4560" s="308"/>
    </row>
    <row r="4561" spans="2:6">
      <c r="B4561" s="308"/>
      <c r="C4561" s="86"/>
      <c r="D4561" s="86"/>
      <c r="E4561" s="86"/>
      <c r="F4561" s="308"/>
    </row>
    <row r="4562" spans="2:6">
      <c r="B4562" s="308"/>
      <c r="C4562" s="86"/>
      <c r="D4562" s="86"/>
      <c r="E4562" s="86"/>
      <c r="F4562" s="308"/>
    </row>
    <row r="4563" spans="2:6">
      <c r="B4563" s="308"/>
      <c r="C4563" s="86"/>
      <c r="D4563" s="86"/>
      <c r="E4563" s="86"/>
      <c r="F4563" s="308"/>
    </row>
    <row r="4564" spans="2:6">
      <c r="B4564" s="308"/>
      <c r="C4564" s="86"/>
      <c r="D4564" s="86"/>
      <c r="E4564" s="86"/>
      <c r="F4564" s="308"/>
    </row>
    <row r="4565" spans="2:6">
      <c r="B4565" s="308"/>
      <c r="C4565" s="86"/>
      <c r="D4565" s="86"/>
      <c r="E4565" s="86"/>
      <c r="F4565" s="308"/>
    </row>
    <row r="4566" spans="2:6">
      <c r="B4566" s="308"/>
      <c r="C4566" s="86"/>
      <c r="D4566" s="86"/>
      <c r="E4566" s="86"/>
      <c r="F4566" s="308"/>
    </row>
    <row r="4567" spans="2:6">
      <c r="B4567" s="308"/>
      <c r="C4567" s="86"/>
      <c r="D4567" s="86"/>
      <c r="E4567" s="86"/>
      <c r="F4567" s="308"/>
    </row>
    <row r="4568" spans="2:6">
      <c r="B4568" s="308"/>
      <c r="C4568" s="86"/>
      <c r="D4568" s="86"/>
      <c r="E4568" s="86"/>
      <c r="F4568" s="308"/>
    </row>
    <row r="4569" spans="2:6">
      <c r="B4569" s="308"/>
      <c r="C4569" s="86"/>
      <c r="D4569" s="86"/>
      <c r="E4569" s="86"/>
      <c r="F4569" s="308"/>
    </row>
    <row r="4570" spans="2:6">
      <c r="B4570" s="308"/>
      <c r="C4570" s="86"/>
      <c r="D4570" s="86"/>
      <c r="E4570" s="86"/>
      <c r="F4570" s="308"/>
    </row>
    <row r="4571" spans="2:6">
      <c r="B4571" s="308"/>
      <c r="C4571" s="86"/>
      <c r="D4571" s="86"/>
      <c r="E4571" s="86"/>
      <c r="F4571" s="308"/>
    </row>
    <row r="4572" spans="2:6">
      <c r="B4572" s="308"/>
      <c r="C4572" s="86"/>
      <c r="D4572" s="86"/>
      <c r="E4572" s="86"/>
      <c r="F4572" s="308"/>
    </row>
    <row r="4573" spans="2:6">
      <c r="B4573" s="308"/>
      <c r="C4573" s="86"/>
      <c r="D4573" s="86"/>
      <c r="E4573" s="86"/>
      <c r="F4573" s="308"/>
    </row>
    <row r="4574" spans="2:6">
      <c r="B4574" s="308"/>
      <c r="C4574" s="86"/>
      <c r="D4574" s="86"/>
      <c r="E4574" s="86"/>
      <c r="F4574" s="308"/>
    </row>
    <row r="4575" spans="2:6">
      <c r="B4575" s="308"/>
      <c r="C4575" s="86"/>
      <c r="D4575" s="86"/>
      <c r="E4575" s="86"/>
      <c r="F4575" s="308"/>
    </row>
    <row r="4576" spans="2:6">
      <c r="B4576" s="308"/>
      <c r="C4576" s="86"/>
      <c r="D4576" s="86"/>
      <c r="E4576" s="86"/>
      <c r="F4576" s="308"/>
    </row>
    <row r="4577" spans="2:6">
      <c r="B4577" s="308"/>
      <c r="C4577" s="86"/>
      <c r="D4577" s="86"/>
      <c r="E4577" s="86"/>
      <c r="F4577" s="308"/>
    </row>
    <row r="4578" spans="2:6">
      <c r="B4578" s="308"/>
      <c r="C4578" s="86"/>
      <c r="D4578" s="86"/>
      <c r="E4578" s="86"/>
      <c r="F4578" s="308"/>
    </row>
    <row r="4579" spans="2:6">
      <c r="B4579" s="308"/>
      <c r="C4579" s="86"/>
      <c r="D4579" s="86"/>
      <c r="E4579" s="86"/>
      <c r="F4579" s="308"/>
    </row>
    <row r="4580" spans="2:6">
      <c r="B4580" s="308"/>
      <c r="C4580" s="86"/>
      <c r="D4580" s="86"/>
      <c r="E4580" s="86"/>
      <c r="F4580" s="308"/>
    </row>
    <row r="4581" spans="2:6">
      <c r="B4581" s="308"/>
      <c r="C4581" s="86"/>
      <c r="D4581" s="86"/>
      <c r="E4581" s="86"/>
      <c r="F4581" s="308"/>
    </row>
    <row r="4582" spans="2:6">
      <c r="B4582" s="308"/>
      <c r="C4582" s="86"/>
      <c r="D4582" s="86"/>
      <c r="E4582" s="86"/>
      <c r="F4582" s="308"/>
    </row>
    <row r="4583" spans="2:6">
      <c r="B4583" s="308"/>
      <c r="C4583" s="86"/>
      <c r="D4583" s="86"/>
      <c r="E4583" s="86"/>
      <c r="F4583" s="308"/>
    </row>
    <row r="4584" spans="2:6">
      <c r="B4584" s="308"/>
      <c r="C4584" s="86"/>
      <c r="D4584" s="86"/>
      <c r="E4584" s="86"/>
      <c r="F4584" s="308"/>
    </row>
    <row r="4585" spans="2:6">
      <c r="B4585" s="308"/>
      <c r="C4585" s="86"/>
      <c r="D4585" s="86"/>
      <c r="E4585" s="86"/>
      <c r="F4585" s="308"/>
    </row>
    <row r="4586" spans="2:6">
      <c r="B4586" s="308"/>
      <c r="C4586" s="86"/>
      <c r="D4586" s="86"/>
      <c r="E4586" s="86"/>
      <c r="F4586" s="308"/>
    </row>
    <row r="4587" spans="2:6">
      <c r="B4587" s="308"/>
      <c r="C4587" s="86"/>
      <c r="D4587" s="86"/>
      <c r="E4587" s="86"/>
      <c r="F4587" s="308"/>
    </row>
    <row r="4588" spans="2:6">
      <c r="B4588" s="308"/>
      <c r="C4588" s="86"/>
      <c r="D4588" s="86"/>
      <c r="E4588" s="86"/>
      <c r="F4588" s="308"/>
    </row>
    <row r="4589" spans="2:6">
      <c r="B4589" s="308"/>
      <c r="C4589" s="86"/>
      <c r="D4589" s="86"/>
      <c r="E4589" s="86"/>
      <c r="F4589" s="308"/>
    </row>
    <row r="4590" spans="2:6">
      <c r="B4590" s="308"/>
      <c r="C4590" s="86"/>
      <c r="D4590" s="86"/>
      <c r="E4590" s="86"/>
      <c r="F4590" s="308"/>
    </row>
    <row r="4591" spans="2:6">
      <c r="B4591" s="308"/>
      <c r="C4591" s="86"/>
      <c r="D4591" s="86"/>
      <c r="E4591" s="86"/>
      <c r="F4591" s="308"/>
    </row>
    <row r="4592" spans="2:6">
      <c r="B4592" s="308"/>
      <c r="C4592" s="86"/>
      <c r="D4592" s="86"/>
      <c r="E4592" s="86"/>
      <c r="F4592" s="308"/>
    </row>
    <row r="4593" spans="2:6">
      <c r="B4593" s="308"/>
      <c r="C4593" s="86"/>
      <c r="D4593" s="86"/>
      <c r="E4593" s="86"/>
      <c r="F4593" s="308"/>
    </row>
    <row r="4594" spans="2:6">
      <c r="B4594" s="308"/>
      <c r="C4594" s="86"/>
      <c r="D4594" s="86"/>
      <c r="E4594" s="86"/>
      <c r="F4594" s="308"/>
    </row>
    <row r="4595" spans="2:6">
      <c r="B4595" s="308"/>
      <c r="C4595" s="86"/>
      <c r="D4595" s="86"/>
      <c r="E4595" s="86"/>
      <c r="F4595" s="308"/>
    </row>
    <row r="4596" spans="2:6">
      <c r="B4596" s="308"/>
      <c r="C4596" s="86"/>
      <c r="D4596" s="86"/>
      <c r="E4596" s="86"/>
      <c r="F4596" s="308"/>
    </row>
    <row r="4597" spans="2:6">
      <c r="B4597" s="308"/>
      <c r="C4597" s="86"/>
      <c r="D4597" s="86"/>
      <c r="E4597" s="86"/>
      <c r="F4597" s="308"/>
    </row>
    <row r="4598" spans="2:6">
      <c r="B4598" s="308"/>
      <c r="C4598" s="86"/>
      <c r="D4598" s="86"/>
      <c r="E4598" s="86"/>
      <c r="F4598" s="308"/>
    </row>
    <row r="4599" spans="2:6">
      <c r="B4599" s="308"/>
      <c r="C4599" s="86"/>
      <c r="D4599" s="86"/>
      <c r="E4599" s="86"/>
      <c r="F4599" s="308"/>
    </row>
    <row r="4600" spans="2:6">
      <c r="B4600" s="308"/>
      <c r="C4600" s="86"/>
      <c r="D4600" s="86"/>
      <c r="E4600" s="86"/>
      <c r="F4600" s="308"/>
    </row>
    <row r="4601" spans="2:6">
      <c r="B4601" s="308"/>
      <c r="C4601" s="86"/>
      <c r="D4601" s="86"/>
      <c r="E4601" s="86"/>
      <c r="F4601" s="308"/>
    </row>
    <row r="4602" spans="2:6">
      <c r="B4602" s="308"/>
      <c r="C4602" s="86"/>
      <c r="D4602" s="86"/>
      <c r="E4602" s="86"/>
      <c r="F4602" s="308"/>
    </row>
    <row r="4603" spans="2:6">
      <c r="B4603" s="308"/>
      <c r="C4603" s="86"/>
      <c r="D4603" s="86"/>
      <c r="E4603" s="86"/>
      <c r="F4603" s="308"/>
    </row>
    <row r="4604" spans="2:6">
      <c r="B4604" s="308"/>
      <c r="C4604" s="86"/>
      <c r="D4604" s="86"/>
      <c r="E4604" s="86"/>
      <c r="F4604" s="308"/>
    </row>
    <row r="4605" spans="2:6">
      <c r="B4605" s="308"/>
      <c r="C4605" s="86"/>
      <c r="D4605" s="86"/>
      <c r="E4605" s="86"/>
      <c r="F4605" s="308"/>
    </row>
    <row r="4606" spans="2:6">
      <c r="B4606" s="308"/>
      <c r="C4606" s="86"/>
      <c r="D4606" s="86"/>
      <c r="E4606" s="86"/>
      <c r="F4606" s="308"/>
    </row>
    <row r="4607" spans="2:6">
      <c r="B4607" s="308"/>
      <c r="C4607" s="86"/>
      <c r="D4607" s="86"/>
      <c r="E4607" s="86"/>
      <c r="F4607" s="308"/>
    </row>
    <row r="4608" spans="2:6">
      <c r="B4608" s="308"/>
      <c r="C4608" s="86"/>
      <c r="D4608" s="86"/>
      <c r="E4608" s="86"/>
      <c r="F4608" s="308"/>
    </row>
    <row r="4609" spans="2:6">
      <c r="B4609" s="308"/>
      <c r="C4609" s="86"/>
      <c r="D4609" s="86"/>
      <c r="E4609" s="86"/>
      <c r="F4609" s="308"/>
    </row>
    <row r="4610" spans="2:6">
      <c r="B4610" s="308"/>
      <c r="C4610" s="86"/>
      <c r="D4610" s="86"/>
      <c r="E4610" s="86"/>
      <c r="F4610" s="308"/>
    </row>
    <row r="4611" spans="2:6">
      <c r="B4611" s="308"/>
      <c r="C4611" s="86"/>
      <c r="D4611" s="86"/>
      <c r="E4611" s="86"/>
      <c r="F4611" s="308"/>
    </row>
    <row r="4612" spans="2:6">
      <c r="B4612" s="308"/>
      <c r="C4612" s="86"/>
      <c r="D4612" s="86"/>
      <c r="E4612" s="86"/>
      <c r="F4612" s="308"/>
    </row>
    <row r="4613" spans="2:6">
      <c r="B4613" s="308"/>
      <c r="C4613" s="86"/>
      <c r="D4613" s="86"/>
      <c r="E4613" s="86"/>
      <c r="F4613" s="308"/>
    </row>
    <row r="4614" spans="2:6">
      <c r="B4614" s="308"/>
      <c r="C4614" s="86"/>
      <c r="D4614" s="86"/>
      <c r="E4614" s="86"/>
      <c r="F4614" s="308"/>
    </row>
    <row r="4615" spans="2:6">
      <c r="B4615" s="308"/>
      <c r="C4615" s="86"/>
      <c r="D4615" s="86"/>
      <c r="E4615" s="86"/>
      <c r="F4615" s="308"/>
    </row>
    <row r="4616" spans="2:6">
      <c r="B4616" s="308"/>
      <c r="C4616" s="86"/>
      <c r="D4616" s="86"/>
      <c r="E4616" s="86"/>
      <c r="F4616" s="308"/>
    </row>
    <row r="4617" spans="2:6">
      <c r="B4617" s="308"/>
      <c r="C4617" s="86"/>
      <c r="D4617" s="86"/>
      <c r="E4617" s="86"/>
      <c r="F4617" s="308"/>
    </row>
    <row r="4618" spans="2:6">
      <c r="B4618" s="308"/>
      <c r="C4618" s="86"/>
      <c r="D4618" s="86"/>
      <c r="E4618" s="86"/>
      <c r="F4618" s="308"/>
    </row>
    <row r="4619" spans="2:6">
      <c r="B4619" s="308"/>
      <c r="C4619" s="86"/>
      <c r="D4619" s="86"/>
      <c r="E4619" s="86"/>
      <c r="F4619" s="308"/>
    </row>
    <row r="4620" spans="2:6">
      <c r="B4620" s="308"/>
      <c r="C4620" s="86"/>
      <c r="D4620" s="86"/>
      <c r="E4620" s="86"/>
      <c r="F4620" s="308"/>
    </row>
    <row r="4621" spans="2:6">
      <c r="B4621" s="308"/>
      <c r="C4621" s="86"/>
      <c r="D4621" s="86"/>
      <c r="E4621" s="86"/>
      <c r="F4621" s="308"/>
    </row>
    <row r="4622" spans="2:6">
      <c r="B4622" s="308"/>
      <c r="C4622" s="86"/>
      <c r="D4622" s="86"/>
      <c r="E4622" s="86"/>
      <c r="F4622" s="308"/>
    </row>
    <row r="4623" spans="2:6">
      <c r="B4623" s="308"/>
      <c r="C4623" s="86"/>
      <c r="D4623" s="86"/>
      <c r="E4623" s="86"/>
      <c r="F4623" s="308"/>
    </row>
    <row r="4624" spans="2:6">
      <c r="B4624" s="308"/>
      <c r="C4624" s="86"/>
      <c r="D4624" s="86"/>
      <c r="E4624" s="86"/>
      <c r="F4624" s="308"/>
    </row>
    <row r="4625" spans="2:6">
      <c r="B4625" s="308"/>
      <c r="C4625" s="86"/>
      <c r="D4625" s="86"/>
      <c r="E4625" s="86"/>
      <c r="F4625" s="308"/>
    </row>
    <row r="4626" spans="2:6">
      <c r="B4626" s="308"/>
      <c r="C4626" s="86"/>
      <c r="D4626" s="86"/>
      <c r="E4626" s="86"/>
      <c r="F4626" s="308"/>
    </row>
    <row r="4627" spans="2:6">
      <c r="B4627" s="308"/>
      <c r="C4627" s="86"/>
      <c r="D4627" s="86"/>
      <c r="E4627" s="86"/>
      <c r="F4627" s="308"/>
    </row>
    <row r="4628" spans="2:6">
      <c r="B4628" s="308"/>
      <c r="C4628" s="86"/>
      <c r="D4628" s="86"/>
      <c r="E4628" s="86"/>
      <c r="F4628" s="308"/>
    </row>
    <row r="4629" spans="2:6">
      <c r="B4629" s="308"/>
      <c r="C4629" s="86"/>
      <c r="D4629" s="86"/>
      <c r="E4629" s="86"/>
      <c r="F4629" s="308"/>
    </row>
    <row r="4630" spans="2:6">
      <c r="B4630" s="308"/>
      <c r="C4630" s="86"/>
      <c r="D4630" s="86"/>
      <c r="E4630" s="86"/>
      <c r="F4630" s="308"/>
    </row>
    <row r="4631" spans="2:6">
      <c r="B4631" s="308"/>
      <c r="C4631" s="86"/>
      <c r="D4631" s="86"/>
      <c r="E4631" s="86"/>
      <c r="F4631" s="308"/>
    </row>
    <row r="4632" spans="2:6">
      <c r="B4632" s="308"/>
      <c r="C4632" s="86"/>
      <c r="D4632" s="86"/>
      <c r="E4632" s="86"/>
      <c r="F4632" s="308"/>
    </row>
    <row r="4633" spans="2:6">
      <c r="B4633" s="308"/>
      <c r="C4633" s="86"/>
      <c r="D4633" s="86"/>
      <c r="E4633" s="86"/>
      <c r="F4633" s="308"/>
    </row>
    <row r="4634" spans="2:6">
      <c r="B4634" s="308"/>
      <c r="C4634" s="86"/>
      <c r="D4634" s="86"/>
      <c r="E4634" s="86"/>
      <c r="F4634" s="308"/>
    </row>
    <row r="4635" spans="2:6">
      <c r="B4635" s="308"/>
      <c r="C4635" s="86"/>
      <c r="D4635" s="86"/>
      <c r="E4635" s="86"/>
      <c r="F4635" s="308"/>
    </row>
    <row r="4636" spans="2:6">
      <c r="B4636" s="308"/>
      <c r="C4636" s="86"/>
      <c r="D4636" s="86"/>
      <c r="E4636" s="86"/>
      <c r="F4636" s="308"/>
    </row>
    <row r="4637" spans="2:6">
      <c r="B4637" s="308"/>
      <c r="C4637" s="86"/>
      <c r="D4637" s="86"/>
      <c r="E4637" s="86"/>
      <c r="F4637" s="308"/>
    </row>
    <row r="4638" spans="2:6">
      <c r="B4638" s="308"/>
      <c r="C4638" s="86"/>
      <c r="D4638" s="86"/>
      <c r="E4638" s="86"/>
      <c r="F4638" s="308"/>
    </row>
    <row r="4639" spans="2:6">
      <c r="B4639" s="308"/>
      <c r="C4639" s="86"/>
      <c r="D4639" s="86"/>
      <c r="E4639" s="86"/>
      <c r="F4639" s="308"/>
    </row>
    <row r="4640" spans="2:6">
      <c r="B4640" s="308"/>
      <c r="C4640" s="86"/>
      <c r="D4640" s="86"/>
      <c r="E4640" s="86"/>
      <c r="F4640" s="308"/>
    </row>
    <row r="4641" spans="2:6">
      <c r="B4641" s="308"/>
      <c r="C4641" s="86"/>
      <c r="D4641" s="86"/>
      <c r="E4641" s="86"/>
      <c r="F4641" s="308"/>
    </row>
    <row r="4642" spans="2:6">
      <c r="B4642" s="308"/>
      <c r="C4642" s="86"/>
      <c r="D4642" s="86"/>
      <c r="E4642" s="86"/>
      <c r="F4642" s="308"/>
    </row>
    <row r="4643" spans="2:6">
      <c r="B4643" s="308"/>
      <c r="C4643" s="86"/>
      <c r="D4643" s="86"/>
      <c r="E4643" s="86"/>
      <c r="F4643" s="308"/>
    </row>
    <row r="4644" spans="2:6">
      <c r="B4644" s="308"/>
      <c r="C4644" s="86"/>
      <c r="D4644" s="86"/>
      <c r="E4644" s="86"/>
      <c r="F4644" s="308"/>
    </row>
    <row r="4645" spans="2:6">
      <c r="B4645" s="308"/>
      <c r="C4645" s="86"/>
      <c r="D4645" s="86"/>
      <c r="E4645" s="86"/>
      <c r="F4645" s="308"/>
    </row>
    <row r="4646" spans="2:6">
      <c r="B4646" s="308"/>
      <c r="C4646" s="86"/>
      <c r="D4646" s="86"/>
      <c r="E4646" s="86"/>
      <c r="F4646" s="308"/>
    </row>
    <row r="4647" spans="2:6">
      <c r="B4647" s="308"/>
      <c r="C4647" s="86"/>
      <c r="D4647" s="86"/>
      <c r="E4647" s="86"/>
      <c r="F4647" s="308"/>
    </row>
    <row r="4648" spans="2:6">
      <c r="B4648" s="308"/>
      <c r="C4648" s="86"/>
      <c r="D4648" s="86"/>
      <c r="E4648" s="86"/>
      <c r="F4648" s="308"/>
    </row>
    <row r="4649" spans="2:6">
      <c r="B4649" s="308"/>
      <c r="C4649" s="86"/>
      <c r="D4649" s="86"/>
      <c r="E4649" s="86"/>
      <c r="F4649" s="308"/>
    </row>
    <row r="4650" spans="2:6">
      <c r="B4650" s="308"/>
      <c r="C4650" s="86"/>
      <c r="D4650" s="86"/>
      <c r="E4650" s="86"/>
      <c r="F4650" s="308"/>
    </row>
    <row r="4651" spans="2:6">
      <c r="B4651" s="308"/>
      <c r="C4651" s="86"/>
      <c r="D4651" s="86"/>
      <c r="E4651" s="86"/>
      <c r="F4651" s="308"/>
    </row>
    <row r="4652" spans="2:6">
      <c r="B4652" s="308"/>
      <c r="C4652" s="86"/>
      <c r="D4652" s="86"/>
      <c r="E4652" s="86"/>
      <c r="F4652" s="308"/>
    </row>
    <row r="4653" spans="2:6">
      <c r="B4653" s="308"/>
      <c r="C4653" s="86"/>
      <c r="D4653" s="86"/>
      <c r="E4653" s="86"/>
      <c r="F4653" s="308"/>
    </row>
    <row r="4654" spans="2:6">
      <c r="B4654" s="308"/>
      <c r="C4654" s="86"/>
      <c r="D4654" s="86"/>
      <c r="E4654" s="86"/>
      <c r="F4654" s="308"/>
    </row>
    <row r="4655" spans="2:6">
      <c r="B4655" s="308"/>
      <c r="C4655" s="86"/>
      <c r="D4655" s="86"/>
      <c r="E4655" s="86"/>
      <c r="F4655" s="308"/>
    </row>
    <row r="4656" spans="2:6">
      <c r="B4656" s="308"/>
      <c r="C4656" s="86"/>
      <c r="D4656" s="86"/>
      <c r="E4656" s="86"/>
      <c r="F4656" s="308"/>
    </row>
    <row r="4657" spans="2:6">
      <c r="B4657" s="308"/>
      <c r="C4657" s="86"/>
      <c r="D4657" s="86"/>
      <c r="E4657" s="86"/>
      <c r="F4657" s="308"/>
    </row>
    <row r="4658" spans="2:6">
      <c r="B4658" s="308"/>
      <c r="C4658" s="86"/>
      <c r="D4658" s="86"/>
      <c r="E4658" s="86"/>
      <c r="F4658" s="308"/>
    </row>
    <row r="4659" spans="2:6">
      <c r="B4659" s="308"/>
      <c r="C4659" s="86"/>
      <c r="D4659" s="86"/>
      <c r="E4659" s="86"/>
      <c r="F4659" s="308"/>
    </row>
    <row r="4660" spans="2:6">
      <c r="B4660" s="308"/>
      <c r="C4660" s="86"/>
      <c r="D4660" s="86"/>
      <c r="E4660" s="86"/>
      <c r="F4660" s="308"/>
    </row>
    <row r="4661" spans="2:6">
      <c r="B4661" s="308"/>
      <c r="C4661" s="86"/>
      <c r="D4661" s="86"/>
      <c r="E4661" s="86"/>
      <c r="F4661" s="308"/>
    </row>
    <row r="4662" spans="2:6">
      <c r="B4662" s="308"/>
      <c r="C4662" s="86"/>
      <c r="D4662" s="86"/>
      <c r="E4662" s="86"/>
      <c r="F4662" s="308"/>
    </row>
    <row r="4663" spans="2:6">
      <c r="B4663" s="308"/>
      <c r="C4663" s="86"/>
      <c r="D4663" s="86"/>
      <c r="E4663" s="86"/>
      <c r="F4663" s="308"/>
    </row>
    <row r="4664" spans="2:6">
      <c r="B4664" s="308"/>
      <c r="C4664" s="86"/>
      <c r="D4664" s="86"/>
      <c r="E4664" s="86"/>
      <c r="F4664" s="308"/>
    </row>
    <row r="4665" spans="2:6">
      <c r="B4665" s="308"/>
      <c r="C4665" s="86"/>
      <c r="D4665" s="86"/>
      <c r="E4665" s="86"/>
      <c r="F4665" s="308"/>
    </row>
    <row r="4666" spans="2:6">
      <c r="B4666" s="308"/>
      <c r="C4666" s="86"/>
      <c r="D4666" s="86"/>
      <c r="E4666" s="86"/>
      <c r="F4666" s="308"/>
    </row>
    <row r="4667" spans="2:6">
      <c r="B4667" s="308"/>
      <c r="C4667" s="86"/>
      <c r="D4667" s="86"/>
      <c r="E4667" s="86"/>
      <c r="F4667" s="308"/>
    </row>
    <row r="4668" spans="2:6">
      <c r="B4668" s="308"/>
      <c r="C4668" s="86"/>
      <c r="D4668" s="86"/>
      <c r="E4668" s="86"/>
      <c r="F4668" s="308"/>
    </row>
    <row r="4669" spans="2:6">
      <c r="B4669" s="308"/>
      <c r="C4669" s="86"/>
      <c r="D4669" s="86"/>
      <c r="E4669" s="86"/>
      <c r="F4669" s="308"/>
    </row>
    <row r="4670" spans="2:6">
      <c r="B4670" s="308"/>
      <c r="C4670" s="86"/>
      <c r="D4670" s="86"/>
      <c r="E4670" s="86"/>
      <c r="F4670" s="308"/>
    </row>
    <row r="4671" spans="2:6">
      <c r="B4671" s="308"/>
      <c r="C4671" s="86"/>
      <c r="D4671" s="86"/>
      <c r="E4671" s="86"/>
      <c r="F4671" s="308"/>
    </row>
    <row r="4672" spans="2:6">
      <c r="B4672" s="308"/>
      <c r="C4672" s="86"/>
      <c r="D4672" s="86"/>
      <c r="E4672" s="86"/>
      <c r="F4672" s="308"/>
    </row>
    <row r="4673" spans="2:6">
      <c r="B4673" s="308"/>
      <c r="C4673" s="86"/>
      <c r="D4673" s="86"/>
      <c r="E4673" s="86"/>
      <c r="F4673" s="308"/>
    </row>
    <row r="4674" spans="2:6">
      <c r="B4674" s="308"/>
      <c r="C4674" s="86"/>
      <c r="D4674" s="86"/>
      <c r="E4674" s="86"/>
      <c r="F4674" s="308"/>
    </row>
    <row r="4675" spans="2:6">
      <c r="B4675" s="308"/>
      <c r="C4675" s="86"/>
      <c r="D4675" s="86"/>
      <c r="E4675" s="86"/>
      <c r="F4675" s="308"/>
    </row>
    <row r="4676" spans="2:6">
      <c r="B4676" s="308"/>
      <c r="C4676" s="86"/>
      <c r="D4676" s="86"/>
      <c r="E4676" s="86"/>
      <c r="F4676" s="308"/>
    </row>
    <row r="4677" spans="2:6">
      <c r="B4677" s="308"/>
      <c r="C4677" s="86"/>
      <c r="D4677" s="86"/>
      <c r="E4677" s="86"/>
      <c r="F4677" s="308"/>
    </row>
    <row r="4678" spans="2:6">
      <c r="B4678" s="308"/>
      <c r="C4678" s="86"/>
      <c r="D4678" s="86"/>
      <c r="E4678" s="86"/>
      <c r="F4678" s="308"/>
    </row>
    <row r="4679" spans="2:6">
      <c r="B4679" s="308"/>
      <c r="C4679" s="86"/>
      <c r="D4679" s="86"/>
      <c r="E4679" s="86"/>
      <c r="F4679" s="308"/>
    </row>
    <row r="4680" spans="2:6">
      <c r="B4680" s="308"/>
      <c r="C4680" s="86"/>
      <c r="D4680" s="86"/>
      <c r="E4680" s="86"/>
      <c r="F4680" s="308"/>
    </row>
    <row r="4681" spans="2:6">
      <c r="B4681" s="308"/>
      <c r="C4681" s="86"/>
      <c r="D4681" s="86"/>
      <c r="E4681" s="86"/>
      <c r="F4681" s="308"/>
    </row>
    <row r="4682" spans="2:6">
      <c r="B4682" s="308"/>
      <c r="C4682" s="86"/>
      <c r="D4682" s="86"/>
      <c r="E4682" s="86"/>
      <c r="F4682" s="308"/>
    </row>
    <row r="4683" spans="2:6">
      <c r="B4683" s="308"/>
      <c r="C4683" s="86"/>
      <c r="D4683" s="86"/>
      <c r="E4683" s="86"/>
      <c r="F4683" s="308"/>
    </row>
    <row r="4684" spans="2:6">
      <c r="B4684" s="308"/>
      <c r="C4684" s="86"/>
      <c r="D4684" s="86"/>
      <c r="E4684" s="86"/>
      <c r="F4684" s="308"/>
    </row>
    <row r="4685" spans="2:6">
      <c r="B4685" s="308"/>
      <c r="C4685" s="86"/>
      <c r="D4685" s="86"/>
      <c r="E4685" s="86"/>
      <c r="F4685" s="308"/>
    </row>
    <row r="4686" spans="2:6">
      <c r="B4686" s="308"/>
      <c r="C4686" s="86"/>
      <c r="D4686" s="86"/>
      <c r="E4686" s="86"/>
      <c r="F4686" s="308"/>
    </row>
    <row r="4687" spans="2:6">
      <c r="B4687" s="308"/>
      <c r="C4687" s="86"/>
      <c r="D4687" s="86"/>
      <c r="E4687" s="86"/>
      <c r="F4687" s="308"/>
    </row>
    <row r="4688" spans="2:6">
      <c r="B4688" s="308"/>
      <c r="C4688" s="86"/>
      <c r="D4688" s="86"/>
      <c r="E4688" s="86"/>
      <c r="F4688" s="308"/>
    </row>
    <row r="4689" spans="2:6">
      <c r="B4689" s="308"/>
      <c r="C4689" s="86"/>
      <c r="D4689" s="86"/>
      <c r="E4689" s="86"/>
      <c r="F4689" s="308"/>
    </row>
    <row r="4690" spans="2:6">
      <c r="B4690" s="308"/>
      <c r="C4690" s="86"/>
      <c r="D4690" s="86"/>
      <c r="E4690" s="86"/>
      <c r="F4690" s="308"/>
    </row>
    <row r="4691" spans="2:6">
      <c r="B4691" s="308"/>
      <c r="C4691" s="86"/>
      <c r="D4691" s="86"/>
      <c r="E4691" s="86"/>
      <c r="F4691" s="308"/>
    </row>
    <row r="4692" spans="2:6">
      <c r="B4692" s="308"/>
      <c r="C4692" s="86"/>
      <c r="D4692" s="86"/>
      <c r="E4692" s="86"/>
      <c r="F4692" s="308"/>
    </row>
    <row r="4693" spans="2:6">
      <c r="B4693" s="308"/>
      <c r="C4693" s="86"/>
      <c r="D4693" s="86"/>
      <c r="E4693" s="86"/>
      <c r="F4693" s="308"/>
    </row>
    <row r="4694" spans="2:6">
      <c r="B4694" s="308"/>
      <c r="C4694" s="86"/>
      <c r="D4694" s="86"/>
      <c r="E4694" s="86"/>
      <c r="F4694" s="308"/>
    </row>
    <row r="4695" spans="2:6">
      <c r="B4695" s="308"/>
      <c r="C4695" s="86"/>
      <c r="D4695" s="86"/>
      <c r="E4695" s="86"/>
      <c r="F4695" s="308"/>
    </row>
    <row r="4696" spans="2:6">
      <c r="B4696" s="308"/>
      <c r="C4696" s="86"/>
      <c r="D4696" s="86"/>
      <c r="E4696" s="86"/>
      <c r="F4696" s="308"/>
    </row>
    <row r="4697" spans="2:6">
      <c r="B4697" s="308"/>
      <c r="C4697" s="86"/>
      <c r="D4697" s="86"/>
      <c r="E4697" s="86"/>
      <c r="F4697" s="308"/>
    </row>
    <row r="4698" spans="2:6">
      <c r="B4698" s="308"/>
      <c r="C4698" s="86"/>
      <c r="D4698" s="86"/>
      <c r="E4698" s="86"/>
      <c r="F4698" s="308"/>
    </row>
    <row r="4699" spans="2:6">
      <c r="B4699" s="308"/>
      <c r="C4699" s="86"/>
      <c r="D4699" s="86"/>
      <c r="E4699" s="86"/>
      <c r="F4699" s="308"/>
    </row>
    <row r="4700" spans="2:6">
      <c r="B4700" s="308"/>
      <c r="C4700" s="86"/>
      <c r="D4700" s="86"/>
      <c r="E4700" s="86"/>
      <c r="F4700" s="308"/>
    </row>
    <row r="4701" spans="2:6">
      <c r="B4701" s="308"/>
      <c r="C4701" s="86"/>
      <c r="D4701" s="86"/>
      <c r="E4701" s="86"/>
      <c r="F4701" s="308"/>
    </row>
    <row r="4702" spans="2:6">
      <c r="B4702" s="308"/>
      <c r="C4702" s="86"/>
      <c r="D4702" s="86"/>
      <c r="E4702" s="86"/>
      <c r="F4702" s="308"/>
    </row>
    <row r="4703" spans="2:6">
      <c r="B4703" s="308"/>
      <c r="C4703" s="86"/>
      <c r="D4703" s="86"/>
      <c r="E4703" s="86"/>
      <c r="F4703" s="308"/>
    </row>
    <row r="4704" spans="2:6">
      <c r="B4704" s="308"/>
      <c r="C4704" s="86"/>
      <c r="D4704" s="86"/>
      <c r="E4704" s="86"/>
      <c r="F4704" s="308"/>
    </row>
    <row r="4705" spans="2:6">
      <c r="B4705" s="308"/>
      <c r="C4705" s="86"/>
      <c r="D4705" s="86"/>
      <c r="E4705" s="86"/>
      <c r="F4705" s="308"/>
    </row>
    <row r="4706" spans="2:6">
      <c r="B4706" s="308"/>
      <c r="C4706" s="86"/>
      <c r="D4706" s="86"/>
      <c r="E4706" s="86"/>
      <c r="F4706" s="308"/>
    </row>
    <row r="4707" spans="2:6">
      <c r="B4707" s="308"/>
      <c r="C4707" s="86"/>
      <c r="D4707" s="86"/>
      <c r="E4707" s="86"/>
      <c r="F4707" s="308"/>
    </row>
    <row r="4708" spans="2:6">
      <c r="B4708" s="308"/>
      <c r="C4708" s="86"/>
      <c r="D4708" s="86"/>
      <c r="E4708" s="86"/>
      <c r="F4708" s="308"/>
    </row>
    <row r="4709" spans="2:6">
      <c r="B4709" s="308"/>
      <c r="C4709" s="86"/>
      <c r="D4709" s="86"/>
      <c r="E4709" s="86"/>
      <c r="F4709" s="308"/>
    </row>
    <row r="4710" spans="2:6">
      <c r="B4710" s="308"/>
      <c r="C4710" s="86"/>
      <c r="D4710" s="86"/>
      <c r="E4710" s="86"/>
      <c r="F4710" s="308"/>
    </row>
    <row r="4711" spans="2:6">
      <c r="B4711" s="308"/>
      <c r="C4711" s="86"/>
      <c r="D4711" s="86"/>
      <c r="E4711" s="86"/>
      <c r="F4711" s="308"/>
    </row>
    <row r="4712" spans="2:6">
      <c r="B4712" s="308"/>
      <c r="C4712" s="86"/>
      <c r="D4712" s="86"/>
      <c r="E4712" s="86"/>
      <c r="F4712" s="308"/>
    </row>
    <row r="4713" spans="2:6">
      <c r="B4713" s="308"/>
      <c r="C4713" s="86"/>
      <c r="D4713" s="86"/>
      <c r="E4713" s="86"/>
      <c r="F4713" s="308"/>
    </row>
    <row r="4714" spans="2:6">
      <c r="B4714" s="308"/>
      <c r="C4714" s="86"/>
      <c r="D4714" s="86"/>
      <c r="E4714" s="86"/>
      <c r="F4714" s="308"/>
    </row>
    <row r="4715" spans="2:6">
      <c r="B4715" s="308"/>
      <c r="C4715" s="86"/>
      <c r="D4715" s="86"/>
      <c r="E4715" s="86"/>
      <c r="F4715" s="308"/>
    </row>
    <row r="4716" spans="2:6">
      <c r="B4716" s="308"/>
      <c r="C4716" s="86"/>
      <c r="D4716" s="86"/>
      <c r="E4716" s="86"/>
      <c r="F4716" s="308"/>
    </row>
    <row r="4717" spans="2:6">
      <c r="B4717" s="308"/>
      <c r="C4717" s="86"/>
      <c r="D4717" s="86"/>
      <c r="E4717" s="86"/>
      <c r="F4717" s="308"/>
    </row>
    <row r="4718" spans="2:6">
      <c r="B4718" s="308"/>
      <c r="C4718" s="86"/>
      <c r="D4718" s="86"/>
      <c r="E4718" s="86"/>
      <c r="F4718" s="308"/>
    </row>
    <row r="4719" spans="2:6">
      <c r="B4719" s="308"/>
      <c r="C4719" s="86"/>
      <c r="D4719" s="86"/>
      <c r="E4719" s="86"/>
      <c r="F4719" s="308"/>
    </row>
    <row r="4720" spans="2:6">
      <c r="B4720" s="308"/>
      <c r="C4720" s="86"/>
      <c r="D4720" s="86"/>
      <c r="E4720" s="86"/>
      <c r="F4720" s="308"/>
    </row>
    <row r="4721" spans="2:6">
      <c r="B4721" s="308"/>
      <c r="C4721" s="86"/>
      <c r="D4721" s="86"/>
      <c r="E4721" s="86"/>
      <c r="F4721" s="308"/>
    </row>
    <row r="4722" spans="2:6">
      <c r="B4722" s="308"/>
      <c r="C4722" s="86"/>
      <c r="D4722" s="86"/>
      <c r="E4722" s="86"/>
      <c r="F4722" s="308"/>
    </row>
    <row r="4723" spans="2:6">
      <c r="B4723" s="308"/>
      <c r="C4723" s="86"/>
      <c r="D4723" s="86"/>
      <c r="E4723" s="86"/>
      <c r="F4723" s="308"/>
    </row>
    <row r="4724" spans="2:6">
      <c r="B4724" s="308"/>
      <c r="C4724" s="86"/>
      <c r="D4724" s="86"/>
      <c r="E4724" s="86"/>
      <c r="F4724" s="308"/>
    </row>
    <row r="4725" spans="2:6">
      <c r="B4725" s="308"/>
      <c r="C4725" s="86"/>
      <c r="D4725" s="86"/>
      <c r="E4725" s="86"/>
      <c r="F4725" s="308"/>
    </row>
    <row r="4726" spans="2:6">
      <c r="B4726" s="308"/>
      <c r="C4726" s="86"/>
      <c r="D4726" s="86"/>
      <c r="E4726" s="86"/>
      <c r="F4726" s="308"/>
    </row>
    <row r="4727" spans="2:6">
      <c r="B4727" s="308"/>
      <c r="C4727" s="86"/>
      <c r="D4727" s="86"/>
      <c r="E4727" s="86"/>
      <c r="F4727" s="308"/>
    </row>
    <row r="4728" spans="2:6">
      <c r="B4728" s="308"/>
      <c r="C4728" s="86"/>
      <c r="D4728" s="86"/>
      <c r="E4728" s="86"/>
      <c r="F4728" s="308"/>
    </row>
    <row r="4729" spans="2:6">
      <c r="B4729" s="308"/>
      <c r="C4729" s="86"/>
      <c r="D4729" s="86"/>
      <c r="E4729" s="86"/>
      <c r="F4729" s="308"/>
    </row>
    <row r="4730" spans="2:6">
      <c r="B4730" s="308"/>
      <c r="C4730" s="86"/>
      <c r="D4730" s="86"/>
      <c r="E4730" s="86"/>
      <c r="F4730" s="308"/>
    </row>
    <row r="4731" spans="2:6">
      <c r="B4731" s="308"/>
      <c r="C4731" s="86"/>
      <c r="D4731" s="86"/>
      <c r="E4731" s="86"/>
      <c r="F4731" s="308"/>
    </row>
    <row r="4732" spans="2:6">
      <c r="B4732" s="308"/>
      <c r="C4732" s="86"/>
      <c r="D4732" s="86"/>
      <c r="E4732" s="86"/>
      <c r="F4732" s="308"/>
    </row>
    <row r="4733" spans="2:6">
      <c r="B4733" s="308"/>
      <c r="C4733" s="86"/>
      <c r="D4733" s="86"/>
      <c r="E4733" s="86"/>
      <c r="F4733" s="308"/>
    </row>
    <row r="4734" spans="2:6">
      <c r="B4734" s="308"/>
      <c r="C4734" s="86"/>
      <c r="D4734" s="86"/>
      <c r="E4734" s="86"/>
      <c r="F4734" s="308"/>
    </row>
    <row r="4735" spans="2:6">
      <c r="B4735" s="308"/>
      <c r="C4735" s="86"/>
      <c r="D4735" s="86"/>
      <c r="E4735" s="86"/>
      <c r="F4735" s="308"/>
    </row>
    <row r="4736" spans="2:6">
      <c r="B4736" s="308"/>
      <c r="C4736" s="86"/>
      <c r="D4736" s="86"/>
      <c r="E4736" s="86"/>
      <c r="F4736" s="308"/>
    </row>
    <row r="4737" spans="2:6">
      <c r="B4737" s="308"/>
      <c r="C4737" s="86"/>
      <c r="D4737" s="86"/>
      <c r="E4737" s="86"/>
      <c r="F4737" s="308"/>
    </row>
    <row r="4738" spans="2:6">
      <c r="B4738" s="308"/>
      <c r="C4738" s="86"/>
      <c r="D4738" s="86"/>
      <c r="E4738" s="86"/>
      <c r="F4738" s="308"/>
    </row>
    <row r="4739" spans="2:6">
      <c r="B4739" s="308"/>
      <c r="C4739" s="86"/>
      <c r="D4739" s="86"/>
      <c r="E4739" s="86"/>
      <c r="F4739" s="308"/>
    </row>
    <row r="4740" spans="2:6">
      <c r="B4740" s="308"/>
      <c r="C4740" s="86"/>
      <c r="D4740" s="86"/>
      <c r="E4740" s="86"/>
      <c r="F4740" s="308"/>
    </row>
    <row r="4741" spans="2:6">
      <c r="B4741" s="308"/>
      <c r="C4741" s="86"/>
      <c r="D4741" s="86"/>
      <c r="E4741" s="86"/>
      <c r="F4741" s="308"/>
    </row>
    <row r="4742" spans="2:6">
      <c r="B4742" s="308"/>
      <c r="C4742" s="86"/>
      <c r="D4742" s="86"/>
      <c r="E4742" s="86"/>
      <c r="F4742" s="308"/>
    </row>
    <row r="4743" spans="2:6">
      <c r="B4743" s="308"/>
      <c r="C4743" s="86"/>
      <c r="D4743" s="86"/>
      <c r="E4743" s="86"/>
      <c r="F4743" s="308"/>
    </row>
    <row r="4744" spans="2:6">
      <c r="B4744" s="308"/>
      <c r="C4744" s="86"/>
      <c r="D4744" s="86"/>
      <c r="E4744" s="86"/>
      <c r="F4744" s="308"/>
    </row>
    <row r="4745" spans="2:6">
      <c r="B4745" s="308"/>
      <c r="C4745" s="86"/>
      <c r="D4745" s="86"/>
      <c r="E4745" s="86"/>
      <c r="F4745" s="308"/>
    </row>
    <row r="4746" spans="2:6">
      <c r="B4746" s="308"/>
      <c r="C4746" s="86"/>
      <c r="D4746" s="86"/>
      <c r="E4746" s="86"/>
      <c r="F4746" s="308"/>
    </row>
    <row r="4747" spans="2:6">
      <c r="B4747" s="308"/>
      <c r="C4747" s="86"/>
      <c r="D4747" s="86"/>
      <c r="E4747" s="86"/>
      <c r="F4747" s="308"/>
    </row>
    <row r="4748" spans="2:6">
      <c r="B4748" s="308"/>
      <c r="C4748" s="86"/>
      <c r="D4748" s="86"/>
      <c r="E4748" s="86"/>
      <c r="F4748" s="308"/>
    </row>
    <row r="4749" spans="2:6">
      <c r="B4749" s="308"/>
      <c r="C4749" s="86"/>
      <c r="D4749" s="86"/>
      <c r="E4749" s="86"/>
      <c r="F4749" s="308"/>
    </row>
    <row r="4750" spans="2:6">
      <c r="B4750" s="308"/>
      <c r="C4750" s="86"/>
      <c r="D4750" s="86"/>
      <c r="E4750" s="86"/>
      <c r="F4750" s="308"/>
    </row>
    <row r="4751" spans="2:6">
      <c r="B4751" s="308"/>
      <c r="C4751" s="86"/>
      <c r="D4751" s="86"/>
      <c r="E4751" s="86"/>
      <c r="F4751" s="308"/>
    </row>
    <row r="4752" spans="2:6">
      <c r="B4752" s="308"/>
      <c r="C4752" s="86"/>
      <c r="D4752" s="86"/>
      <c r="E4752" s="86"/>
      <c r="F4752" s="308"/>
    </row>
    <row r="4753" spans="2:6">
      <c r="B4753" s="308"/>
      <c r="C4753" s="86"/>
      <c r="D4753" s="86"/>
      <c r="E4753" s="86"/>
      <c r="F4753" s="308"/>
    </row>
    <row r="4754" spans="2:6">
      <c r="B4754" s="308"/>
      <c r="C4754" s="86"/>
      <c r="D4754" s="86"/>
      <c r="E4754" s="86"/>
      <c r="F4754" s="308"/>
    </row>
    <row r="4755" spans="2:6">
      <c r="B4755" s="308"/>
      <c r="C4755" s="86"/>
      <c r="D4755" s="86"/>
      <c r="E4755" s="86"/>
      <c r="F4755" s="308"/>
    </row>
    <row r="4756" spans="2:6">
      <c r="B4756" s="308"/>
      <c r="C4756" s="86"/>
      <c r="D4756" s="86"/>
      <c r="E4756" s="86"/>
      <c r="F4756" s="308"/>
    </row>
    <row r="4757" spans="2:6">
      <c r="B4757" s="308"/>
      <c r="C4757" s="86"/>
      <c r="D4757" s="86"/>
      <c r="E4757" s="86"/>
      <c r="F4757" s="308"/>
    </row>
    <row r="4758" spans="2:6">
      <c r="B4758" s="308"/>
      <c r="C4758" s="86"/>
      <c r="D4758" s="86"/>
      <c r="E4758" s="86"/>
      <c r="F4758" s="308"/>
    </row>
    <row r="4759" spans="2:6">
      <c r="B4759" s="308"/>
      <c r="C4759" s="86"/>
      <c r="D4759" s="86"/>
      <c r="E4759" s="86"/>
      <c r="F4759" s="308"/>
    </row>
    <row r="4760" spans="2:6">
      <c r="B4760" s="308"/>
      <c r="C4760" s="86"/>
      <c r="D4760" s="86"/>
      <c r="E4760" s="86"/>
      <c r="F4760" s="308"/>
    </row>
    <row r="4761" spans="2:6">
      <c r="B4761" s="308"/>
      <c r="C4761" s="86"/>
      <c r="D4761" s="86"/>
      <c r="E4761" s="86"/>
      <c r="F4761" s="308"/>
    </row>
    <row r="4762" spans="2:6">
      <c r="B4762" s="308"/>
      <c r="C4762" s="86"/>
      <c r="D4762" s="86"/>
      <c r="E4762" s="86"/>
      <c r="F4762" s="308"/>
    </row>
    <row r="4763" spans="2:6">
      <c r="B4763" s="308"/>
      <c r="C4763" s="86"/>
      <c r="D4763" s="86"/>
      <c r="E4763" s="86"/>
      <c r="F4763" s="308"/>
    </row>
    <row r="4764" spans="2:6">
      <c r="B4764" s="308"/>
      <c r="C4764" s="86"/>
      <c r="D4764" s="86"/>
      <c r="E4764" s="86"/>
      <c r="F4764" s="308"/>
    </row>
    <row r="4765" spans="2:6">
      <c r="B4765" s="308"/>
      <c r="C4765" s="86"/>
      <c r="D4765" s="86"/>
      <c r="E4765" s="86"/>
      <c r="F4765" s="308"/>
    </row>
    <row r="4766" spans="2:6">
      <c r="B4766" s="308"/>
      <c r="C4766" s="86"/>
      <c r="D4766" s="86"/>
      <c r="E4766" s="86"/>
      <c r="F4766" s="308"/>
    </row>
    <row r="4767" spans="2:6">
      <c r="B4767" s="308"/>
      <c r="C4767" s="86"/>
      <c r="D4767" s="86"/>
      <c r="E4767" s="86"/>
      <c r="F4767" s="308"/>
    </row>
    <row r="4768" spans="2:6">
      <c r="B4768" s="308"/>
      <c r="C4768" s="86"/>
      <c r="D4768" s="86"/>
      <c r="E4768" s="86"/>
      <c r="F4768" s="308"/>
    </row>
    <row r="4769" spans="2:6">
      <c r="B4769" s="308"/>
      <c r="C4769" s="86"/>
      <c r="D4769" s="86"/>
      <c r="E4769" s="86"/>
      <c r="F4769" s="308"/>
    </row>
    <row r="4770" spans="2:6">
      <c r="B4770" s="308"/>
      <c r="C4770" s="86"/>
      <c r="D4770" s="86"/>
      <c r="E4770" s="86"/>
      <c r="F4770" s="308"/>
    </row>
    <row r="4771" spans="2:6">
      <c r="B4771" s="308"/>
      <c r="C4771" s="86"/>
      <c r="D4771" s="86"/>
      <c r="E4771" s="86"/>
      <c r="F4771" s="308"/>
    </row>
    <row r="4772" spans="2:6">
      <c r="B4772" s="308"/>
      <c r="C4772" s="86"/>
      <c r="D4772" s="86"/>
      <c r="E4772" s="86"/>
      <c r="F4772" s="308"/>
    </row>
    <row r="4773" spans="2:6">
      <c r="B4773" s="308"/>
      <c r="C4773" s="86"/>
      <c r="D4773" s="86"/>
      <c r="E4773" s="86"/>
      <c r="F4773" s="308"/>
    </row>
    <row r="4774" spans="2:6">
      <c r="B4774" s="308"/>
      <c r="C4774" s="86"/>
      <c r="D4774" s="86"/>
      <c r="E4774" s="86"/>
      <c r="F4774" s="308"/>
    </row>
    <row r="4775" spans="2:6">
      <c r="B4775" s="308"/>
      <c r="C4775" s="86"/>
      <c r="D4775" s="86"/>
      <c r="E4775" s="86"/>
      <c r="F4775" s="308"/>
    </row>
    <row r="4776" spans="2:6">
      <c r="B4776" s="308"/>
      <c r="C4776" s="86"/>
      <c r="D4776" s="86"/>
      <c r="E4776" s="86"/>
      <c r="F4776" s="308"/>
    </row>
    <row r="4777" spans="2:6">
      <c r="B4777" s="308"/>
      <c r="C4777" s="86"/>
      <c r="D4777" s="86"/>
      <c r="E4777" s="86"/>
      <c r="F4777" s="308"/>
    </row>
    <row r="4778" spans="2:6">
      <c r="B4778" s="308"/>
      <c r="C4778" s="86"/>
      <c r="D4778" s="86"/>
      <c r="E4778" s="86"/>
      <c r="F4778" s="308"/>
    </row>
    <row r="4779" spans="2:6">
      <c r="B4779" s="308"/>
      <c r="C4779" s="86"/>
      <c r="D4779" s="86"/>
      <c r="E4779" s="86"/>
      <c r="F4779" s="308"/>
    </row>
    <row r="4780" spans="2:6">
      <c r="B4780" s="308"/>
      <c r="C4780" s="86"/>
      <c r="D4780" s="86"/>
      <c r="E4780" s="86"/>
      <c r="F4780" s="308"/>
    </row>
    <row r="4781" spans="2:6">
      <c r="B4781" s="308"/>
      <c r="C4781" s="86"/>
      <c r="D4781" s="86"/>
      <c r="E4781" s="86"/>
      <c r="F4781" s="308"/>
    </row>
    <row r="4782" spans="2:6">
      <c r="B4782" s="308"/>
      <c r="C4782" s="86"/>
      <c r="D4782" s="86"/>
      <c r="E4782" s="86"/>
      <c r="F4782" s="308"/>
    </row>
    <row r="4783" spans="2:6">
      <c r="B4783" s="308"/>
      <c r="C4783" s="86"/>
      <c r="D4783" s="86"/>
      <c r="E4783" s="86"/>
      <c r="F4783" s="308"/>
    </row>
    <row r="4784" spans="2:6">
      <c r="B4784" s="308"/>
      <c r="C4784" s="86"/>
      <c r="D4784" s="86"/>
      <c r="E4784" s="86"/>
      <c r="F4784" s="308"/>
    </row>
    <row r="4785" spans="2:6">
      <c r="B4785" s="308"/>
      <c r="C4785" s="86"/>
      <c r="D4785" s="86"/>
      <c r="E4785" s="86"/>
      <c r="F4785" s="308"/>
    </row>
    <row r="4786" spans="2:6">
      <c r="B4786" s="308"/>
      <c r="C4786" s="86"/>
      <c r="D4786" s="86"/>
      <c r="E4786" s="86"/>
      <c r="F4786" s="308"/>
    </row>
    <row r="4787" spans="2:6">
      <c r="B4787" s="308"/>
      <c r="C4787" s="86"/>
      <c r="D4787" s="86"/>
      <c r="E4787" s="86"/>
      <c r="F4787" s="308"/>
    </row>
    <row r="4788" spans="2:6">
      <c r="B4788" s="308"/>
      <c r="C4788" s="86"/>
      <c r="D4788" s="86"/>
      <c r="E4788" s="86"/>
      <c r="F4788" s="308"/>
    </row>
    <row r="4789" spans="2:6">
      <c r="B4789" s="308"/>
      <c r="C4789" s="86"/>
      <c r="D4789" s="86"/>
      <c r="E4789" s="86"/>
      <c r="F4789" s="308"/>
    </row>
    <row r="4790" spans="2:6">
      <c r="B4790" s="308"/>
      <c r="C4790" s="86"/>
      <c r="D4790" s="86"/>
      <c r="E4790" s="86"/>
      <c r="F4790" s="308"/>
    </row>
    <row r="4791" spans="2:6">
      <c r="B4791" s="308"/>
      <c r="C4791" s="86"/>
      <c r="D4791" s="86"/>
      <c r="E4791" s="86"/>
      <c r="F4791" s="308"/>
    </row>
    <row r="4792" spans="2:6">
      <c r="B4792" s="308"/>
      <c r="C4792" s="86"/>
      <c r="D4792" s="86"/>
      <c r="E4792" s="86"/>
      <c r="F4792" s="308"/>
    </row>
    <row r="4793" spans="2:6">
      <c r="B4793" s="308"/>
      <c r="C4793" s="86"/>
      <c r="D4793" s="86"/>
      <c r="E4793" s="86"/>
      <c r="F4793" s="308"/>
    </row>
    <row r="4794" spans="2:6">
      <c r="B4794" s="308"/>
      <c r="C4794" s="86"/>
      <c r="D4794" s="86"/>
      <c r="E4794" s="86"/>
      <c r="F4794" s="308"/>
    </row>
    <row r="4795" spans="2:6">
      <c r="B4795" s="308"/>
      <c r="C4795" s="86"/>
      <c r="D4795" s="86"/>
      <c r="E4795" s="86"/>
      <c r="F4795" s="308"/>
    </row>
    <row r="4796" spans="2:6">
      <c r="B4796" s="308"/>
      <c r="C4796" s="86"/>
      <c r="D4796" s="86"/>
      <c r="E4796" s="86"/>
      <c r="F4796" s="308"/>
    </row>
    <row r="4797" spans="2:6">
      <c r="B4797" s="308"/>
      <c r="C4797" s="86"/>
      <c r="D4797" s="86"/>
      <c r="E4797" s="86"/>
      <c r="F4797" s="308"/>
    </row>
    <row r="4798" spans="2:6">
      <c r="B4798" s="308"/>
      <c r="C4798" s="86"/>
      <c r="D4798" s="86"/>
      <c r="E4798" s="86"/>
      <c r="F4798" s="308"/>
    </row>
    <row r="4799" spans="2:6">
      <c r="B4799" s="308"/>
      <c r="C4799" s="86"/>
      <c r="D4799" s="86"/>
      <c r="E4799" s="86"/>
      <c r="F4799" s="308"/>
    </row>
    <row r="4800" spans="2:6">
      <c r="B4800" s="308"/>
      <c r="C4800" s="86"/>
      <c r="D4800" s="86"/>
      <c r="E4800" s="86"/>
      <c r="F4800" s="308"/>
    </row>
    <row r="4801" spans="2:6">
      <c r="B4801" s="308"/>
      <c r="C4801" s="86"/>
      <c r="D4801" s="86"/>
      <c r="E4801" s="86"/>
      <c r="F4801" s="308"/>
    </row>
    <row r="4802" spans="2:6">
      <c r="B4802" s="308"/>
      <c r="C4802" s="86"/>
      <c r="D4802" s="86"/>
      <c r="E4802" s="86"/>
      <c r="F4802" s="308"/>
    </row>
    <row r="4803" spans="2:6">
      <c r="B4803" s="308"/>
      <c r="C4803" s="86"/>
      <c r="D4803" s="86"/>
      <c r="E4803" s="86"/>
      <c r="F4803" s="308"/>
    </row>
    <row r="4804" spans="2:6">
      <c r="B4804" s="308"/>
      <c r="C4804" s="86"/>
      <c r="D4804" s="86"/>
      <c r="E4804" s="86"/>
      <c r="F4804" s="308"/>
    </row>
    <row r="4805" spans="2:6">
      <c r="B4805" s="308"/>
      <c r="C4805" s="86"/>
      <c r="D4805" s="86"/>
      <c r="E4805" s="86"/>
      <c r="F4805" s="308"/>
    </row>
    <row r="4806" spans="2:6">
      <c r="B4806" s="308"/>
      <c r="C4806" s="86"/>
      <c r="D4806" s="86"/>
      <c r="E4806" s="86"/>
      <c r="F4806" s="308"/>
    </row>
    <row r="4807" spans="2:6">
      <c r="B4807" s="308"/>
      <c r="C4807" s="86"/>
      <c r="D4807" s="86"/>
      <c r="E4807" s="86"/>
      <c r="F4807" s="308"/>
    </row>
    <row r="4808" spans="2:6">
      <c r="B4808" s="308"/>
      <c r="C4808" s="86"/>
      <c r="D4808" s="86"/>
      <c r="E4808" s="86"/>
      <c r="F4808" s="308"/>
    </row>
    <row r="4809" spans="2:6">
      <c r="B4809" s="308"/>
      <c r="C4809" s="86"/>
      <c r="D4809" s="86"/>
      <c r="E4809" s="86"/>
      <c r="F4809" s="308"/>
    </row>
    <row r="4810" spans="2:6">
      <c r="B4810" s="308"/>
      <c r="C4810" s="86"/>
      <c r="D4810" s="86"/>
      <c r="E4810" s="86"/>
      <c r="F4810" s="308"/>
    </row>
    <row r="4811" spans="2:6">
      <c r="B4811" s="308"/>
      <c r="C4811" s="86"/>
      <c r="D4811" s="86"/>
      <c r="E4811" s="86"/>
      <c r="F4811" s="308"/>
    </row>
    <row r="4812" spans="2:6">
      <c r="B4812" s="308"/>
      <c r="C4812" s="86"/>
      <c r="D4812" s="86"/>
      <c r="E4812" s="86"/>
      <c r="F4812" s="308"/>
    </row>
    <row r="4813" spans="2:6">
      <c r="B4813" s="308"/>
      <c r="C4813" s="86"/>
      <c r="D4813" s="86"/>
      <c r="E4813" s="86"/>
      <c r="F4813" s="308"/>
    </row>
    <row r="4814" spans="2:6">
      <c r="B4814" s="308"/>
      <c r="C4814" s="86"/>
      <c r="D4814" s="86"/>
      <c r="E4814" s="86"/>
      <c r="F4814" s="308"/>
    </row>
    <row r="4815" spans="2:6">
      <c r="B4815" s="308"/>
      <c r="C4815" s="86"/>
      <c r="D4815" s="86"/>
      <c r="E4815" s="86"/>
      <c r="F4815" s="308"/>
    </row>
    <row r="4816" spans="2:6">
      <c r="B4816" s="308"/>
      <c r="C4816" s="86"/>
      <c r="D4816" s="86"/>
      <c r="E4816" s="86"/>
      <c r="F4816" s="308"/>
    </row>
    <row r="4817" spans="2:6">
      <c r="B4817" s="308"/>
      <c r="C4817" s="86"/>
      <c r="D4817" s="86"/>
      <c r="E4817" s="86"/>
      <c r="F4817" s="308"/>
    </row>
    <row r="4818" spans="2:6">
      <c r="B4818" s="308"/>
      <c r="C4818" s="86"/>
      <c r="D4818" s="86"/>
      <c r="E4818" s="86"/>
      <c r="F4818" s="308"/>
    </row>
    <row r="4819" spans="2:6">
      <c r="B4819" s="308"/>
      <c r="C4819" s="86"/>
      <c r="D4819" s="86"/>
      <c r="E4819" s="86"/>
      <c r="F4819" s="308"/>
    </row>
    <row r="4820" spans="2:6">
      <c r="B4820" s="308"/>
      <c r="C4820" s="86"/>
      <c r="D4820" s="86"/>
      <c r="E4820" s="86"/>
      <c r="F4820" s="308"/>
    </row>
    <row r="4821" spans="2:6">
      <c r="B4821" s="308"/>
      <c r="C4821" s="86"/>
      <c r="D4821" s="86"/>
      <c r="E4821" s="86"/>
      <c r="F4821" s="308"/>
    </row>
    <row r="4822" spans="2:6">
      <c r="B4822" s="308"/>
      <c r="C4822" s="86"/>
      <c r="D4822" s="86"/>
      <c r="E4822" s="86"/>
      <c r="F4822" s="308"/>
    </row>
    <row r="4823" spans="2:6">
      <c r="B4823" s="308"/>
      <c r="C4823" s="86"/>
      <c r="D4823" s="86"/>
      <c r="E4823" s="86"/>
      <c r="F4823" s="308"/>
    </row>
    <row r="4824" spans="2:6">
      <c r="B4824" s="308"/>
      <c r="C4824" s="86"/>
      <c r="D4824" s="86"/>
      <c r="E4824" s="86"/>
      <c r="F4824" s="308"/>
    </row>
    <row r="4825" spans="2:6">
      <c r="B4825" s="308"/>
      <c r="C4825" s="86"/>
      <c r="D4825" s="86"/>
      <c r="E4825" s="86"/>
      <c r="F4825" s="308"/>
    </row>
  </sheetData>
  <mergeCells count="3">
    <mergeCell ref="B29:E29"/>
    <mergeCell ref="B18:E18"/>
    <mergeCell ref="B32:E32"/>
  </mergeCells>
  <phoneticPr fontId="131" type="noConversion"/>
  <pageMargins left="0.78740157480314965" right="0.19685039370078741" top="0.78740157480314965" bottom="0.78740157480314965" header="0" footer="0"/>
  <pageSetup paperSize="274" scale="80" orientation="portrait" horizontalDpi="400" r:id="rId1"/>
  <headerFooter alignWithMargins="0">
    <oddHeader xml:space="preserve">&amp;L&amp;9© REGION d.o.o. Brežice&amp;R&amp;9OSKRBA S PITNO VODO POMURJA - SISTEM B </oddHeader>
    <oddFooter>&amp;LVodovod Puconci – Sebeborci (VPUS)&amp;R&amp;N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DB94-B00C-4C26-9840-493A2EDB51DE}">
  <sheetPr>
    <tabColor rgb="FFFFFF00"/>
  </sheetPr>
  <dimension ref="B1:M1492"/>
  <sheetViews>
    <sheetView topLeftCell="A31" workbookViewId="0">
      <selection activeCell="C38" sqref="C38"/>
    </sheetView>
  </sheetViews>
  <sheetFormatPr defaultRowHeight="12.75"/>
  <cols>
    <col min="1" max="2" width="9.140625" style="73"/>
    <col min="3" max="3" width="44.85546875" style="546" customWidth="1"/>
    <col min="4" max="4" width="14" style="1999" customWidth="1"/>
    <col min="5" max="5" width="9.7109375" style="546" bestFit="1" customWidth="1"/>
    <col min="6" max="6" width="12.5703125" style="546" customWidth="1"/>
    <col min="7" max="7" width="22.42578125" style="546" customWidth="1"/>
    <col min="8" max="9" width="9.140625" style="73"/>
    <col min="10" max="10" width="3" style="73" customWidth="1"/>
    <col min="11" max="11" width="3.7109375" style="73" customWidth="1"/>
    <col min="12" max="12" width="10.140625" style="73" customWidth="1"/>
    <col min="13" max="251" width="9.140625" style="73"/>
    <col min="252" max="252" width="38" style="73" customWidth="1"/>
    <col min="253" max="253" width="14" style="73" customWidth="1"/>
    <col min="254" max="254" width="9.140625" style="73"/>
    <col min="255" max="255" width="12.5703125" style="73" customWidth="1"/>
    <col min="256" max="256" width="22.42578125" style="73" customWidth="1"/>
    <col min="257" max="507" width="9.140625" style="73"/>
    <col min="508" max="508" width="38" style="73" customWidth="1"/>
    <col min="509" max="509" width="14" style="73" customWidth="1"/>
    <col min="510" max="510" width="9.140625" style="73"/>
    <col min="511" max="511" width="12.5703125" style="73" customWidth="1"/>
    <col min="512" max="512" width="22.42578125" style="73" customWidth="1"/>
    <col min="513" max="763" width="9.140625" style="73"/>
    <col min="764" max="764" width="38" style="73" customWidth="1"/>
    <col min="765" max="765" width="14" style="73" customWidth="1"/>
    <col min="766" max="766" width="9.140625" style="73"/>
    <col min="767" max="767" width="12.5703125" style="73" customWidth="1"/>
    <col min="768" max="768" width="22.42578125" style="73" customWidth="1"/>
    <col min="769" max="1019" width="9.140625" style="73"/>
    <col min="1020" max="1020" width="38" style="73" customWidth="1"/>
    <col min="1021" max="1021" width="14" style="73" customWidth="1"/>
    <col min="1022" max="1022" width="9.140625" style="73"/>
    <col min="1023" max="1023" width="12.5703125" style="73" customWidth="1"/>
    <col min="1024" max="1024" width="22.42578125" style="73" customWidth="1"/>
    <col min="1025" max="1275" width="9.140625" style="73"/>
    <col min="1276" max="1276" width="38" style="73" customWidth="1"/>
    <col min="1277" max="1277" width="14" style="73" customWidth="1"/>
    <col min="1278" max="1278" width="9.140625" style="73"/>
    <col min="1279" max="1279" width="12.5703125" style="73" customWidth="1"/>
    <col min="1280" max="1280" width="22.42578125" style="73" customWidth="1"/>
    <col min="1281" max="1531" width="9.140625" style="73"/>
    <col min="1532" max="1532" width="38" style="73" customWidth="1"/>
    <col min="1533" max="1533" width="14" style="73" customWidth="1"/>
    <col min="1534" max="1534" width="9.140625" style="73"/>
    <col min="1535" max="1535" width="12.5703125" style="73" customWidth="1"/>
    <col min="1536" max="1536" width="22.42578125" style="73" customWidth="1"/>
    <col min="1537" max="1787" width="9.140625" style="73"/>
    <col min="1788" max="1788" width="38" style="73" customWidth="1"/>
    <col min="1789" max="1789" width="14" style="73" customWidth="1"/>
    <col min="1790" max="1790" width="9.140625" style="73"/>
    <col min="1791" max="1791" width="12.5703125" style="73" customWidth="1"/>
    <col min="1792" max="1792" width="22.42578125" style="73" customWidth="1"/>
    <col min="1793" max="2043" width="9.140625" style="73"/>
    <col min="2044" max="2044" width="38" style="73" customWidth="1"/>
    <col min="2045" max="2045" width="14" style="73" customWidth="1"/>
    <col min="2046" max="2046" width="9.140625" style="73"/>
    <col min="2047" max="2047" width="12.5703125" style="73" customWidth="1"/>
    <col min="2048" max="2048" width="22.42578125" style="73" customWidth="1"/>
    <col min="2049" max="2299" width="9.140625" style="73"/>
    <col min="2300" max="2300" width="38" style="73" customWidth="1"/>
    <col min="2301" max="2301" width="14" style="73" customWidth="1"/>
    <col min="2302" max="2302" width="9.140625" style="73"/>
    <col min="2303" max="2303" width="12.5703125" style="73" customWidth="1"/>
    <col min="2304" max="2304" width="22.42578125" style="73" customWidth="1"/>
    <col min="2305" max="2555" width="9.140625" style="73"/>
    <col min="2556" max="2556" width="38" style="73" customWidth="1"/>
    <col min="2557" max="2557" width="14" style="73" customWidth="1"/>
    <col min="2558" max="2558" width="9.140625" style="73"/>
    <col min="2559" max="2559" width="12.5703125" style="73" customWidth="1"/>
    <col min="2560" max="2560" width="22.42578125" style="73" customWidth="1"/>
    <col min="2561" max="2811" width="9.140625" style="73"/>
    <col min="2812" max="2812" width="38" style="73" customWidth="1"/>
    <col min="2813" max="2813" width="14" style="73" customWidth="1"/>
    <col min="2814" max="2814" width="9.140625" style="73"/>
    <col min="2815" max="2815" width="12.5703125" style="73" customWidth="1"/>
    <col min="2816" max="2816" width="22.42578125" style="73" customWidth="1"/>
    <col min="2817" max="3067" width="9.140625" style="73"/>
    <col min="3068" max="3068" width="38" style="73" customWidth="1"/>
    <col min="3069" max="3069" width="14" style="73" customWidth="1"/>
    <col min="3070" max="3070" width="9.140625" style="73"/>
    <col min="3071" max="3071" width="12.5703125" style="73" customWidth="1"/>
    <col min="3072" max="3072" width="22.42578125" style="73" customWidth="1"/>
    <col min="3073" max="3323" width="9.140625" style="73"/>
    <col min="3324" max="3324" width="38" style="73" customWidth="1"/>
    <col min="3325" max="3325" width="14" style="73" customWidth="1"/>
    <col min="3326" max="3326" width="9.140625" style="73"/>
    <col min="3327" max="3327" width="12.5703125" style="73" customWidth="1"/>
    <col min="3328" max="3328" width="22.42578125" style="73" customWidth="1"/>
    <col min="3329" max="3579" width="9.140625" style="73"/>
    <col min="3580" max="3580" width="38" style="73" customWidth="1"/>
    <col min="3581" max="3581" width="14" style="73" customWidth="1"/>
    <col min="3582" max="3582" width="9.140625" style="73"/>
    <col min="3583" max="3583" width="12.5703125" style="73" customWidth="1"/>
    <col min="3584" max="3584" width="22.42578125" style="73" customWidth="1"/>
    <col min="3585" max="3835" width="9.140625" style="73"/>
    <col min="3836" max="3836" width="38" style="73" customWidth="1"/>
    <col min="3837" max="3837" width="14" style="73" customWidth="1"/>
    <col min="3838" max="3838" width="9.140625" style="73"/>
    <col min="3839" max="3839" width="12.5703125" style="73" customWidth="1"/>
    <col min="3840" max="3840" width="22.42578125" style="73" customWidth="1"/>
    <col min="3841" max="4091" width="9.140625" style="73"/>
    <col min="4092" max="4092" width="38" style="73" customWidth="1"/>
    <col min="4093" max="4093" width="14" style="73" customWidth="1"/>
    <col min="4094" max="4094" width="9.140625" style="73"/>
    <col min="4095" max="4095" width="12.5703125" style="73" customWidth="1"/>
    <col min="4096" max="4096" width="22.42578125" style="73" customWidth="1"/>
    <col min="4097" max="4347" width="9.140625" style="73"/>
    <col min="4348" max="4348" width="38" style="73" customWidth="1"/>
    <col min="4349" max="4349" width="14" style="73" customWidth="1"/>
    <col min="4350" max="4350" width="9.140625" style="73"/>
    <col min="4351" max="4351" width="12.5703125" style="73" customWidth="1"/>
    <col min="4352" max="4352" width="22.42578125" style="73" customWidth="1"/>
    <col min="4353" max="4603" width="9.140625" style="73"/>
    <col min="4604" max="4604" width="38" style="73" customWidth="1"/>
    <col min="4605" max="4605" width="14" style="73" customWidth="1"/>
    <col min="4606" max="4606" width="9.140625" style="73"/>
    <col min="4607" max="4607" width="12.5703125" style="73" customWidth="1"/>
    <col min="4608" max="4608" width="22.42578125" style="73" customWidth="1"/>
    <col min="4609" max="4859" width="9.140625" style="73"/>
    <col min="4860" max="4860" width="38" style="73" customWidth="1"/>
    <col min="4861" max="4861" width="14" style="73" customWidth="1"/>
    <col min="4862" max="4862" width="9.140625" style="73"/>
    <col min="4863" max="4863" width="12.5703125" style="73" customWidth="1"/>
    <col min="4864" max="4864" width="22.42578125" style="73" customWidth="1"/>
    <col min="4865" max="5115" width="9.140625" style="73"/>
    <col min="5116" max="5116" width="38" style="73" customWidth="1"/>
    <col min="5117" max="5117" width="14" style="73" customWidth="1"/>
    <col min="5118" max="5118" width="9.140625" style="73"/>
    <col min="5119" max="5119" width="12.5703125" style="73" customWidth="1"/>
    <col min="5120" max="5120" width="22.42578125" style="73" customWidth="1"/>
    <col min="5121" max="5371" width="9.140625" style="73"/>
    <col min="5372" max="5372" width="38" style="73" customWidth="1"/>
    <col min="5373" max="5373" width="14" style="73" customWidth="1"/>
    <col min="5374" max="5374" width="9.140625" style="73"/>
    <col min="5375" max="5375" width="12.5703125" style="73" customWidth="1"/>
    <col min="5376" max="5376" width="22.42578125" style="73" customWidth="1"/>
    <col min="5377" max="5627" width="9.140625" style="73"/>
    <col min="5628" max="5628" width="38" style="73" customWidth="1"/>
    <col min="5629" max="5629" width="14" style="73" customWidth="1"/>
    <col min="5630" max="5630" width="9.140625" style="73"/>
    <col min="5631" max="5631" width="12.5703125" style="73" customWidth="1"/>
    <col min="5632" max="5632" width="22.42578125" style="73" customWidth="1"/>
    <col min="5633" max="5883" width="9.140625" style="73"/>
    <col min="5884" max="5884" width="38" style="73" customWidth="1"/>
    <col min="5885" max="5885" width="14" style="73" customWidth="1"/>
    <col min="5886" max="5886" width="9.140625" style="73"/>
    <col min="5887" max="5887" width="12.5703125" style="73" customWidth="1"/>
    <col min="5888" max="5888" width="22.42578125" style="73" customWidth="1"/>
    <col min="5889" max="6139" width="9.140625" style="73"/>
    <col min="6140" max="6140" width="38" style="73" customWidth="1"/>
    <col min="6141" max="6141" width="14" style="73" customWidth="1"/>
    <col min="6142" max="6142" width="9.140625" style="73"/>
    <col min="6143" max="6143" width="12.5703125" style="73" customWidth="1"/>
    <col min="6144" max="6144" width="22.42578125" style="73" customWidth="1"/>
    <col min="6145" max="6395" width="9.140625" style="73"/>
    <col min="6396" max="6396" width="38" style="73" customWidth="1"/>
    <col min="6397" max="6397" width="14" style="73" customWidth="1"/>
    <col min="6398" max="6398" width="9.140625" style="73"/>
    <col min="6399" max="6399" width="12.5703125" style="73" customWidth="1"/>
    <col min="6400" max="6400" width="22.42578125" style="73" customWidth="1"/>
    <col min="6401" max="6651" width="9.140625" style="73"/>
    <col min="6652" max="6652" width="38" style="73" customWidth="1"/>
    <col min="6653" max="6653" width="14" style="73" customWidth="1"/>
    <col min="6654" max="6654" width="9.140625" style="73"/>
    <col min="6655" max="6655" width="12.5703125" style="73" customWidth="1"/>
    <col min="6656" max="6656" width="22.42578125" style="73" customWidth="1"/>
    <col min="6657" max="6907" width="9.140625" style="73"/>
    <col min="6908" max="6908" width="38" style="73" customWidth="1"/>
    <col min="6909" max="6909" width="14" style="73" customWidth="1"/>
    <col min="6910" max="6910" width="9.140625" style="73"/>
    <col min="6911" max="6911" width="12.5703125" style="73" customWidth="1"/>
    <col min="6912" max="6912" width="22.42578125" style="73" customWidth="1"/>
    <col min="6913" max="7163" width="9.140625" style="73"/>
    <col min="7164" max="7164" width="38" style="73" customWidth="1"/>
    <col min="7165" max="7165" width="14" style="73" customWidth="1"/>
    <col min="7166" max="7166" width="9.140625" style="73"/>
    <col min="7167" max="7167" width="12.5703125" style="73" customWidth="1"/>
    <col min="7168" max="7168" width="22.42578125" style="73" customWidth="1"/>
    <col min="7169" max="7419" width="9.140625" style="73"/>
    <col min="7420" max="7420" width="38" style="73" customWidth="1"/>
    <col min="7421" max="7421" width="14" style="73" customWidth="1"/>
    <col min="7422" max="7422" width="9.140625" style="73"/>
    <col min="7423" max="7423" width="12.5703125" style="73" customWidth="1"/>
    <col min="7424" max="7424" width="22.42578125" style="73" customWidth="1"/>
    <col min="7425" max="7675" width="9.140625" style="73"/>
    <col min="7676" max="7676" width="38" style="73" customWidth="1"/>
    <col min="7677" max="7677" width="14" style="73" customWidth="1"/>
    <col min="7678" max="7678" width="9.140625" style="73"/>
    <col min="7679" max="7679" width="12.5703125" style="73" customWidth="1"/>
    <col min="7680" max="7680" width="22.42578125" style="73" customWidth="1"/>
    <col min="7681" max="7931" width="9.140625" style="73"/>
    <col min="7932" max="7932" width="38" style="73" customWidth="1"/>
    <col min="7933" max="7933" width="14" style="73" customWidth="1"/>
    <col min="7934" max="7934" width="9.140625" style="73"/>
    <col min="7935" max="7935" width="12.5703125" style="73" customWidth="1"/>
    <col min="7936" max="7936" width="22.42578125" style="73" customWidth="1"/>
    <col min="7937" max="8187" width="9.140625" style="73"/>
    <col min="8188" max="8188" width="38" style="73" customWidth="1"/>
    <col min="8189" max="8189" width="14" style="73" customWidth="1"/>
    <col min="8190" max="8190" width="9.140625" style="73"/>
    <col min="8191" max="8191" width="12.5703125" style="73" customWidth="1"/>
    <col min="8192" max="8192" width="22.42578125" style="73" customWidth="1"/>
    <col min="8193" max="8443" width="9.140625" style="73"/>
    <col min="8444" max="8444" width="38" style="73" customWidth="1"/>
    <col min="8445" max="8445" width="14" style="73" customWidth="1"/>
    <col min="8446" max="8446" width="9.140625" style="73"/>
    <col min="8447" max="8447" width="12.5703125" style="73" customWidth="1"/>
    <col min="8448" max="8448" width="22.42578125" style="73" customWidth="1"/>
    <col min="8449" max="8699" width="9.140625" style="73"/>
    <col min="8700" max="8700" width="38" style="73" customWidth="1"/>
    <col min="8701" max="8701" width="14" style="73" customWidth="1"/>
    <col min="8702" max="8702" width="9.140625" style="73"/>
    <col min="8703" max="8703" width="12.5703125" style="73" customWidth="1"/>
    <col min="8704" max="8704" width="22.42578125" style="73" customWidth="1"/>
    <col min="8705" max="8955" width="9.140625" style="73"/>
    <col min="8956" max="8956" width="38" style="73" customWidth="1"/>
    <col min="8957" max="8957" width="14" style="73" customWidth="1"/>
    <col min="8958" max="8958" width="9.140625" style="73"/>
    <col min="8959" max="8959" width="12.5703125" style="73" customWidth="1"/>
    <col min="8960" max="8960" width="22.42578125" style="73" customWidth="1"/>
    <col min="8961" max="9211" width="9.140625" style="73"/>
    <col min="9212" max="9212" width="38" style="73" customWidth="1"/>
    <col min="9213" max="9213" width="14" style="73" customWidth="1"/>
    <col min="9214" max="9214" width="9.140625" style="73"/>
    <col min="9215" max="9215" width="12.5703125" style="73" customWidth="1"/>
    <col min="9216" max="9216" width="22.42578125" style="73" customWidth="1"/>
    <col min="9217" max="9467" width="9.140625" style="73"/>
    <col min="9468" max="9468" width="38" style="73" customWidth="1"/>
    <col min="9469" max="9469" width="14" style="73" customWidth="1"/>
    <col min="9470" max="9470" width="9.140625" style="73"/>
    <col min="9471" max="9471" width="12.5703125" style="73" customWidth="1"/>
    <col min="9472" max="9472" width="22.42578125" style="73" customWidth="1"/>
    <col min="9473" max="9723" width="9.140625" style="73"/>
    <col min="9724" max="9724" width="38" style="73" customWidth="1"/>
    <col min="9725" max="9725" width="14" style="73" customWidth="1"/>
    <col min="9726" max="9726" width="9.140625" style="73"/>
    <col min="9727" max="9727" width="12.5703125" style="73" customWidth="1"/>
    <col min="9728" max="9728" width="22.42578125" style="73" customWidth="1"/>
    <col min="9729" max="9979" width="9.140625" style="73"/>
    <col min="9980" max="9980" width="38" style="73" customWidth="1"/>
    <col min="9981" max="9981" width="14" style="73" customWidth="1"/>
    <col min="9982" max="9982" width="9.140625" style="73"/>
    <col min="9983" max="9983" width="12.5703125" style="73" customWidth="1"/>
    <col min="9984" max="9984" width="22.42578125" style="73" customWidth="1"/>
    <col min="9985" max="10235" width="9.140625" style="73"/>
    <col min="10236" max="10236" width="38" style="73" customWidth="1"/>
    <col min="10237" max="10237" width="14" style="73" customWidth="1"/>
    <col min="10238" max="10238" width="9.140625" style="73"/>
    <col min="10239" max="10239" width="12.5703125" style="73" customWidth="1"/>
    <col min="10240" max="10240" width="22.42578125" style="73" customWidth="1"/>
    <col min="10241" max="10491" width="9.140625" style="73"/>
    <col min="10492" max="10492" width="38" style="73" customWidth="1"/>
    <col min="10493" max="10493" width="14" style="73" customWidth="1"/>
    <col min="10494" max="10494" width="9.140625" style="73"/>
    <col min="10495" max="10495" width="12.5703125" style="73" customWidth="1"/>
    <col min="10496" max="10496" width="22.42578125" style="73" customWidth="1"/>
    <col min="10497" max="10747" width="9.140625" style="73"/>
    <col min="10748" max="10748" width="38" style="73" customWidth="1"/>
    <col min="10749" max="10749" width="14" style="73" customWidth="1"/>
    <col min="10750" max="10750" width="9.140625" style="73"/>
    <col min="10751" max="10751" width="12.5703125" style="73" customWidth="1"/>
    <col min="10752" max="10752" width="22.42578125" style="73" customWidth="1"/>
    <col min="10753" max="11003" width="9.140625" style="73"/>
    <col min="11004" max="11004" width="38" style="73" customWidth="1"/>
    <col min="11005" max="11005" width="14" style="73" customWidth="1"/>
    <col min="11006" max="11006" width="9.140625" style="73"/>
    <col min="11007" max="11007" width="12.5703125" style="73" customWidth="1"/>
    <col min="11008" max="11008" width="22.42578125" style="73" customWidth="1"/>
    <col min="11009" max="11259" width="9.140625" style="73"/>
    <col min="11260" max="11260" width="38" style="73" customWidth="1"/>
    <col min="11261" max="11261" width="14" style="73" customWidth="1"/>
    <col min="11262" max="11262" width="9.140625" style="73"/>
    <col min="11263" max="11263" width="12.5703125" style="73" customWidth="1"/>
    <col min="11264" max="11264" width="22.42578125" style="73" customWidth="1"/>
    <col min="11265" max="11515" width="9.140625" style="73"/>
    <col min="11516" max="11516" width="38" style="73" customWidth="1"/>
    <col min="11517" max="11517" width="14" style="73" customWidth="1"/>
    <col min="11518" max="11518" width="9.140625" style="73"/>
    <col min="11519" max="11519" width="12.5703125" style="73" customWidth="1"/>
    <col min="11520" max="11520" width="22.42578125" style="73" customWidth="1"/>
    <col min="11521" max="11771" width="9.140625" style="73"/>
    <col min="11772" max="11772" width="38" style="73" customWidth="1"/>
    <col min="11773" max="11773" width="14" style="73" customWidth="1"/>
    <col min="11774" max="11774" width="9.140625" style="73"/>
    <col min="11775" max="11775" width="12.5703125" style="73" customWidth="1"/>
    <col min="11776" max="11776" width="22.42578125" style="73" customWidth="1"/>
    <col min="11777" max="12027" width="9.140625" style="73"/>
    <col min="12028" max="12028" width="38" style="73" customWidth="1"/>
    <col min="12029" max="12029" width="14" style="73" customWidth="1"/>
    <col min="12030" max="12030" width="9.140625" style="73"/>
    <col min="12031" max="12031" width="12.5703125" style="73" customWidth="1"/>
    <col min="12032" max="12032" width="22.42578125" style="73" customWidth="1"/>
    <col min="12033" max="12283" width="9.140625" style="73"/>
    <col min="12284" max="12284" width="38" style="73" customWidth="1"/>
    <col min="12285" max="12285" width="14" style="73" customWidth="1"/>
    <col min="12286" max="12286" width="9.140625" style="73"/>
    <col min="12287" max="12287" width="12.5703125" style="73" customWidth="1"/>
    <col min="12288" max="12288" width="22.42578125" style="73" customWidth="1"/>
    <col min="12289" max="12539" width="9.140625" style="73"/>
    <col min="12540" max="12540" width="38" style="73" customWidth="1"/>
    <col min="12541" max="12541" width="14" style="73" customWidth="1"/>
    <col min="12542" max="12542" width="9.140625" style="73"/>
    <col min="12543" max="12543" width="12.5703125" style="73" customWidth="1"/>
    <col min="12544" max="12544" width="22.42578125" style="73" customWidth="1"/>
    <col min="12545" max="12795" width="9.140625" style="73"/>
    <col min="12796" max="12796" width="38" style="73" customWidth="1"/>
    <col min="12797" max="12797" width="14" style="73" customWidth="1"/>
    <col min="12798" max="12798" width="9.140625" style="73"/>
    <col min="12799" max="12799" width="12.5703125" style="73" customWidth="1"/>
    <col min="12800" max="12800" width="22.42578125" style="73" customWidth="1"/>
    <col min="12801" max="13051" width="9.140625" style="73"/>
    <col min="13052" max="13052" width="38" style="73" customWidth="1"/>
    <col min="13053" max="13053" width="14" style="73" customWidth="1"/>
    <col min="13054" max="13054" width="9.140625" style="73"/>
    <col min="13055" max="13055" width="12.5703125" style="73" customWidth="1"/>
    <col min="13056" max="13056" width="22.42578125" style="73" customWidth="1"/>
    <col min="13057" max="13307" width="9.140625" style="73"/>
    <col min="13308" max="13308" width="38" style="73" customWidth="1"/>
    <col min="13309" max="13309" width="14" style="73" customWidth="1"/>
    <col min="13310" max="13310" width="9.140625" style="73"/>
    <col min="13311" max="13311" width="12.5703125" style="73" customWidth="1"/>
    <col min="13312" max="13312" width="22.42578125" style="73" customWidth="1"/>
    <col min="13313" max="13563" width="9.140625" style="73"/>
    <col min="13564" max="13564" width="38" style="73" customWidth="1"/>
    <col min="13565" max="13565" width="14" style="73" customWidth="1"/>
    <col min="13566" max="13566" width="9.140625" style="73"/>
    <col min="13567" max="13567" width="12.5703125" style="73" customWidth="1"/>
    <col min="13568" max="13568" width="22.42578125" style="73" customWidth="1"/>
    <col min="13569" max="13819" width="9.140625" style="73"/>
    <col min="13820" max="13820" width="38" style="73" customWidth="1"/>
    <col min="13821" max="13821" width="14" style="73" customWidth="1"/>
    <col min="13822" max="13822" width="9.140625" style="73"/>
    <col min="13823" max="13823" width="12.5703125" style="73" customWidth="1"/>
    <col min="13824" max="13824" width="22.42578125" style="73" customWidth="1"/>
    <col min="13825" max="14075" width="9.140625" style="73"/>
    <col min="14076" max="14076" width="38" style="73" customWidth="1"/>
    <col min="14077" max="14077" width="14" style="73" customWidth="1"/>
    <col min="14078" max="14078" width="9.140625" style="73"/>
    <col min="14079" max="14079" width="12.5703125" style="73" customWidth="1"/>
    <col min="14080" max="14080" width="22.42578125" style="73" customWidth="1"/>
    <col min="14081" max="14331" width="9.140625" style="73"/>
    <col min="14332" max="14332" width="38" style="73" customWidth="1"/>
    <col min="14333" max="14333" width="14" style="73" customWidth="1"/>
    <col min="14334" max="14334" width="9.140625" style="73"/>
    <col min="14335" max="14335" width="12.5703125" style="73" customWidth="1"/>
    <col min="14336" max="14336" width="22.42578125" style="73" customWidth="1"/>
    <col min="14337" max="14587" width="9.140625" style="73"/>
    <col min="14588" max="14588" width="38" style="73" customWidth="1"/>
    <col min="14589" max="14589" width="14" style="73" customWidth="1"/>
    <col min="14590" max="14590" width="9.140625" style="73"/>
    <col min="14591" max="14591" width="12.5703125" style="73" customWidth="1"/>
    <col min="14592" max="14592" width="22.42578125" style="73" customWidth="1"/>
    <col min="14593" max="14843" width="9.140625" style="73"/>
    <col min="14844" max="14844" width="38" style="73" customWidth="1"/>
    <col min="14845" max="14845" width="14" style="73" customWidth="1"/>
    <col min="14846" max="14846" width="9.140625" style="73"/>
    <col min="14847" max="14847" width="12.5703125" style="73" customWidth="1"/>
    <col min="14848" max="14848" width="22.42578125" style="73" customWidth="1"/>
    <col min="14849" max="15099" width="9.140625" style="73"/>
    <col min="15100" max="15100" width="38" style="73" customWidth="1"/>
    <col min="15101" max="15101" width="14" style="73" customWidth="1"/>
    <col min="15102" max="15102" width="9.140625" style="73"/>
    <col min="15103" max="15103" width="12.5703125" style="73" customWidth="1"/>
    <col min="15104" max="15104" width="22.42578125" style="73" customWidth="1"/>
    <col min="15105" max="15355" width="9.140625" style="73"/>
    <col min="15356" max="15356" width="38" style="73" customWidth="1"/>
    <col min="15357" max="15357" width="14" style="73" customWidth="1"/>
    <col min="15358" max="15358" width="9.140625" style="73"/>
    <col min="15359" max="15359" width="12.5703125" style="73" customWidth="1"/>
    <col min="15360" max="15360" width="22.42578125" style="73" customWidth="1"/>
    <col min="15361" max="15611" width="9.140625" style="73"/>
    <col min="15612" max="15612" width="38" style="73" customWidth="1"/>
    <col min="15613" max="15613" width="14" style="73" customWidth="1"/>
    <col min="15614" max="15614" width="9.140625" style="73"/>
    <col min="15615" max="15615" width="12.5703125" style="73" customWidth="1"/>
    <col min="15616" max="15616" width="22.42578125" style="73" customWidth="1"/>
    <col min="15617" max="15867" width="9.140625" style="73"/>
    <col min="15868" max="15868" width="38" style="73" customWidth="1"/>
    <col min="15869" max="15869" width="14" style="73" customWidth="1"/>
    <col min="15870" max="15870" width="9.140625" style="73"/>
    <col min="15871" max="15871" width="12.5703125" style="73" customWidth="1"/>
    <col min="15872" max="15872" width="22.42578125" style="73" customWidth="1"/>
    <col min="15873" max="16123" width="9.140625" style="73"/>
    <col min="16124" max="16124" width="38" style="73" customWidth="1"/>
    <col min="16125" max="16125" width="14" style="73" customWidth="1"/>
    <col min="16126" max="16126" width="9.140625" style="73"/>
    <col min="16127" max="16127" width="12.5703125" style="73" customWidth="1"/>
    <col min="16128" max="16128" width="22.42578125" style="73" customWidth="1"/>
    <col min="16129" max="16384" width="9.140625" style="73"/>
  </cols>
  <sheetData>
    <row r="1" spans="2:8" s="1" customFormat="1" ht="16.5" customHeight="1">
      <c r="B1" s="2"/>
      <c r="C1" s="3" t="s">
        <v>0</v>
      </c>
      <c r="D1" s="4"/>
      <c r="E1" s="5"/>
      <c r="F1" s="6"/>
      <c r="G1" s="7" t="s">
        <v>1</v>
      </c>
      <c r="H1" s="938"/>
    </row>
    <row r="2" spans="2:8" s="439" customFormat="1">
      <c r="B2" s="442"/>
      <c r="C2" s="1728"/>
      <c r="D2" s="1808"/>
      <c r="E2" s="70"/>
      <c r="F2" s="71"/>
      <c r="G2" s="66"/>
      <c r="H2" s="441"/>
    </row>
    <row r="3" spans="2:8" s="439" customFormat="1">
      <c r="B3" s="316" t="s">
        <v>35</v>
      </c>
      <c r="C3" s="1653" t="s">
        <v>235</v>
      </c>
      <c r="D3" s="1809"/>
      <c r="E3" s="319"/>
      <c r="F3" s="320"/>
      <c r="G3" s="321"/>
      <c r="H3" s="441"/>
    </row>
    <row r="4" spans="2:8" s="439" customFormat="1">
      <c r="B4" s="80"/>
      <c r="C4" s="81"/>
      <c r="D4" s="1176"/>
      <c r="E4" s="83"/>
      <c r="F4" s="84"/>
      <c r="G4" s="85"/>
      <c r="H4" s="441"/>
    </row>
    <row r="5" spans="2:8" s="439" customFormat="1">
      <c r="B5" s="316" t="s">
        <v>37</v>
      </c>
      <c r="C5" s="2445" t="s">
        <v>411</v>
      </c>
      <c r="D5" s="2446"/>
      <c r="E5" s="2446"/>
      <c r="F5" s="2446"/>
      <c r="G5" s="321"/>
      <c r="H5" s="441"/>
    </row>
    <row r="6" spans="2:8" s="439" customFormat="1" ht="15" customHeight="1">
      <c r="B6" s="80"/>
      <c r="C6" s="81"/>
      <c r="D6" s="1176"/>
      <c r="E6" s="83"/>
      <c r="F6" s="84"/>
      <c r="G6" s="88"/>
      <c r="H6" s="441"/>
    </row>
    <row r="7" spans="2:8" s="439" customFormat="1">
      <c r="B7" s="443" t="s">
        <v>2</v>
      </c>
      <c r="C7" s="296"/>
      <c r="D7" s="1810"/>
      <c r="E7" s="296"/>
      <c r="F7" s="296"/>
      <c r="G7" s="297"/>
      <c r="H7" s="441"/>
    </row>
    <row r="8" spans="2:8" s="439" customFormat="1">
      <c r="B8" s="444" t="s">
        <v>3</v>
      </c>
      <c r="C8" s="301"/>
      <c r="D8" s="1811"/>
      <c r="E8" s="301"/>
      <c r="F8" s="301"/>
      <c r="G8" s="300"/>
      <c r="H8" s="441"/>
    </row>
    <row r="9" spans="2:8" s="439" customFormat="1">
      <c r="B9" s="443" t="s">
        <v>4</v>
      </c>
      <c r="C9" s="296"/>
      <c r="D9" s="1810"/>
      <c r="E9" s="296"/>
      <c r="F9" s="296"/>
      <c r="G9" s="297"/>
      <c r="H9" s="441"/>
    </row>
    <row r="10" spans="2:8" s="439" customFormat="1">
      <c r="B10" s="444" t="s">
        <v>5</v>
      </c>
      <c r="C10" s="301"/>
      <c r="D10" s="1812"/>
      <c r="E10" s="301"/>
      <c r="F10" s="301"/>
      <c r="G10" s="300"/>
      <c r="H10" s="441"/>
    </row>
    <row r="11" spans="2:8" s="439" customFormat="1">
      <c r="B11" s="89"/>
      <c r="C11" s="90"/>
      <c r="D11" s="1182"/>
      <c r="E11" s="92"/>
      <c r="F11" s="93"/>
      <c r="G11" s="94"/>
      <c r="H11" s="441"/>
    </row>
    <row r="12" spans="2:8" s="439" customFormat="1" ht="15">
      <c r="B12" s="326"/>
      <c r="C12" s="327" t="s">
        <v>40</v>
      </c>
      <c r="D12" s="1813"/>
      <c r="E12" s="329"/>
      <c r="F12" s="330"/>
      <c r="G12" s="331"/>
      <c r="H12" s="441"/>
    </row>
    <row r="13" spans="2:8" s="439" customFormat="1">
      <c r="B13" s="326" t="s">
        <v>41</v>
      </c>
      <c r="C13" s="333" t="s">
        <v>42</v>
      </c>
      <c r="D13" s="1814"/>
      <c r="E13" s="335"/>
      <c r="F13" s="336"/>
      <c r="G13" s="337" t="s">
        <v>10</v>
      </c>
      <c r="H13" s="441"/>
    </row>
    <row r="14" spans="2:8" s="439" customFormat="1">
      <c r="B14" s="445" t="s">
        <v>43</v>
      </c>
      <c r="C14" s="341" t="s">
        <v>44</v>
      </c>
      <c r="D14" s="1815"/>
      <c r="E14" s="343"/>
      <c r="F14" s="344"/>
      <c r="G14" s="434">
        <f>G43</f>
        <v>0</v>
      </c>
      <c r="H14" s="441"/>
    </row>
    <row r="15" spans="2:8" s="439" customFormat="1">
      <c r="B15" s="445" t="s">
        <v>45</v>
      </c>
      <c r="C15" s="341" t="s">
        <v>46</v>
      </c>
      <c r="D15" s="1815"/>
      <c r="E15" s="343"/>
      <c r="F15" s="344"/>
      <c r="G15" s="434">
        <f>G131</f>
        <v>0</v>
      </c>
      <c r="H15" s="441"/>
    </row>
    <row r="16" spans="2:8" s="439" customFormat="1">
      <c r="B16" s="445" t="s">
        <v>47</v>
      </c>
      <c r="C16" s="341" t="s">
        <v>48</v>
      </c>
      <c r="D16" s="1815"/>
      <c r="E16" s="343"/>
      <c r="F16" s="344"/>
      <c r="G16" s="434">
        <f>G617</f>
        <v>0</v>
      </c>
      <c r="H16" s="441"/>
    </row>
    <row r="17" spans="2:8" s="439" customFormat="1">
      <c r="B17" s="326" t="s">
        <v>914</v>
      </c>
      <c r="C17" s="341" t="s">
        <v>916</v>
      </c>
      <c r="D17" s="1815"/>
      <c r="E17" s="343"/>
      <c r="F17" s="446"/>
      <c r="G17" s="434">
        <f>G1489</f>
        <v>0</v>
      </c>
      <c r="H17" s="441"/>
    </row>
    <row r="18" spans="2:8" s="439" customFormat="1" ht="13.5" customHeight="1">
      <c r="B18" s="307"/>
      <c r="C18" s="348" t="s">
        <v>49</v>
      </c>
      <c r="D18" s="1816"/>
      <c r="E18" s="350"/>
      <c r="F18" s="351"/>
      <c r="G18" s="435">
        <f>SUM(G14:G17)</f>
        <v>0</v>
      </c>
      <c r="H18" s="441"/>
    </row>
    <row r="19" spans="2:8" s="439" customFormat="1">
      <c r="B19" s="447"/>
      <c r="C19" s="1729"/>
      <c r="D19" s="1981"/>
      <c r="E19" s="1907"/>
      <c r="F19" s="1908"/>
      <c r="G19" s="1909"/>
      <c r="H19" s="441"/>
    </row>
    <row r="20" spans="2:8" s="439" customFormat="1">
      <c r="B20" s="447"/>
      <c r="C20" s="1729"/>
      <c r="D20" s="1981"/>
      <c r="E20" s="1907"/>
      <c r="F20" s="1908"/>
      <c r="G20" s="1909"/>
      <c r="H20" s="441"/>
    </row>
    <row r="21" spans="2:8" s="439" customFormat="1">
      <c r="B21" s="447"/>
      <c r="C21" s="1729"/>
      <c r="D21" s="1981"/>
      <c r="E21" s="1907"/>
      <c r="F21" s="1908"/>
      <c r="G21" s="1909"/>
      <c r="H21" s="441"/>
    </row>
    <row r="22" spans="2:8" s="439" customFormat="1">
      <c r="B22" s="447"/>
      <c r="C22" s="1729"/>
      <c r="D22" s="1981"/>
      <c r="E22" s="1907"/>
      <c r="F22" s="1908"/>
      <c r="G22" s="1909"/>
      <c r="H22" s="441"/>
    </row>
    <row r="23" spans="2:8" s="439" customFormat="1">
      <c r="B23" s="447"/>
      <c r="C23" s="1729"/>
      <c r="D23" s="1981"/>
      <c r="E23" s="1907"/>
      <c r="F23" s="1908"/>
      <c r="G23" s="1909"/>
      <c r="H23" s="441"/>
    </row>
    <row r="24" spans="2:8" s="439" customFormat="1">
      <c r="B24" s="447"/>
      <c r="C24" s="1729"/>
      <c r="D24" s="1981"/>
      <c r="E24" s="1907"/>
      <c r="F24" s="1908"/>
      <c r="G24" s="1909"/>
      <c r="H24" s="441"/>
    </row>
    <row r="25" spans="2:8" s="439" customFormat="1">
      <c r="B25" s="447"/>
      <c r="C25" s="1729"/>
      <c r="D25" s="1981"/>
      <c r="E25" s="1907"/>
      <c r="F25" s="1908"/>
      <c r="G25" s="1909"/>
      <c r="H25" s="441"/>
    </row>
    <row r="26" spans="2:8" s="439" customFormat="1">
      <c r="B26" s="452" t="s">
        <v>41</v>
      </c>
      <c r="C26" s="357" t="s">
        <v>51</v>
      </c>
      <c r="D26" s="357" t="s">
        <v>52</v>
      </c>
      <c r="E26" s="359" t="s">
        <v>53</v>
      </c>
      <c r="F26" s="360" t="s">
        <v>54</v>
      </c>
      <c r="G26" s="361" t="s">
        <v>55</v>
      </c>
      <c r="H26" s="441"/>
    </row>
    <row r="27" spans="2:8" s="439" customFormat="1">
      <c r="B27" s="453"/>
      <c r="C27" s="1730"/>
      <c r="D27" s="374"/>
      <c r="E27" s="128"/>
      <c r="F27" s="129"/>
      <c r="G27" s="130"/>
      <c r="H27" s="441"/>
    </row>
    <row r="28" spans="2:8" s="439" customFormat="1" ht="20.25">
      <c r="B28" s="454" t="s">
        <v>43</v>
      </c>
      <c r="C28" s="366" t="s">
        <v>44</v>
      </c>
      <c r="D28" s="391"/>
      <c r="E28" s="368"/>
      <c r="F28" s="369"/>
      <c r="G28" s="370"/>
      <c r="H28" s="441"/>
    </row>
    <row r="29" spans="2:8" s="1" customFormat="1" ht="26.25" customHeight="1">
      <c r="B29" s="1711">
        <v>1</v>
      </c>
      <c r="C29" s="1731" t="s">
        <v>56</v>
      </c>
      <c r="D29" s="1232" t="s">
        <v>57</v>
      </c>
      <c r="E29" s="1712">
        <v>5759</v>
      </c>
      <c r="F29" s="1713">
        <v>0</v>
      </c>
      <c r="G29" s="1714">
        <f t="shared" ref="G29" si="0">E29*F29</f>
        <v>0</v>
      </c>
      <c r="H29" s="1703"/>
    </row>
    <row r="30" spans="2:8" s="1" customFormat="1" ht="15.75" customHeight="1">
      <c r="B30" s="1711">
        <v>2</v>
      </c>
      <c r="C30" s="1731" t="s">
        <v>58</v>
      </c>
      <c r="D30" s="1232" t="s">
        <v>57</v>
      </c>
      <c r="E30" s="1715">
        <f>E29</f>
        <v>5759</v>
      </c>
      <c r="F30" s="1713">
        <v>0</v>
      </c>
      <c r="G30" s="1714">
        <f>E30*F30</f>
        <v>0</v>
      </c>
      <c r="H30" s="1703"/>
    </row>
    <row r="31" spans="2:8" s="1" customFormat="1" ht="50.25" customHeight="1">
      <c r="B31" s="1711">
        <v>3</v>
      </c>
      <c r="C31" s="1731" t="s">
        <v>245</v>
      </c>
      <c r="D31" s="1232" t="s">
        <v>60</v>
      </c>
      <c r="E31" s="1715">
        <v>1</v>
      </c>
      <c r="F31" s="1713">
        <v>0</v>
      </c>
      <c r="G31" s="1714">
        <f t="shared" ref="G31:G41" si="1">E31*F31</f>
        <v>0</v>
      </c>
      <c r="H31" s="1704"/>
    </row>
    <row r="32" spans="2:8" s="1" customFormat="1" ht="130.5" customHeight="1">
      <c r="B32" s="1711">
        <v>4</v>
      </c>
      <c r="C32" s="1732" t="s">
        <v>61</v>
      </c>
      <c r="D32" s="1716" t="s">
        <v>60</v>
      </c>
      <c r="E32" s="1715">
        <v>1</v>
      </c>
      <c r="F32" s="1713">
        <v>0</v>
      </c>
      <c r="G32" s="1714">
        <f t="shared" si="1"/>
        <v>0</v>
      </c>
      <c r="H32" s="1703"/>
    </row>
    <row r="33" spans="2:8" s="1" customFormat="1" ht="29.25" customHeight="1">
      <c r="B33" s="1711">
        <v>5</v>
      </c>
      <c r="C33" s="1732" t="s">
        <v>62</v>
      </c>
      <c r="D33" s="1717" t="s">
        <v>60</v>
      </c>
      <c r="E33" s="1715">
        <v>1</v>
      </c>
      <c r="F33" s="1713">
        <v>0</v>
      </c>
      <c r="G33" s="1714">
        <f t="shared" si="1"/>
        <v>0</v>
      </c>
      <c r="H33" s="1703"/>
    </row>
    <row r="34" spans="2:8" s="1" customFormat="1" ht="27" customHeight="1">
      <c r="B34" s="1711">
        <v>6</v>
      </c>
      <c r="C34" s="1655" t="s">
        <v>63</v>
      </c>
      <c r="D34" s="1717" t="s">
        <v>60</v>
      </c>
      <c r="E34" s="1715">
        <v>1</v>
      </c>
      <c r="F34" s="1713">
        <v>0</v>
      </c>
      <c r="G34" s="1714">
        <f t="shared" si="1"/>
        <v>0</v>
      </c>
      <c r="H34" s="1703"/>
    </row>
    <row r="35" spans="2:8" s="1" customFormat="1" ht="52.5" customHeight="1">
      <c r="B35" s="1711">
        <v>7</v>
      </c>
      <c r="C35" s="1655" t="s">
        <v>64</v>
      </c>
      <c r="D35" s="1717" t="s">
        <v>60</v>
      </c>
      <c r="E35" s="1715">
        <v>1</v>
      </c>
      <c r="F35" s="1713">
        <v>0</v>
      </c>
      <c r="G35" s="1714">
        <f t="shared" si="1"/>
        <v>0</v>
      </c>
      <c r="H35" s="1703"/>
    </row>
    <row r="36" spans="2:8" s="1" customFormat="1" ht="48">
      <c r="B36" s="1711">
        <v>8</v>
      </c>
      <c r="C36" s="740" t="s">
        <v>2292</v>
      </c>
      <c r="D36" s="1717" t="s">
        <v>66</v>
      </c>
      <c r="E36" s="1715">
        <v>40</v>
      </c>
      <c r="F36" s="1713">
        <v>0</v>
      </c>
      <c r="G36" s="1714">
        <f t="shared" si="1"/>
        <v>0</v>
      </c>
      <c r="H36" s="1703"/>
    </row>
    <row r="37" spans="2:8" s="1" customFormat="1" ht="36">
      <c r="B37" s="1711">
        <v>9</v>
      </c>
      <c r="C37" s="740" t="s">
        <v>2294</v>
      </c>
      <c r="D37" s="1717" t="s">
        <v>57</v>
      </c>
      <c r="E37" s="1715">
        <v>6194</v>
      </c>
      <c r="F37" s="1713">
        <v>0</v>
      </c>
      <c r="G37" s="1714">
        <f t="shared" si="1"/>
        <v>0</v>
      </c>
      <c r="H37" s="1704"/>
    </row>
    <row r="38" spans="2:8" s="1" customFormat="1" ht="24">
      <c r="B38" s="1711">
        <v>10</v>
      </c>
      <c r="C38" s="740" t="s">
        <v>2293</v>
      </c>
      <c r="D38" s="1717" t="s">
        <v>60</v>
      </c>
      <c r="E38" s="1715">
        <v>1</v>
      </c>
      <c r="F38" s="1713">
        <v>0</v>
      </c>
      <c r="G38" s="1714">
        <f t="shared" si="1"/>
        <v>0</v>
      </c>
      <c r="H38" s="1703"/>
    </row>
    <row r="39" spans="2:8" s="1" customFormat="1" ht="14.25" customHeight="1">
      <c r="B39" s="1711">
        <v>11</v>
      </c>
      <c r="C39" s="1655" t="s">
        <v>67</v>
      </c>
      <c r="D39" s="1717" t="s">
        <v>60</v>
      </c>
      <c r="E39" s="1715">
        <v>1</v>
      </c>
      <c r="F39" s="1713">
        <v>0</v>
      </c>
      <c r="G39" s="1714">
        <f t="shared" si="1"/>
        <v>0</v>
      </c>
      <c r="H39" s="1703"/>
    </row>
    <row r="40" spans="2:8" s="1" customFormat="1" ht="50.25" customHeight="1">
      <c r="B40" s="1711">
        <v>12</v>
      </c>
      <c r="C40" s="1719" t="s">
        <v>68</v>
      </c>
      <c r="D40" s="1717" t="s">
        <v>60</v>
      </c>
      <c r="E40" s="1718">
        <v>1</v>
      </c>
      <c r="F40" s="1713">
        <v>0</v>
      </c>
      <c r="G40" s="1714">
        <f t="shared" si="1"/>
        <v>0</v>
      </c>
      <c r="H40" s="1703"/>
    </row>
    <row r="41" spans="2:8" s="1" customFormat="1" ht="51" customHeight="1">
      <c r="B41" s="1711">
        <v>13</v>
      </c>
      <c r="C41" s="1719" t="s">
        <v>69</v>
      </c>
      <c r="D41" s="1717" t="s">
        <v>60</v>
      </c>
      <c r="E41" s="1718">
        <v>1</v>
      </c>
      <c r="F41" s="1713">
        <v>0</v>
      </c>
      <c r="G41" s="1714">
        <f t="shared" si="1"/>
        <v>0</v>
      </c>
      <c r="H41" s="1704"/>
    </row>
    <row r="42" spans="2:8" s="439" customFormat="1">
      <c r="B42" s="475"/>
      <c r="C42" s="1733"/>
      <c r="D42" s="1738"/>
      <c r="E42" s="1910"/>
      <c r="F42" s="1911"/>
      <c r="G42" s="1912"/>
      <c r="H42" s="441"/>
    </row>
    <row r="43" spans="2:8" s="439" customFormat="1">
      <c r="B43" s="481" t="s">
        <v>43</v>
      </c>
      <c r="C43" s="482" t="s">
        <v>70</v>
      </c>
      <c r="D43" s="382"/>
      <c r="E43" s="483"/>
      <c r="F43" s="484"/>
      <c r="G43" s="485">
        <f>SUM(G29:G42)</f>
        <v>0</v>
      </c>
      <c r="H43" s="441"/>
    </row>
    <row r="44" spans="2:8" s="439" customFormat="1">
      <c r="B44" s="438"/>
      <c r="C44" s="1734"/>
      <c r="D44" s="1982"/>
      <c r="E44" s="1906"/>
      <c r="F44" s="399"/>
      <c r="G44" s="387"/>
      <c r="H44" s="441"/>
    </row>
    <row r="48" spans="2:8" s="439" customFormat="1" ht="20.25">
      <c r="B48" s="454" t="s">
        <v>45</v>
      </c>
      <c r="C48" s="1735" t="s">
        <v>71</v>
      </c>
      <c r="D48" s="391"/>
      <c r="E48" s="368"/>
      <c r="F48" s="369"/>
      <c r="G48" s="370"/>
      <c r="H48" s="441"/>
    </row>
    <row r="49" spans="2:12" s="439" customFormat="1" ht="99.75" customHeight="1">
      <c r="B49" s="2447" t="s">
        <v>72</v>
      </c>
      <c r="C49" s="2448"/>
      <c r="D49" s="2448"/>
      <c r="E49" s="2448"/>
      <c r="F49" s="2448"/>
      <c r="G49" s="2449"/>
      <c r="H49" s="441"/>
    </row>
    <row r="50" spans="2:12" s="439" customFormat="1" ht="12.75" customHeight="1">
      <c r="B50" s="486"/>
      <c r="C50" s="1729"/>
      <c r="D50" s="1982"/>
      <c r="E50" s="1906"/>
      <c r="F50" s="399"/>
      <c r="G50" s="387"/>
      <c r="H50" s="441"/>
    </row>
    <row r="51" spans="2:12" s="439" customFormat="1" ht="25.5">
      <c r="B51" s="463" t="s">
        <v>421</v>
      </c>
      <c r="C51" s="1733" t="s">
        <v>422</v>
      </c>
      <c r="D51" s="1738" t="s">
        <v>423</v>
      </c>
      <c r="E51" s="1913">
        <v>773.51</v>
      </c>
      <c r="F51" s="458">
        <v>0</v>
      </c>
      <c r="G51" s="1912">
        <f>F51*E51</f>
        <v>0</v>
      </c>
      <c r="H51" s="441"/>
      <c r="I51" s="487"/>
      <c r="K51" s="487"/>
      <c r="L51" s="487"/>
    </row>
    <row r="52" spans="2:12" s="439" customFormat="1" ht="13.5" customHeight="1">
      <c r="B52" s="463"/>
      <c r="C52" s="1733"/>
      <c r="D52" s="1738"/>
      <c r="E52" s="1913"/>
      <c r="F52" s="459"/>
      <c r="G52" s="1912"/>
      <c r="H52" s="441"/>
      <c r="I52" s="487"/>
    </row>
    <row r="53" spans="2:12" s="439" customFormat="1" ht="45.75" customHeight="1">
      <c r="B53" s="463">
        <v>2.2000000000000002</v>
      </c>
      <c r="C53" s="1733" t="s">
        <v>424</v>
      </c>
      <c r="D53" s="1983" t="s">
        <v>423</v>
      </c>
      <c r="E53" s="1913">
        <v>845.79</v>
      </c>
      <c r="F53" s="458">
        <v>0</v>
      </c>
      <c r="G53" s="1912">
        <f>F53*E53</f>
        <v>0</v>
      </c>
      <c r="H53" s="441"/>
    </row>
    <row r="54" spans="2:12" s="439" customFormat="1" ht="12.75" customHeight="1">
      <c r="B54" s="468"/>
      <c r="C54" s="1733"/>
      <c r="D54" s="1983"/>
      <c r="E54" s="1913"/>
      <c r="F54" s="459"/>
      <c r="G54" s="1912"/>
      <c r="H54" s="441"/>
    </row>
    <row r="55" spans="2:12" s="439" customFormat="1" ht="38.25">
      <c r="B55" s="463">
        <v>2.2999999999999998</v>
      </c>
      <c r="C55" s="1733" t="s">
        <v>425</v>
      </c>
      <c r="D55" s="1738" t="s">
        <v>74</v>
      </c>
      <c r="E55" s="1913">
        <v>7612</v>
      </c>
      <c r="F55" s="458">
        <v>0</v>
      </c>
      <c r="G55" s="1912">
        <f>F55*E55</f>
        <v>0</v>
      </c>
      <c r="H55" s="441"/>
    </row>
    <row r="56" spans="2:12" s="439" customFormat="1">
      <c r="B56" s="463"/>
      <c r="C56" s="1733"/>
      <c r="D56" s="1738"/>
      <c r="E56" s="1913"/>
      <c r="F56" s="459"/>
      <c r="G56" s="1912"/>
      <c r="H56" s="441"/>
    </row>
    <row r="57" spans="2:12" s="439" customFormat="1" ht="25.5">
      <c r="B57" s="463">
        <v>2.4</v>
      </c>
      <c r="C57" s="1733" t="s">
        <v>426</v>
      </c>
      <c r="D57" s="1738" t="s">
        <v>74</v>
      </c>
      <c r="E57" s="1913">
        <v>1120.9100000000001</v>
      </c>
      <c r="F57" s="458">
        <v>0</v>
      </c>
      <c r="G57" s="1912">
        <f>F57*E57</f>
        <v>0</v>
      </c>
      <c r="H57" s="441"/>
      <c r="J57" s="489"/>
    </row>
    <row r="58" spans="2:12" s="439" customFormat="1">
      <c r="B58" s="463"/>
      <c r="C58" s="1733"/>
      <c r="D58" s="1738"/>
      <c r="E58" s="1913"/>
      <c r="F58" s="459"/>
      <c r="G58" s="1912"/>
      <c r="H58" s="441"/>
    </row>
    <row r="59" spans="2:12" s="439" customFormat="1" ht="29.25" customHeight="1">
      <c r="B59" s="463">
        <v>2.5</v>
      </c>
      <c r="C59" s="1733" t="s">
        <v>427</v>
      </c>
      <c r="D59" s="1738" t="s">
        <v>74</v>
      </c>
      <c r="E59" s="1913">
        <v>124.55</v>
      </c>
      <c r="F59" s="458">
        <v>0</v>
      </c>
      <c r="G59" s="1912">
        <f>F59*E59</f>
        <v>0</v>
      </c>
      <c r="H59" s="441"/>
    </row>
    <row r="60" spans="2:12" s="439" customFormat="1">
      <c r="B60" s="463"/>
      <c r="C60" s="1733"/>
      <c r="D60" s="1738"/>
      <c r="E60" s="1913"/>
      <c r="F60" s="459"/>
      <c r="G60" s="1912"/>
      <c r="H60" s="441"/>
    </row>
    <row r="61" spans="2:12" s="439" customFormat="1" ht="25.5">
      <c r="B61" s="490" t="s">
        <v>428</v>
      </c>
      <c r="C61" s="1736" t="s">
        <v>429</v>
      </c>
      <c r="D61" s="1984" t="s">
        <v>78</v>
      </c>
      <c r="E61" s="1914">
        <v>10500</v>
      </c>
      <c r="F61" s="458">
        <v>0</v>
      </c>
      <c r="G61" s="1912">
        <f>F61*E61</f>
        <v>0</v>
      </c>
      <c r="H61" s="441"/>
    </row>
    <row r="62" spans="2:12" s="439" customFormat="1">
      <c r="B62" s="463"/>
      <c r="C62" s="1733"/>
      <c r="D62" s="1738"/>
      <c r="E62" s="1913"/>
      <c r="F62" s="459"/>
      <c r="G62" s="1912"/>
      <c r="H62" s="441"/>
    </row>
    <row r="63" spans="2:12" s="439" customFormat="1" ht="25.5">
      <c r="B63" s="463">
        <v>2.7</v>
      </c>
      <c r="C63" s="1733" t="s">
        <v>430</v>
      </c>
      <c r="D63" s="1738" t="s">
        <v>431</v>
      </c>
      <c r="E63" s="1913">
        <v>4193.3</v>
      </c>
      <c r="F63" s="458">
        <v>0</v>
      </c>
      <c r="G63" s="1912">
        <f>F63*E63</f>
        <v>0</v>
      </c>
      <c r="H63" s="441"/>
    </row>
    <row r="64" spans="2:12" s="439" customFormat="1" ht="12.75" customHeight="1">
      <c r="B64" s="463"/>
      <c r="C64" s="1733"/>
      <c r="D64" s="1738"/>
      <c r="E64" s="1913"/>
      <c r="F64" s="459"/>
      <c r="G64" s="1912"/>
      <c r="H64" s="441"/>
      <c r="I64" s="491"/>
    </row>
    <row r="65" spans="2:9" s="439" customFormat="1" ht="39.75" customHeight="1">
      <c r="B65" s="463">
        <v>2.8</v>
      </c>
      <c r="C65" s="1733" t="s">
        <v>432</v>
      </c>
      <c r="D65" s="1738" t="s">
        <v>423</v>
      </c>
      <c r="E65" s="1913">
        <v>2376.38</v>
      </c>
      <c r="F65" s="458">
        <v>0</v>
      </c>
      <c r="G65" s="1912">
        <f>F65*E65</f>
        <v>0</v>
      </c>
      <c r="H65" s="441"/>
      <c r="I65" s="491"/>
    </row>
    <row r="66" spans="2:9" s="439" customFormat="1" ht="15" customHeight="1">
      <c r="B66" s="463"/>
      <c r="C66" s="1733"/>
      <c r="D66" s="1738"/>
      <c r="E66" s="1913"/>
      <c r="F66" s="459"/>
      <c r="G66" s="1912"/>
      <c r="H66" s="441"/>
    </row>
    <row r="67" spans="2:9" s="439" customFormat="1" ht="40.5" customHeight="1">
      <c r="B67" s="463">
        <v>2.9</v>
      </c>
      <c r="C67" s="1733" t="s">
        <v>433</v>
      </c>
      <c r="D67" s="1738" t="s">
        <v>423</v>
      </c>
      <c r="E67" s="1913">
        <v>6600.89</v>
      </c>
      <c r="F67" s="458">
        <v>0</v>
      </c>
      <c r="G67" s="1912">
        <f>F67*E67</f>
        <v>0</v>
      </c>
      <c r="H67" s="441"/>
    </row>
    <row r="68" spans="2:9" s="439" customFormat="1" ht="17.25" customHeight="1">
      <c r="B68" s="463"/>
      <c r="C68" s="1733"/>
      <c r="D68" s="1738"/>
      <c r="E68" s="1913"/>
      <c r="F68" s="459"/>
      <c r="G68" s="1912"/>
      <c r="H68" s="441"/>
    </row>
    <row r="69" spans="2:9" s="439" customFormat="1" ht="54" customHeight="1">
      <c r="B69" s="492" t="s">
        <v>434</v>
      </c>
      <c r="C69" s="1737" t="s">
        <v>435</v>
      </c>
      <c r="D69" s="1869" t="s">
        <v>436</v>
      </c>
      <c r="E69" s="1913">
        <v>528</v>
      </c>
      <c r="F69" s="458">
        <v>0</v>
      </c>
      <c r="G69" s="1915">
        <f>F69*E69</f>
        <v>0</v>
      </c>
      <c r="H69" s="441"/>
    </row>
    <row r="70" spans="2:9" s="439" customFormat="1">
      <c r="B70" s="463"/>
      <c r="C70" s="1733"/>
      <c r="D70" s="1738"/>
      <c r="E70" s="1913"/>
      <c r="F70" s="459"/>
      <c r="G70" s="1912"/>
      <c r="H70" s="441"/>
    </row>
    <row r="71" spans="2:9" s="439" customFormat="1" ht="41.25" customHeight="1">
      <c r="B71" s="492" t="s">
        <v>434</v>
      </c>
      <c r="C71" s="1733" t="s">
        <v>437</v>
      </c>
      <c r="D71" s="1738" t="s">
        <v>423</v>
      </c>
      <c r="E71" s="1913">
        <v>1479.63</v>
      </c>
      <c r="F71" s="458">
        <v>0</v>
      </c>
      <c r="G71" s="1912">
        <f>F71*E71</f>
        <v>0</v>
      </c>
      <c r="H71" s="441"/>
    </row>
    <row r="72" spans="2:9" s="439" customFormat="1" ht="15" customHeight="1">
      <c r="B72" s="463"/>
      <c r="C72" s="1733"/>
      <c r="D72" s="1738"/>
      <c r="E72" s="1913"/>
      <c r="F72" s="459"/>
      <c r="G72" s="1912"/>
      <c r="H72" s="441"/>
    </row>
    <row r="73" spans="2:9" s="439" customFormat="1">
      <c r="B73" s="492" t="s">
        <v>438</v>
      </c>
      <c r="C73" s="1733" t="s">
        <v>439</v>
      </c>
      <c r="D73" s="1738" t="s">
        <v>74</v>
      </c>
      <c r="E73" s="1913">
        <v>3082.5</v>
      </c>
      <c r="F73" s="458">
        <v>0</v>
      </c>
      <c r="G73" s="1912">
        <f>F73*E73</f>
        <v>0</v>
      </c>
      <c r="H73" s="441"/>
    </row>
    <row r="74" spans="2:9" s="439" customFormat="1">
      <c r="B74" s="463"/>
      <c r="C74" s="1733"/>
      <c r="D74" s="1738"/>
      <c r="E74" s="1913"/>
      <c r="F74" s="459"/>
      <c r="G74" s="1912"/>
      <c r="H74" s="441"/>
    </row>
    <row r="75" spans="2:9" s="439" customFormat="1">
      <c r="B75" s="492" t="s">
        <v>440</v>
      </c>
      <c r="C75" s="1733" t="s">
        <v>441</v>
      </c>
      <c r="D75" s="1738" t="s">
        <v>74</v>
      </c>
      <c r="E75" s="1913">
        <v>3082.5</v>
      </c>
      <c r="F75" s="459">
        <v>0</v>
      </c>
      <c r="G75" s="1912">
        <f>F75*E75</f>
        <v>0</v>
      </c>
      <c r="H75" s="441"/>
    </row>
    <row r="76" spans="2:9" s="439" customFormat="1">
      <c r="B76" s="492"/>
      <c r="C76" s="1733"/>
      <c r="D76" s="1738"/>
      <c r="E76" s="1913"/>
      <c r="F76" s="459" t="s">
        <v>2044</v>
      </c>
      <c r="G76" s="1912"/>
      <c r="H76" s="441"/>
    </row>
    <row r="77" spans="2:9" s="439" customFormat="1" ht="14.25">
      <c r="B77" s="492" t="s">
        <v>442</v>
      </c>
      <c r="C77" s="1733" t="s">
        <v>443</v>
      </c>
      <c r="D77" s="1983" t="s">
        <v>431</v>
      </c>
      <c r="E77" s="1913">
        <v>600</v>
      </c>
      <c r="F77" s="459">
        <v>0</v>
      </c>
      <c r="G77" s="1912">
        <f>E77*F77</f>
        <v>0</v>
      </c>
      <c r="H77" s="441"/>
    </row>
    <row r="78" spans="2:9" s="439" customFormat="1">
      <c r="B78" s="492"/>
      <c r="C78" s="1733"/>
      <c r="D78" s="1738"/>
      <c r="E78" s="1913"/>
      <c r="F78" s="459" t="s">
        <v>2044</v>
      </c>
      <c r="G78" s="1912"/>
      <c r="H78" s="441"/>
    </row>
    <row r="79" spans="2:9" s="439" customFormat="1" ht="29.25" customHeight="1">
      <c r="B79" s="492" t="s">
        <v>444</v>
      </c>
      <c r="C79" s="1733" t="s">
        <v>445</v>
      </c>
      <c r="D79" s="1738" t="s">
        <v>446</v>
      </c>
      <c r="E79" s="1913">
        <v>793</v>
      </c>
      <c r="F79" s="459">
        <v>0</v>
      </c>
      <c r="G79" s="1912">
        <f>F79*E79</f>
        <v>0</v>
      </c>
      <c r="H79" s="441"/>
    </row>
    <row r="80" spans="2:9" s="439" customFormat="1">
      <c r="B80" s="463"/>
      <c r="C80" s="1733"/>
      <c r="D80" s="1738"/>
      <c r="E80" s="1913"/>
      <c r="F80" s="459" t="s">
        <v>2044</v>
      </c>
      <c r="G80" s="1912"/>
      <c r="H80" s="441"/>
    </row>
    <row r="81" spans="2:12" s="439" customFormat="1" ht="28.5" customHeight="1">
      <c r="B81" s="492" t="s">
        <v>447</v>
      </c>
      <c r="C81" s="1733" t="s">
        <v>448</v>
      </c>
      <c r="D81" s="1983" t="s">
        <v>431</v>
      </c>
      <c r="E81" s="1913">
        <v>1415</v>
      </c>
      <c r="F81" s="459">
        <v>0</v>
      </c>
      <c r="G81" s="1912">
        <f>F81*E81</f>
        <v>0</v>
      </c>
      <c r="H81" s="441"/>
      <c r="K81" s="493"/>
      <c r="L81" s="494"/>
    </row>
    <row r="82" spans="2:12" s="439" customFormat="1">
      <c r="B82" s="468"/>
      <c r="C82" s="1738"/>
      <c r="D82" s="1983"/>
      <c r="E82" s="1913"/>
      <c r="F82" s="459" t="s">
        <v>2044</v>
      </c>
      <c r="G82" s="1912"/>
      <c r="H82" s="441"/>
      <c r="K82" s="493"/>
      <c r="L82" s="494"/>
    </row>
    <row r="83" spans="2:12" s="439" customFormat="1" ht="50.25" customHeight="1">
      <c r="B83" s="492" t="s">
        <v>449</v>
      </c>
      <c r="C83" s="1733" t="s">
        <v>450</v>
      </c>
      <c r="D83" s="1738" t="s">
        <v>431</v>
      </c>
      <c r="E83" s="1913">
        <v>1350</v>
      </c>
      <c r="F83" s="459">
        <v>0</v>
      </c>
      <c r="G83" s="1912">
        <f>E83*F83</f>
        <v>0</v>
      </c>
      <c r="H83" s="441"/>
      <c r="K83" s="495"/>
      <c r="L83" s="496"/>
    </row>
    <row r="84" spans="2:12" s="439" customFormat="1" ht="12" customHeight="1">
      <c r="B84" s="492"/>
      <c r="C84" s="1733"/>
      <c r="D84" s="1983"/>
      <c r="E84" s="1913"/>
      <c r="F84" s="459" t="s">
        <v>2044</v>
      </c>
      <c r="G84" s="1912"/>
      <c r="H84" s="441"/>
      <c r="K84" s="495"/>
      <c r="L84" s="496"/>
    </row>
    <row r="85" spans="2:12" s="439" customFormat="1" ht="39.75" customHeight="1">
      <c r="B85" s="492" t="s">
        <v>451</v>
      </c>
      <c r="C85" s="1733" t="s">
        <v>452</v>
      </c>
      <c r="D85" s="1738" t="s">
        <v>431</v>
      </c>
      <c r="E85" s="1913">
        <v>1350</v>
      </c>
      <c r="F85" s="459">
        <v>0</v>
      </c>
      <c r="G85" s="1912">
        <f>E85*F85</f>
        <v>0</v>
      </c>
      <c r="H85" s="441"/>
      <c r="K85" s="495"/>
      <c r="L85" s="496"/>
    </row>
    <row r="86" spans="2:12" s="439" customFormat="1" ht="15.75" customHeight="1">
      <c r="B86" s="468"/>
      <c r="C86" s="1738"/>
      <c r="D86" s="1983"/>
      <c r="E86" s="1913"/>
      <c r="F86" s="459" t="s">
        <v>2044</v>
      </c>
      <c r="G86" s="1912"/>
      <c r="H86" s="441"/>
      <c r="K86" s="497"/>
      <c r="L86" s="498"/>
    </row>
    <row r="87" spans="2:12" s="439" customFormat="1" ht="51">
      <c r="B87" s="492" t="s">
        <v>453</v>
      </c>
      <c r="C87" s="1733" t="s">
        <v>454</v>
      </c>
      <c r="D87" s="1738" t="s">
        <v>431</v>
      </c>
      <c r="E87" s="1913">
        <v>65</v>
      </c>
      <c r="F87" s="459">
        <v>0</v>
      </c>
      <c r="G87" s="1912">
        <f>F87*E87</f>
        <v>0</v>
      </c>
      <c r="H87" s="441"/>
    </row>
    <row r="88" spans="2:12" s="439" customFormat="1">
      <c r="B88" s="463"/>
      <c r="C88" s="1733"/>
      <c r="D88" s="1738"/>
      <c r="E88" s="1913"/>
      <c r="F88" s="459" t="s">
        <v>2044</v>
      </c>
      <c r="G88" s="1912"/>
      <c r="H88" s="441"/>
    </row>
    <row r="89" spans="2:12" s="439" customFormat="1" ht="25.5">
      <c r="B89" s="492" t="s">
        <v>455</v>
      </c>
      <c r="C89" s="1733" t="s">
        <v>456</v>
      </c>
      <c r="D89" s="1738" t="s">
        <v>457</v>
      </c>
      <c r="E89" s="1913">
        <v>212.25</v>
      </c>
      <c r="F89" s="459">
        <v>0</v>
      </c>
      <c r="G89" s="1912">
        <f>F89*E89</f>
        <v>0</v>
      </c>
      <c r="H89" s="441"/>
    </row>
    <row r="90" spans="2:12" s="439" customFormat="1">
      <c r="B90" s="492"/>
      <c r="C90" s="1733"/>
      <c r="D90" s="1738"/>
      <c r="E90" s="1913"/>
      <c r="F90" s="459" t="s">
        <v>2044</v>
      </c>
      <c r="G90" s="1912"/>
      <c r="H90" s="441"/>
    </row>
    <row r="91" spans="2:12" s="439" customFormat="1" ht="25.5">
      <c r="B91" s="492" t="s">
        <v>458</v>
      </c>
      <c r="C91" s="1733" t="s">
        <v>459</v>
      </c>
      <c r="D91" s="1983" t="s">
        <v>78</v>
      </c>
      <c r="E91" s="1913">
        <v>1002</v>
      </c>
      <c r="F91" s="459">
        <v>0</v>
      </c>
      <c r="G91" s="1912">
        <f>F91*E91</f>
        <v>0</v>
      </c>
      <c r="H91" s="441"/>
    </row>
    <row r="92" spans="2:12" s="439" customFormat="1" ht="15" customHeight="1">
      <c r="B92" s="468"/>
      <c r="C92" s="1739"/>
      <c r="D92" s="1983"/>
      <c r="E92" s="1913"/>
      <c r="F92" s="459" t="s">
        <v>2044</v>
      </c>
      <c r="G92" s="1912"/>
      <c r="H92" s="441"/>
      <c r="K92" s="500"/>
      <c r="L92" s="501"/>
    </row>
    <row r="93" spans="2:12" s="439" customFormat="1" ht="63.75">
      <c r="B93" s="492" t="s">
        <v>460</v>
      </c>
      <c r="C93" s="1740" t="s">
        <v>461</v>
      </c>
      <c r="D93" s="1983"/>
      <c r="E93" s="1913"/>
      <c r="F93" s="459" t="s">
        <v>2044</v>
      </c>
      <c r="G93" s="1912"/>
      <c r="H93" s="441"/>
    </row>
    <row r="94" spans="2:12" s="439" customFormat="1">
      <c r="B94" s="468"/>
      <c r="C94" s="1739" t="s">
        <v>462</v>
      </c>
      <c r="D94" s="1983" t="s">
        <v>57</v>
      </c>
      <c r="E94" s="1913">
        <v>8</v>
      </c>
      <c r="F94" s="459">
        <v>0</v>
      </c>
      <c r="G94" s="1912">
        <f>E94*F94</f>
        <v>0</v>
      </c>
      <c r="H94" s="441"/>
    </row>
    <row r="95" spans="2:12" s="439" customFormat="1">
      <c r="B95" s="468"/>
      <c r="C95" s="1739"/>
      <c r="D95" s="1983"/>
      <c r="E95" s="1913"/>
      <c r="F95" s="459" t="s">
        <v>2044</v>
      </c>
      <c r="G95" s="1912"/>
      <c r="H95" s="441"/>
    </row>
    <row r="96" spans="2:12" s="439" customFormat="1" ht="63.75">
      <c r="B96" s="492" t="s">
        <v>463</v>
      </c>
      <c r="C96" s="1740" t="s">
        <v>461</v>
      </c>
      <c r="D96" s="1983"/>
      <c r="E96" s="1913"/>
      <c r="F96" s="459" t="s">
        <v>2044</v>
      </c>
      <c r="G96" s="1912"/>
      <c r="H96" s="441"/>
    </row>
    <row r="97" spans="2:12" s="439" customFormat="1">
      <c r="B97" s="468"/>
      <c r="C97" s="1739" t="s">
        <v>464</v>
      </c>
      <c r="D97" s="1983" t="s">
        <v>57</v>
      </c>
      <c r="E97" s="1913">
        <v>16</v>
      </c>
      <c r="F97" s="459">
        <v>0</v>
      </c>
      <c r="G97" s="1912">
        <f>E97*F97</f>
        <v>0</v>
      </c>
      <c r="H97" s="441"/>
    </row>
    <row r="98" spans="2:12" s="439" customFormat="1">
      <c r="B98" s="468"/>
      <c r="C98" s="1739"/>
      <c r="D98" s="1983"/>
      <c r="E98" s="1913"/>
      <c r="F98" s="459" t="s">
        <v>2044</v>
      </c>
      <c r="G98" s="1912"/>
      <c r="H98" s="441"/>
    </row>
    <row r="99" spans="2:12" s="439" customFormat="1" ht="63.75">
      <c r="B99" s="492" t="s">
        <v>465</v>
      </c>
      <c r="C99" s="1740" t="s">
        <v>461</v>
      </c>
      <c r="D99" s="1983"/>
      <c r="E99" s="1913"/>
      <c r="F99" s="459" t="s">
        <v>2044</v>
      </c>
      <c r="G99" s="1912"/>
      <c r="H99" s="441"/>
    </row>
    <row r="100" spans="2:12" s="439" customFormat="1">
      <c r="B100" s="468"/>
      <c r="C100" s="1739" t="s">
        <v>466</v>
      </c>
      <c r="D100" s="1983" t="s">
        <v>57</v>
      </c>
      <c r="E100" s="1913">
        <v>8</v>
      </c>
      <c r="F100" s="459">
        <v>0</v>
      </c>
      <c r="G100" s="1912">
        <f>E100*F100</f>
        <v>0</v>
      </c>
      <c r="H100" s="488"/>
    </row>
    <row r="101" spans="2:12" s="439" customFormat="1">
      <c r="B101" s="468"/>
      <c r="C101" s="1739"/>
      <c r="D101" s="1983"/>
      <c r="E101" s="1913"/>
      <c r="F101" s="459" t="s">
        <v>2044</v>
      </c>
      <c r="G101" s="1912"/>
      <c r="H101" s="441"/>
    </row>
    <row r="102" spans="2:12" s="439" customFormat="1" ht="92.25" customHeight="1">
      <c r="B102" s="492" t="s">
        <v>465</v>
      </c>
      <c r="C102" s="1741" t="s">
        <v>467</v>
      </c>
      <c r="D102" s="1983" t="s">
        <v>57</v>
      </c>
      <c r="E102" s="1913">
        <v>54.5</v>
      </c>
      <c r="F102" s="459">
        <v>0</v>
      </c>
      <c r="G102" s="1912">
        <f>E102*F102</f>
        <v>0</v>
      </c>
      <c r="H102" s="441"/>
      <c r="L102" s="502"/>
    </row>
    <row r="103" spans="2:12" s="439" customFormat="1">
      <c r="B103" s="468"/>
      <c r="C103" s="1733"/>
      <c r="D103" s="1983"/>
      <c r="E103" s="1913"/>
      <c r="F103" s="459" t="s">
        <v>2044</v>
      </c>
      <c r="G103" s="1912"/>
      <c r="H103" s="441"/>
    </row>
    <row r="104" spans="2:12" s="439" customFormat="1" ht="41.25" customHeight="1">
      <c r="B104" s="492" t="s">
        <v>468</v>
      </c>
      <c r="C104" s="504" t="s">
        <v>97</v>
      </c>
      <c r="D104" s="1985" t="s">
        <v>74</v>
      </c>
      <c r="E104" s="1916">
        <v>60</v>
      </c>
      <c r="F104" s="1917">
        <v>0</v>
      </c>
      <c r="G104" s="1912">
        <f>E104*F104</f>
        <v>0</v>
      </c>
      <c r="H104" s="441"/>
    </row>
    <row r="105" spans="2:12" s="439" customFormat="1">
      <c r="B105" s="503"/>
      <c r="C105" s="504"/>
      <c r="D105" s="1985"/>
      <c r="E105" s="1916"/>
      <c r="F105" s="1917" t="s">
        <v>2044</v>
      </c>
      <c r="G105" s="1912"/>
      <c r="H105" s="441"/>
    </row>
    <row r="106" spans="2:12" s="439" customFormat="1" ht="36.75" customHeight="1">
      <c r="B106" s="492" t="s">
        <v>469</v>
      </c>
      <c r="C106" s="504" t="s">
        <v>470</v>
      </c>
      <c r="D106" s="1985" t="s">
        <v>66</v>
      </c>
      <c r="E106" s="1916">
        <v>10</v>
      </c>
      <c r="F106" s="1917">
        <v>0</v>
      </c>
      <c r="G106" s="1912">
        <f>E106*F106</f>
        <v>0</v>
      </c>
      <c r="H106" s="505"/>
    </row>
    <row r="107" spans="2:12" s="439" customFormat="1" ht="15.75" customHeight="1">
      <c r="B107" s="503"/>
      <c r="C107" s="504"/>
      <c r="D107" s="1985"/>
      <c r="E107" s="1916"/>
      <c r="F107" s="1917" t="s">
        <v>2044</v>
      </c>
      <c r="G107" s="1912"/>
      <c r="H107" s="441"/>
      <c r="I107" s="166"/>
    </row>
    <row r="108" spans="2:12" s="439" customFormat="1" ht="37.5" customHeight="1">
      <c r="B108" s="492" t="s">
        <v>471</v>
      </c>
      <c r="C108" s="1742" t="s">
        <v>472</v>
      </c>
      <c r="D108" s="1920" t="s">
        <v>74</v>
      </c>
      <c r="E108" s="1916">
        <v>5.6</v>
      </c>
      <c r="F108" s="1918">
        <v>0</v>
      </c>
      <c r="G108" s="1912">
        <f>E108*F108</f>
        <v>0</v>
      </c>
      <c r="H108" s="441"/>
    </row>
    <row r="109" spans="2:12" s="439" customFormat="1" ht="17.25" customHeight="1">
      <c r="B109" s="492"/>
      <c r="C109" s="1742"/>
      <c r="D109" s="1986"/>
      <c r="E109" s="1916"/>
      <c r="F109" s="1919" t="s">
        <v>2044</v>
      </c>
      <c r="G109" s="459"/>
      <c r="H109" s="441"/>
    </row>
    <row r="110" spans="2:12" s="439" customFormat="1" ht="111.75" customHeight="1">
      <c r="B110" s="492" t="s">
        <v>473</v>
      </c>
      <c r="C110" s="402" t="s">
        <v>2225</v>
      </c>
      <c r="D110" s="1920" t="s">
        <v>66</v>
      </c>
      <c r="E110" s="1916">
        <v>5</v>
      </c>
      <c r="F110" s="1920">
        <v>0</v>
      </c>
      <c r="G110" s="1921">
        <f>E110*F110</f>
        <v>0</v>
      </c>
      <c r="H110" s="441"/>
    </row>
    <row r="111" spans="2:12" s="439" customFormat="1" ht="15" customHeight="1">
      <c r="B111" s="492"/>
      <c r="C111" s="1742"/>
      <c r="D111" s="1986"/>
      <c r="E111" s="1916"/>
      <c r="F111" s="1919" t="s">
        <v>2044</v>
      </c>
      <c r="G111" s="459"/>
      <c r="H111" s="441"/>
    </row>
    <row r="112" spans="2:12" s="439" customFormat="1" ht="111" customHeight="1">
      <c r="B112" s="492" t="s">
        <v>473</v>
      </c>
      <c r="C112" s="402" t="s">
        <v>2224</v>
      </c>
      <c r="D112" s="1920" t="s">
        <v>66</v>
      </c>
      <c r="E112" s="1916">
        <v>5</v>
      </c>
      <c r="F112" s="1920">
        <v>0</v>
      </c>
      <c r="G112" s="1921">
        <f>E112*F112</f>
        <v>0</v>
      </c>
      <c r="H112" s="441"/>
    </row>
    <row r="113" spans="2:10" s="439" customFormat="1" ht="15" customHeight="1">
      <c r="B113" s="492"/>
      <c r="C113" s="1742"/>
      <c r="D113" s="1986"/>
      <c r="E113" s="1916"/>
      <c r="F113" s="1919" t="s">
        <v>2044</v>
      </c>
      <c r="G113" s="459"/>
      <c r="H113" s="441"/>
    </row>
    <row r="114" spans="2:10" s="439" customFormat="1" ht="113.25" customHeight="1">
      <c r="B114" s="492" t="s">
        <v>474</v>
      </c>
      <c r="C114" s="402" t="s">
        <v>2223</v>
      </c>
      <c r="D114" s="1920" t="s">
        <v>66</v>
      </c>
      <c r="E114" s="1916">
        <v>1</v>
      </c>
      <c r="F114" s="1920">
        <v>0</v>
      </c>
      <c r="G114" s="1921">
        <f>E114*F114</f>
        <v>0</v>
      </c>
      <c r="H114" s="441"/>
      <c r="J114" s="166"/>
    </row>
    <row r="115" spans="2:10" s="439" customFormat="1" ht="15" customHeight="1">
      <c r="B115" s="492"/>
      <c r="C115" s="504"/>
      <c r="D115" s="1920"/>
      <c r="E115" s="1916"/>
      <c r="F115" s="1920" t="s">
        <v>2044</v>
      </c>
      <c r="G115" s="1921"/>
      <c r="H115" s="441"/>
      <c r="J115" s="166"/>
    </row>
    <row r="116" spans="2:10" s="439" customFormat="1" ht="120">
      <c r="B116" s="492" t="s">
        <v>475</v>
      </c>
      <c r="C116" s="402" t="s">
        <v>2222</v>
      </c>
      <c r="D116" s="1920" t="s">
        <v>66</v>
      </c>
      <c r="E116" s="1916">
        <v>1</v>
      </c>
      <c r="F116" s="1920">
        <v>0</v>
      </c>
      <c r="G116" s="1921">
        <f>E116*F116</f>
        <v>0</v>
      </c>
      <c r="H116" s="441"/>
      <c r="J116" s="166"/>
    </row>
    <row r="117" spans="2:10" s="439" customFormat="1" ht="12.75" customHeight="1">
      <c r="B117" s="506"/>
      <c r="C117" s="1743"/>
      <c r="D117" s="1920"/>
      <c r="E117" s="1918"/>
      <c r="F117" s="1918" t="s">
        <v>2044</v>
      </c>
      <c r="G117" s="1912"/>
      <c r="H117" s="441"/>
      <c r="J117" s="166"/>
    </row>
    <row r="118" spans="2:10" s="439" customFormat="1" ht="114.75" customHeight="1">
      <c r="B118" s="492" t="s">
        <v>476</v>
      </c>
      <c r="C118" s="402" t="s">
        <v>2221</v>
      </c>
      <c r="D118" s="1920" t="s">
        <v>66</v>
      </c>
      <c r="E118" s="1916">
        <v>1</v>
      </c>
      <c r="F118" s="1920">
        <v>0</v>
      </c>
      <c r="G118" s="1921">
        <f>E118*F118</f>
        <v>0</v>
      </c>
      <c r="H118" s="441"/>
    </row>
    <row r="119" spans="2:10" s="439" customFormat="1" ht="15" customHeight="1">
      <c r="B119" s="492"/>
      <c r="C119" s="504"/>
      <c r="D119" s="1920"/>
      <c r="E119" s="1916"/>
      <c r="F119" s="1920" t="s">
        <v>2044</v>
      </c>
      <c r="G119" s="1921"/>
      <c r="H119" s="441"/>
    </row>
    <row r="120" spans="2:10" s="439" customFormat="1" ht="120">
      <c r="B120" s="492" t="s">
        <v>477</v>
      </c>
      <c r="C120" s="402" t="s">
        <v>2220</v>
      </c>
      <c r="D120" s="1920" t="s">
        <v>66</v>
      </c>
      <c r="E120" s="1916">
        <v>1</v>
      </c>
      <c r="F120" s="1920">
        <v>0</v>
      </c>
      <c r="G120" s="1921">
        <f>E120*F120</f>
        <v>0</v>
      </c>
      <c r="H120" s="441"/>
    </row>
    <row r="121" spans="2:10" s="439" customFormat="1" ht="15.75" customHeight="1">
      <c r="B121" s="492"/>
      <c r="C121" s="504"/>
      <c r="D121" s="1920"/>
      <c r="E121" s="1916"/>
      <c r="F121" s="1920" t="s">
        <v>2044</v>
      </c>
      <c r="G121" s="1921"/>
      <c r="H121" s="441"/>
    </row>
    <row r="122" spans="2:10" s="439" customFormat="1" ht="63.75">
      <c r="B122" s="492" t="s">
        <v>475</v>
      </c>
      <c r="C122" s="1744" t="s">
        <v>478</v>
      </c>
      <c r="D122" s="1920" t="s">
        <v>78</v>
      </c>
      <c r="E122" s="1916">
        <v>75</v>
      </c>
      <c r="F122" s="1920">
        <v>0</v>
      </c>
      <c r="G122" s="1921">
        <f>E122*F122</f>
        <v>0</v>
      </c>
      <c r="H122" s="441"/>
    </row>
    <row r="123" spans="2:10" s="439" customFormat="1" ht="24" customHeight="1">
      <c r="B123" s="492"/>
      <c r="C123" s="1744"/>
      <c r="D123" s="1920"/>
      <c r="E123" s="1916"/>
      <c r="F123" s="1920" t="s">
        <v>2044</v>
      </c>
      <c r="G123" s="1921"/>
      <c r="H123" s="441"/>
    </row>
    <row r="124" spans="2:10" s="439" customFormat="1" ht="27.75" customHeight="1">
      <c r="B124" s="492" t="s">
        <v>479</v>
      </c>
      <c r="C124" s="1744" t="s">
        <v>480</v>
      </c>
      <c r="D124" s="1920" t="s">
        <v>57</v>
      </c>
      <c r="E124" s="1913">
        <v>3</v>
      </c>
      <c r="F124" s="1920">
        <v>0</v>
      </c>
      <c r="G124" s="1921">
        <f>E124*F124</f>
        <v>0</v>
      </c>
      <c r="H124" s="441"/>
    </row>
    <row r="125" spans="2:10" s="439" customFormat="1" ht="15" customHeight="1">
      <c r="B125" s="492"/>
      <c r="C125" s="1744"/>
      <c r="D125" s="1920"/>
      <c r="E125" s="1916"/>
      <c r="F125" s="1920" t="s">
        <v>2044</v>
      </c>
      <c r="G125" s="1921"/>
      <c r="H125" s="441"/>
      <c r="J125" s="497"/>
    </row>
    <row r="126" spans="2:10" s="439" customFormat="1" ht="53.25" customHeight="1">
      <c r="B126" s="492" t="s">
        <v>481</v>
      </c>
      <c r="C126" s="1744" t="s">
        <v>482</v>
      </c>
      <c r="D126" s="1920" t="s">
        <v>57</v>
      </c>
      <c r="E126" s="1916">
        <v>3</v>
      </c>
      <c r="F126" s="1920">
        <v>0</v>
      </c>
      <c r="G126" s="1921">
        <f>E126*F126</f>
        <v>0</v>
      </c>
      <c r="H126" s="441"/>
      <c r="J126" s="497"/>
    </row>
    <row r="127" spans="2:10" s="439" customFormat="1" ht="14.25" customHeight="1">
      <c r="B127" s="492"/>
      <c r="C127" s="1744"/>
      <c r="D127" s="1920"/>
      <c r="E127" s="1916"/>
      <c r="F127" s="1920" t="s">
        <v>2044</v>
      </c>
      <c r="G127" s="1921"/>
      <c r="H127" s="441"/>
      <c r="J127" s="497"/>
    </row>
    <row r="128" spans="2:10" s="439" customFormat="1">
      <c r="B128" s="492" t="s">
        <v>483</v>
      </c>
      <c r="C128" s="1744" t="s">
        <v>484</v>
      </c>
      <c r="D128" s="1920" t="s">
        <v>66</v>
      </c>
      <c r="E128" s="1916">
        <v>9</v>
      </c>
      <c r="F128" s="1920">
        <v>0</v>
      </c>
      <c r="G128" s="1921">
        <f>E128*F128</f>
        <v>0</v>
      </c>
      <c r="H128" s="441"/>
      <c r="J128" s="497"/>
    </row>
    <row r="129" spans="2:10" s="439" customFormat="1" ht="14.25" customHeight="1">
      <c r="B129" s="492"/>
      <c r="C129" s="1744"/>
      <c r="D129" s="1920"/>
      <c r="E129" s="1916"/>
      <c r="F129" s="1920"/>
      <c r="G129" s="1921"/>
      <c r="H129" s="441"/>
      <c r="J129" s="497"/>
    </row>
    <row r="130" spans="2:10" s="439" customFormat="1" ht="15.75" customHeight="1">
      <c r="B130" s="507"/>
      <c r="C130" s="1745"/>
      <c r="D130" s="1987"/>
      <c r="E130" s="1922"/>
      <c r="F130" s="1923"/>
      <c r="G130" s="1924"/>
      <c r="H130" s="441"/>
    </row>
    <row r="131" spans="2:10" s="439" customFormat="1" ht="13.5" customHeight="1">
      <c r="B131" s="481" t="s">
        <v>45</v>
      </c>
      <c r="C131" s="482" t="s">
        <v>101</v>
      </c>
      <c r="D131" s="382"/>
      <c r="E131" s="483"/>
      <c r="F131" s="484"/>
      <c r="G131" s="485">
        <f>SUM(G51:G129)</f>
        <v>0</v>
      </c>
      <c r="H131" s="441"/>
    </row>
    <row r="135" spans="2:10" s="439" customFormat="1" ht="18" customHeight="1">
      <c r="B135" s="452" t="s">
        <v>41</v>
      </c>
      <c r="C135" s="357" t="s">
        <v>51</v>
      </c>
      <c r="D135" s="357" t="s">
        <v>52</v>
      </c>
      <c r="E135" s="359" t="s">
        <v>53</v>
      </c>
      <c r="F135" s="360" t="s">
        <v>54</v>
      </c>
      <c r="G135" s="361" t="s">
        <v>55</v>
      </c>
      <c r="H135" s="441"/>
    </row>
    <row r="136" spans="2:10" s="439" customFormat="1" ht="18" customHeight="1">
      <c r="B136" s="453"/>
      <c r="C136" s="1730"/>
      <c r="D136" s="374"/>
      <c r="E136" s="128"/>
      <c r="F136" s="129"/>
      <c r="G136" s="130"/>
      <c r="H136" s="441"/>
    </row>
    <row r="137" spans="2:10" s="439" customFormat="1" ht="18" customHeight="1">
      <c r="B137" s="508" t="s">
        <v>47</v>
      </c>
      <c r="C137" s="1746" t="s">
        <v>102</v>
      </c>
      <c r="D137" s="391"/>
      <c r="E137" s="368"/>
      <c r="F137" s="369"/>
      <c r="G137" s="370"/>
      <c r="H137" s="441"/>
    </row>
    <row r="138" spans="2:10" s="439" customFormat="1" ht="18" customHeight="1">
      <c r="B138" s="443" t="s">
        <v>2</v>
      </c>
      <c r="C138" s="296"/>
      <c r="D138" s="1810"/>
      <c r="E138" s="296"/>
      <c r="F138" s="296"/>
      <c r="G138" s="297"/>
      <c r="H138" s="441"/>
    </row>
    <row r="139" spans="2:10" s="439" customFormat="1" ht="15.75" customHeight="1">
      <c r="B139" s="444" t="s">
        <v>3</v>
      </c>
      <c r="C139" s="301"/>
      <c r="D139" s="1811"/>
      <c r="E139" s="301"/>
      <c r="F139" s="301"/>
      <c r="G139" s="300"/>
      <c r="H139" s="441"/>
    </row>
    <row r="140" spans="2:10" s="439" customFormat="1" ht="18" customHeight="1">
      <c r="B140" s="443" t="s">
        <v>4</v>
      </c>
      <c r="C140" s="296"/>
      <c r="D140" s="1810"/>
      <c r="E140" s="296"/>
      <c r="F140" s="296"/>
      <c r="G140" s="297"/>
      <c r="H140" s="441"/>
    </row>
    <row r="141" spans="2:10" s="439" customFormat="1" ht="18" customHeight="1">
      <c r="B141" s="444" t="s">
        <v>5</v>
      </c>
      <c r="C141" s="301"/>
      <c r="D141" s="1812"/>
      <c r="E141" s="301"/>
      <c r="F141" s="301"/>
      <c r="G141" s="300"/>
      <c r="H141" s="441"/>
    </row>
    <row r="142" spans="2:10" s="439" customFormat="1" ht="15.75" customHeight="1">
      <c r="B142" s="2447" t="s">
        <v>271</v>
      </c>
      <c r="C142" s="2448"/>
      <c r="D142" s="2448"/>
      <c r="E142" s="2448"/>
      <c r="F142" s="2448"/>
      <c r="G142" s="2449"/>
      <c r="H142" s="441"/>
    </row>
    <row r="143" spans="2:10" s="439" customFormat="1">
      <c r="B143" s="2447" t="s">
        <v>104</v>
      </c>
      <c r="C143" s="2448"/>
      <c r="D143" s="2448"/>
      <c r="E143" s="2448"/>
      <c r="F143" s="2448"/>
      <c r="G143" s="2449"/>
      <c r="H143" s="441"/>
    </row>
    <row r="144" spans="2:10" s="439" customFormat="1" ht="12.75" customHeight="1">
      <c r="B144" s="2447" t="s">
        <v>105</v>
      </c>
      <c r="C144" s="2448"/>
      <c r="D144" s="2448"/>
      <c r="E144" s="2448"/>
      <c r="F144" s="2448"/>
      <c r="G144" s="2449"/>
      <c r="H144" s="441"/>
    </row>
    <row r="145" spans="2:13" s="439" customFormat="1" ht="12.75" customHeight="1">
      <c r="B145" s="468"/>
      <c r="C145" s="1739"/>
      <c r="D145" s="1983"/>
      <c r="E145" s="1925"/>
      <c r="F145" s="459"/>
      <c r="G145" s="1912"/>
      <c r="H145" s="441"/>
      <c r="L145" s="518"/>
    </row>
    <row r="146" spans="2:13" s="439" customFormat="1" ht="38.25" customHeight="1">
      <c r="B146" s="455">
        <v>1</v>
      </c>
      <c r="C146" s="1747" t="s">
        <v>106</v>
      </c>
      <c r="D146" s="1988"/>
      <c r="E146" s="1926"/>
      <c r="F146" s="458"/>
      <c r="G146" s="459"/>
      <c r="H146" s="441"/>
    </row>
    <row r="147" spans="2:13" s="439" customFormat="1" ht="18.75" customHeight="1">
      <c r="B147" s="455"/>
      <c r="C147" s="513" t="s">
        <v>485</v>
      </c>
      <c r="D147" s="514" t="s">
        <v>57</v>
      </c>
      <c r="E147" s="515">
        <v>1123</v>
      </c>
      <c r="F147" s="458">
        <v>0</v>
      </c>
      <c r="G147" s="459">
        <f>E147*F147</f>
        <v>0</v>
      </c>
      <c r="H147" s="441"/>
    </row>
    <row r="148" spans="2:13" s="439" customFormat="1" ht="24.75" customHeight="1">
      <c r="B148" s="455"/>
      <c r="C148" s="513" t="s">
        <v>486</v>
      </c>
      <c r="D148" s="514" t="s">
        <v>57</v>
      </c>
      <c r="E148" s="515">
        <v>2620</v>
      </c>
      <c r="F148" s="458">
        <v>0</v>
      </c>
      <c r="G148" s="459">
        <f>E148*F148</f>
        <v>0</v>
      </c>
      <c r="H148" s="441"/>
    </row>
    <row r="149" spans="2:13" s="439" customFormat="1" ht="24.75" customHeight="1">
      <c r="B149" s="455"/>
      <c r="C149" s="271" t="s">
        <v>487</v>
      </c>
      <c r="D149" s="514" t="s">
        <v>57</v>
      </c>
      <c r="E149" s="515">
        <v>138</v>
      </c>
      <c r="F149" s="458">
        <v>0</v>
      </c>
      <c r="G149" s="459">
        <f t="shared" ref="G149:G158" si="2">E149*F149</f>
        <v>0</v>
      </c>
      <c r="H149" s="441"/>
    </row>
    <row r="150" spans="2:13" s="439" customFormat="1" ht="24.75" customHeight="1">
      <c r="B150" s="455"/>
      <c r="C150" s="271" t="s">
        <v>488</v>
      </c>
      <c r="D150" s="514" t="s">
        <v>57</v>
      </c>
      <c r="E150" s="515">
        <v>322</v>
      </c>
      <c r="F150" s="458">
        <v>0</v>
      </c>
      <c r="G150" s="459">
        <f t="shared" si="2"/>
        <v>0</v>
      </c>
      <c r="H150" s="441"/>
    </row>
    <row r="151" spans="2:13" s="439" customFormat="1" ht="42" customHeight="1">
      <c r="B151" s="455"/>
      <c r="C151" s="517" t="s">
        <v>489</v>
      </c>
      <c r="D151" s="514" t="s">
        <v>57</v>
      </c>
      <c r="E151" s="515">
        <v>1035</v>
      </c>
      <c r="F151" s="458">
        <v>0</v>
      </c>
      <c r="G151" s="459">
        <f t="shared" si="2"/>
        <v>0</v>
      </c>
      <c r="H151" s="441"/>
      <c r="J151" s="518"/>
    </row>
    <row r="152" spans="2:13" s="439" customFormat="1" ht="42" customHeight="1">
      <c r="B152" s="455"/>
      <c r="C152" s="517" t="s">
        <v>490</v>
      </c>
      <c r="D152" s="514" t="s">
        <v>57</v>
      </c>
      <c r="E152" s="515">
        <v>115</v>
      </c>
      <c r="F152" s="458">
        <v>0</v>
      </c>
      <c r="G152" s="459">
        <f t="shared" si="2"/>
        <v>0</v>
      </c>
      <c r="H152" s="441"/>
      <c r="J152" s="518"/>
      <c r="L152" s="518"/>
      <c r="M152" s="518"/>
    </row>
    <row r="153" spans="2:13" s="439" customFormat="1" ht="39" customHeight="1">
      <c r="B153" s="455"/>
      <c r="C153" s="517" t="s">
        <v>491</v>
      </c>
      <c r="D153" s="514" t="s">
        <v>57</v>
      </c>
      <c r="E153" s="515">
        <v>338</v>
      </c>
      <c r="F153" s="458">
        <v>0</v>
      </c>
      <c r="G153" s="459">
        <f t="shared" si="2"/>
        <v>0</v>
      </c>
      <c r="H153" s="441"/>
    </row>
    <row r="154" spans="2:13" s="439" customFormat="1" ht="39" customHeight="1">
      <c r="B154" s="455"/>
      <c r="C154" s="517" t="s">
        <v>492</v>
      </c>
      <c r="D154" s="514" t="s">
        <v>57</v>
      </c>
      <c r="E154" s="515">
        <v>38</v>
      </c>
      <c r="F154" s="458">
        <v>0</v>
      </c>
      <c r="G154" s="459">
        <f t="shared" si="2"/>
        <v>0</v>
      </c>
      <c r="H154" s="441"/>
    </row>
    <row r="155" spans="2:13" s="439" customFormat="1" ht="39" customHeight="1">
      <c r="B155" s="455"/>
      <c r="C155" s="517" t="s">
        <v>493</v>
      </c>
      <c r="D155" s="514" t="s">
        <v>57</v>
      </c>
      <c r="E155" s="515">
        <v>27</v>
      </c>
      <c r="F155" s="458">
        <v>0</v>
      </c>
      <c r="G155" s="459">
        <f t="shared" si="2"/>
        <v>0</v>
      </c>
      <c r="H155" s="441"/>
    </row>
    <row r="156" spans="2:13" s="439" customFormat="1" ht="39" customHeight="1">
      <c r="B156" s="455"/>
      <c r="C156" s="517" t="s">
        <v>494</v>
      </c>
      <c r="D156" s="514" t="s">
        <v>57</v>
      </c>
      <c r="E156" s="515">
        <v>3</v>
      </c>
      <c r="F156" s="458">
        <v>0</v>
      </c>
      <c r="G156" s="459">
        <f t="shared" si="2"/>
        <v>0</v>
      </c>
      <c r="H156" s="441"/>
    </row>
    <row r="157" spans="2:13" s="439" customFormat="1" ht="39" customHeight="1">
      <c r="B157" s="455"/>
      <c r="C157" s="517" t="s">
        <v>495</v>
      </c>
      <c r="D157" s="514" t="s">
        <v>57</v>
      </c>
      <c r="E157" s="515">
        <v>391</v>
      </c>
      <c r="F157" s="458">
        <v>0</v>
      </c>
      <c r="G157" s="459">
        <f t="shared" si="2"/>
        <v>0</v>
      </c>
      <c r="H157" s="441"/>
    </row>
    <row r="158" spans="2:13" s="439" customFormat="1" ht="39" customHeight="1">
      <c r="B158" s="455"/>
      <c r="C158" s="517" t="s">
        <v>496</v>
      </c>
      <c r="D158" s="514" t="s">
        <v>57</v>
      </c>
      <c r="E158" s="515">
        <v>44</v>
      </c>
      <c r="F158" s="458">
        <v>0</v>
      </c>
      <c r="G158" s="459">
        <f t="shared" si="2"/>
        <v>0</v>
      </c>
      <c r="H158" s="441"/>
    </row>
    <row r="159" spans="2:13" s="439" customFormat="1" ht="12" customHeight="1">
      <c r="B159" s="455"/>
      <c r="C159" s="271"/>
      <c r="D159" s="514"/>
      <c r="E159" s="515"/>
      <c r="F159" s="1927"/>
      <c r="G159" s="1928"/>
      <c r="H159" s="441"/>
    </row>
    <row r="160" spans="2:13" s="439" customFormat="1" ht="67.5" customHeight="1">
      <c r="B160" s="519">
        <v>2</v>
      </c>
      <c r="C160" s="1748" t="s">
        <v>114</v>
      </c>
      <c r="D160" s="401" t="s">
        <v>57</v>
      </c>
      <c r="E160" s="521">
        <v>6194</v>
      </c>
      <c r="F160" s="458">
        <v>0</v>
      </c>
      <c r="G160" s="459">
        <f>E160*F160</f>
        <v>0</v>
      </c>
      <c r="H160" s="441"/>
    </row>
    <row r="161" spans="2:8" s="439" customFormat="1" ht="58.5" customHeight="1">
      <c r="B161" s="522" t="s">
        <v>115</v>
      </c>
      <c r="C161" s="1748" t="s">
        <v>116</v>
      </c>
      <c r="D161" s="401" t="s">
        <v>57</v>
      </c>
      <c r="E161" s="521">
        <v>6194</v>
      </c>
      <c r="F161" s="458">
        <v>0</v>
      </c>
      <c r="G161" s="459">
        <f>E161*F161</f>
        <v>0</v>
      </c>
      <c r="H161" s="441"/>
    </row>
    <row r="162" spans="2:8" s="439" customFormat="1" ht="42" customHeight="1">
      <c r="B162" s="522" t="s">
        <v>117</v>
      </c>
      <c r="C162" s="1748" t="s">
        <v>118</v>
      </c>
      <c r="D162" s="401" t="s">
        <v>57</v>
      </c>
      <c r="E162" s="521">
        <v>6194</v>
      </c>
      <c r="F162" s="458">
        <v>0</v>
      </c>
      <c r="G162" s="459">
        <f>E162*F162</f>
        <v>0</v>
      </c>
      <c r="H162" s="441"/>
    </row>
    <row r="163" spans="2:8" s="439" customFormat="1" ht="69" customHeight="1">
      <c r="B163" s="522" t="s">
        <v>119</v>
      </c>
      <c r="C163" s="1748" t="s">
        <v>120</v>
      </c>
      <c r="D163" s="401" t="s">
        <v>57</v>
      </c>
      <c r="E163" s="521">
        <v>6194</v>
      </c>
      <c r="F163" s="1574">
        <v>0</v>
      </c>
      <c r="G163" s="459">
        <f>E163*F163</f>
        <v>0</v>
      </c>
      <c r="H163" s="441"/>
    </row>
    <row r="164" spans="2:8" s="439" customFormat="1">
      <c r="B164" s="468"/>
      <c r="C164" s="1739"/>
      <c r="D164" s="1983"/>
      <c r="E164" s="1925"/>
      <c r="F164" s="1929"/>
      <c r="G164" s="1912"/>
      <c r="H164" s="441"/>
    </row>
    <row r="165" spans="2:8" s="439" customFormat="1">
      <c r="B165" s="1720" t="s">
        <v>497</v>
      </c>
      <c r="C165" s="1749" t="s">
        <v>498</v>
      </c>
      <c r="D165" s="1820"/>
      <c r="E165" s="1821"/>
      <c r="F165" s="1930"/>
      <c r="G165" s="1931"/>
      <c r="H165" s="524"/>
    </row>
    <row r="166" spans="2:8" s="439" customFormat="1" ht="17.45" customHeight="1">
      <c r="B166" s="1720"/>
      <c r="C166" s="1750" t="s">
        <v>2109</v>
      </c>
      <c r="D166" s="1820" t="s">
        <v>66</v>
      </c>
      <c r="E166" s="1821">
        <v>1</v>
      </c>
      <c r="F166" s="1822">
        <v>0</v>
      </c>
      <c r="G166" s="1823">
        <f t="shared" ref="G166:G168" si="3">E166*F166</f>
        <v>0</v>
      </c>
      <c r="H166" s="524"/>
    </row>
    <row r="167" spans="2:8" s="439" customFormat="1">
      <c r="B167" s="1720"/>
      <c r="C167" s="1751" t="s">
        <v>216</v>
      </c>
      <c r="D167" s="1820" t="s">
        <v>66</v>
      </c>
      <c r="E167" s="1821">
        <v>1</v>
      </c>
      <c r="F167" s="1822">
        <v>0</v>
      </c>
      <c r="G167" s="1823">
        <f t="shared" si="3"/>
        <v>0</v>
      </c>
      <c r="H167" s="524"/>
    </row>
    <row r="168" spans="2:8" s="439" customFormat="1">
      <c r="B168" s="1720"/>
      <c r="C168" s="1750" t="s">
        <v>2110</v>
      </c>
      <c r="D168" s="1820" t="s">
        <v>66</v>
      </c>
      <c r="E168" s="1821">
        <v>1</v>
      </c>
      <c r="F168" s="1822">
        <v>0</v>
      </c>
      <c r="G168" s="1823">
        <f t="shared" si="3"/>
        <v>0</v>
      </c>
      <c r="H168" s="524"/>
    </row>
    <row r="169" spans="2:8" s="439" customFormat="1" ht="15" customHeight="1">
      <c r="B169" s="1720"/>
      <c r="C169" s="1751" t="s">
        <v>499</v>
      </c>
      <c r="D169" s="1820" t="s">
        <v>66</v>
      </c>
      <c r="E169" s="1821">
        <v>1</v>
      </c>
      <c r="F169" s="1822">
        <v>0</v>
      </c>
      <c r="G169" s="1823">
        <f t="shared" ref="G169" si="4">E169*F169</f>
        <v>0</v>
      </c>
      <c r="H169" s="524"/>
    </row>
    <row r="170" spans="2:8" s="439" customFormat="1">
      <c r="B170" s="523"/>
      <c r="C170" s="1739"/>
      <c r="D170" s="1983"/>
      <c r="E170" s="1925"/>
      <c r="F170" s="1932"/>
      <c r="G170" s="1933"/>
      <c r="H170" s="524"/>
    </row>
    <row r="171" spans="2:8" s="439" customFormat="1">
      <c r="B171" s="1824" t="s">
        <v>500</v>
      </c>
      <c r="C171" s="1850" t="s">
        <v>501</v>
      </c>
      <c r="D171" s="1836"/>
      <c r="E171" s="1847"/>
      <c r="F171" s="1942"/>
      <c r="G171" s="1943"/>
      <c r="H171" s="441"/>
    </row>
    <row r="172" spans="2:8" s="179" customFormat="1" ht="18" customHeight="1">
      <c r="B172" s="1835"/>
      <c r="C172" s="1724" t="s">
        <v>1600</v>
      </c>
      <c r="D172" s="209" t="s">
        <v>66</v>
      </c>
      <c r="E172" s="204">
        <v>2</v>
      </c>
      <c r="F172" s="1725">
        <v>0</v>
      </c>
      <c r="G172" s="1726">
        <f t="shared" ref="G172:G174" si="5">E172*F172</f>
        <v>0</v>
      </c>
      <c r="H172" s="1727"/>
    </row>
    <row r="173" spans="2:8" s="179" customFormat="1" ht="18" customHeight="1">
      <c r="B173" s="1835"/>
      <c r="C173" s="1724" t="s">
        <v>2122</v>
      </c>
      <c r="D173" s="209" t="s">
        <v>66</v>
      </c>
      <c r="E173" s="204">
        <v>1</v>
      </c>
      <c r="F173" s="1725">
        <v>0</v>
      </c>
      <c r="G173" s="1726">
        <f t="shared" ref="G173" si="6">E173*F173</f>
        <v>0</v>
      </c>
      <c r="H173" s="1727"/>
    </row>
    <row r="174" spans="2:8" s="179" customFormat="1" ht="18" customHeight="1">
      <c r="B174" s="1835"/>
      <c r="C174" s="1724" t="s">
        <v>1601</v>
      </c>
      <c r="D174" s="209" t="s">
        <v>66</v>
      </c>
      <c r="E174" s="204">
        <v>2</v>
      </c>
      <c r="F174" s="1725">
        <v>0</v>
      </c>
      <c r="G174" s="1726">
        <f t="shared" si="5"/>
        <v>0</v>
      </c>
      <c r="H174" s="1727"/>
    </row>
    <row r="175" spans="2:8" s="179" customFormat="1" ht="18" customHeight="1">
      <c r="B175" s="1835"/>
      <c r="C175" s="1724" t="s">
        <v>279</v>
      </c>
      <c r="D175" s="209" t="s">
        <v>66</v>
      </c>
      <c r="E175" s="204">
        <v>2</v>
      </c>
      <c r="F175" s="1725">
        <v>0</v>
      </c>
      <c r="G175" s="1726">
        <f t="shared" ref="G175:G177" si="7">E175*F175</f>
        <v>0</v>
      </c>
      <c r="H175" s="1727"/>
    </row>
    <row r="176" spans="2:8" s="179" customFormat="1" ht="18" customHeight="1">
      <c r="B176" s="1835"/>
      <c r="C176" s="1724" t="s">
        <v>2121</v>
      </c>
      <c r="D176" s="209" t="s">
        <v>66</v>
      </c>
      <c r="E176" s="204">
        <v>1</v>
      </c>
      <c r="F176" s="1725">
        <v>0</v>
      </c>
      <c r="G176" s="1726">
        <f t="shared" si="7"/>
        <v>0</v>
      </c>
      <c r="H176" s="1727"/>
    </row>
    <row r="177" spans="2:10" s="179" customFormat="1" ht="18" customHeight="1">
      <c r="B177" s="1835"/>
      <c r="C177" s="1724" t="s">
        <v>280</v>
      </c>
      <c r="D177" s="209" t="s">
        <v>66</v>
      </c>
      <c r="E177" s="204">
        <v>2</v>
      </c>
      <c r="F177" s="1725">
        <v>0</v>
      </c>
      <c r="G177" s="1726">
        <f t="shared" si="7"/>
        <v>0</v>
      </c>
      <c r="H177" s="1727"/>
    </row>
    <row r="178" spans="2:10" s="439" customFormat="1" ht="18.75" customHeight="1">
      <c r="B178" s="523"/>
      <c r="C178" s="1752"/>
      <c r="D178" s="1989"/>
      <c r="E178" s="1936"/>
      <c r="F178" s="1937"/>
      <c r="G178" s="1938"/>
      <c r="H178" s="524"/>
      <c r="I178" s="73"/>
      <c r="J178" s="73"/>
    </row>
    <row r="179" spans="2:10" s="439" customFormat="1" ht="19.5" customHeight="1">
      <c r="B179" s="1720" t="s">
        <v>502</v>
      </c>
      <c r="C179" s="1749" t="s">
        <v>2140</v>
      </c>
      <c r="D179" s="1820"/>
      <c r="E179" s="1821"/>
      <c r="F179" s="1934"/>
      <c r="G179" s="1935"/>
      <c r="H179" s="524"/>
      <c r="I179" s="73"/>
      <c r="J179" s="73"/>
    </row>
    <row r="180" spans="2:10" s="439" customFormat="1">
      <c r="B180" s="1720"/>
      <c r="C180" s="1750" t="s">
        <v>2199</v>
      </c>
      <c r="D180" s="1820" t="s">
        <v>66</v>
      </c>
      <c r="E180" s="1821">
        <v>2</v>
      </c>
      <c r="F180" s="1713">
        <v>0</v>
      </c>
      <c r="G180" s="1714">
        <f>E180*F180</f>
        <v>0</v>
      </c>
      <c r="H180" s="524"/>
    </row>
    <row r="181" spans="2:10" s="439" customFormat="1" ht="17.45" customHeight="1">
      <c r="B181" s="1720"/>
      <c r="C181" s="1750" t="s">
        <v>2200</v>
      </c>
      <c r="D181" s="1820" t="s">
        <v>66</v>
      </c>
      <c r="E181" s="1821">
        <v>1</v>
      </c>
      <c r="F181" s="1713">
        <v>0</v>
      </c>
      <c r="G181" s="1714">
        <f t="shared" ref="G181" si="8">E181*F181</f>
        <v>0</v>
      </c>
      <c r="H181" s="524"/>
    </row>
    <row r="182" spans="2:10" s="439" customFormat="1" ht="17.45" customHeight="1">
      <c r="B182" s="1720"/>
      <c r="C182" s="1750" t="s">
        <v>2109</v>
      </c>
      <c r="D182" s="1820" t="s">
        <v>66</v>
      </c>
      <c r="E182" s="1821">
        <v>1</v>
      </c>
      <c r="F182" s="1713">
        <v>0</v>
      </c>
      <c r="G182" s="1714">
        <f>E182*F182</f>
        <v>0</v>
      </c>
      <c r="H182" s="524"/>
    </row>
    <row r="183" spans="2:10" s="179" customFormat="1" ht="18" customHeight="1">
      <c r="B183" s="1805"/>
      <c r="C183" s="1655" t="s">
        <v>279</v>
      </c>
      <c r="D183" s="1232" t="s">
        <v>66</v>
      </c>
      <c r="E183" s="1821">
        <v>2</v>
      </c>
      <c r="F183" s="1713">
        <v>0</v>
      </c>
      <c r="G183" s="1714">
        <f>E183*F183</f>
        <v>0</v>
      </c>
      <c r="H183" s="1727"/>
    </row>
    <row r="184" spans="2:10" s="439" customFormat="1" ht="15.75" customHeight="1">
      <c r="B184" s="1720"/>
      <c r="C184" s="1751" t="s">
        <v>216</v>
      </c>
      <c r="D184" s="1820" t="s">
        <v>66</v>
      </c>
      <c r="E184" s="1821">
        <v>6</v>
      </c>
      <c r="F184" s="1713">
        <v>0</v>
      </c>
      <c r="G184" s="1714">
        <f t="shared" ref="G184:G185" si="9">E184*F184</f>
        <v>0</v>
      </c>
      <c r="H184" s="524"/>
    </row>
    <row r="185" spans="2:10" s="439" customFormat="1" ht="15" customHeight="1">
      <c r="B185" s="1720"/>
      <c r="C185" s="1751" t="s">
        <v>499</v>
      </c>
      <c r="D185" s="1820" t="s">
        <v>66</v>
      </c>
      <c r="E185" s="1821">
        <v>2</v>
      </c>
      <c r="F185" s="1713">
        <v>0</v>
      </c>
      <c r="G185" s="1714">
        <f t="shared" si="9"/>
        <v>0</v>
      </c>
      <c r="H185" s="524"/>
    </row>
    <row r="186" spans="2:10" s="439" customFormat="1" ht="21.75" customHeight="1">
      <c r="B186" s="1720"/>
      <c r="C186" s="1806" t="s">
        <v>2111</v>
      </c>
      <c r="D186" s="1990" t="s">
        <v>66</v>
      </c>
      <c r="E186" s="1821">
        <v>1</v>
      </c>
      <c r="F186" s="1713">
        <v>0</v>
      </c>
      <c r="G186" s="1714">
        <f t="shared" ref="G186:G197" si="10">E186*F186</f>
        <v>0</v>
      </c>
      <c r="H186" s="524"/>
      <c r="I186" s="73"/>
      <c r="J186" s="73"/>
    </row>
    <row r="187" spans="2:10" s="439" customFormat="1" ht="75.75" customHeight="1">
      <c r="B187" s="1720"/>
      <c r="C187" s="231" t="s">
        <v>2211</v>
      </c>
      <c r="D187" s="1990" t="s">
        <v>66</v>
      </c>
      <c r="E187" s="1821">
        <v>1</v>
      </c>
      <c r="F187" s="1713">
        <v>0</v>
      </c>
      <c r="G187" s="1714">
        <f t="shared" si="10"/>
        <v>0</v>
      </c>
      <c r="H187" s="524"/>
      <c r="I187" s="73"/>
      <c r="J187" s="73"/>
    </row>
    <row r="188" spans="2:10" s="439" customFormat="1" ht="78.75" customHeight="1">
      <c r="B188" s="1720"/>
      <c r="C188" s="231" t="s">
        <v>2212</v>
      </c>
      <c r="D188" s="1990" t="s">
        <v>66</v>
      </c>
      <c r="E188" s="1821">
        <v>1</v>
      </c>
      <c r="F188" s="1713">
        <v>0</v>
      </c>
      <c r="G188" s="1714">
        <f t="shared" si="10"/>
        <v>0</v>
      </c>
      <c r="H188" s="524"/>
      <c r="I188" s="73"/>
      <c r="J188" s="73"/>
    </row>
    <row r="189" spans="2:10" s="439" customFormat="1" ht="54.75" customHeight="1">
      <c r="B189" s="1720"/>
      <c r="C189" s="1751" t="s">
        <v>2037</v>
      </c>
      <c r="D189" s="1820" t="s">
        <v>66</v>
      </c>
      <c r="E189" s="1821">
        <v>3</v>
      </c>
      <c r="F189" s="1713">
        <v>0</v>
      </c>
      <c r="G189" s="1714">
        <f t="shared" si="10"/>
        <v>0</v>
      </c>
      <c r="H189" s="524"/>
      <c r="I189" s="525"/>
      <c r="J189" s="73"/>
    </row>
    <row r="190" spans="2:10" s="217" customFormat="1" ht="19.5" customHeight="1">
      <c r="B190" s="1807"/>
      <c r="C190" s="1844" t="s">
        <v>2128</v>
      </c>
      <c r="D190" s="1232" t="s">
        <v>66</v>
      </c>
      <c r="E190" s="225">
        <v>2</v>
      </c>
      <c r="F190" s="1713">
        <v>0</v>
      </c>
      <c r="G190" s="1714">
        <f t="shared" si="10"/>
        <v>0</v>
      </c>
      <c r="H190" s="1703"/>
    </row>
    <row r="191" spans="2:10" s="217" customFormat="1" ht="19.5" customHeight="1">
      <c r="B191" s="1807"/>
      <c r="C191" s="1844" t="s">
        <v>2127</v>
      </c>
      <c r="D191" s="1232" t="s">
        <v>66</v>
      </c>
      <c r="E191" s="225">
        <v>2</v>
      </c>
      <c r="F191" s="1713">
        <v>0</v>
      </c>
      <c r="G191" s="1714">
        <f>E191*F191</f>
        <v>0</v>
      </c>
      <c r="H191" s="1703"/>
    </row>
    <row r="192" spans="2:10" s="439" customFormat="1" ht="18" customHeight="1">
      <c r="B192" s="1720"/>
      <c r="C192" s="1806" t="s">
        <v>2129</v>
      </c>
      <c r="D192" s="1820" t="s">
        <v>66</v>
      </c>
      <c r="E192" s="1821">
        <v>1</v>
      </c>
      <c r="F192" s="1713">
        <v>0</v>
      </c>
      <c r="G192" s="1714">
        <f t="shared" ref="G192" si="11">E192*F192</f>
        <v>0</v>
      </c>
      <c r="H192" s="524"/>
      <c r="I192" s="73"/>
      <c r="J192" s="73"/>
    </row>
    <row r="193" spans="2:12" s="439" customFormat="1" ht="17.25" customHeight="1">
      <c r="B193" s="1720"/>
      <c r="C193" s="1806" t="s">
        <v>2113</v>
      </c>
      <c r="D193" s="1820" t="s">
        <v>66</v>
      </c>
      <c r="E193" s="1821">
        <v>2</v>
      </c>
      <c r="F193" s="1713">
        <v>0</v>
      </c>
      <c r="G193" s="1714">
        <f>E193*F193</f>
        <v>0</v>
      </c>
      <c r="H193" s="524"/>
      <c r="I193" s="73"/>
      <c r="J193" s="73"/>
    </row>
    <row r="194" spans="2:12" s="439" customFormat="1" ht="18" customHeight="1">
      <c r="B194" s="1720"/>
      <c r="C194" s="1806" t="s">
        <v>2114</v>
      </c>
      <c r="D194" s="1820" t="s">
        <v>66</v>
      </c>
      <c r="E194" s="1821">
        <v>1</v>
      </c>
      <c r="F194" s="1713">
        <v>0</v>
      </c>
      <c r="G194" s="1714">
        <f>E194*F194</f>
        <v>0</v>
      </c>
      <c r="H194" s="524"/>
      <c r="I194" s="73"/>
      <c r="J194" s="73"/>
    </row>
    <row r="195" spans="2:12" s="217" customFormat="1" ht="20.25" customHeight="1">
      <c r="B195" s="1807"/>
      <c r="C195" s="1844" t="s">
        <v>516</v>
      </c>
      <c r="D195" s="1232" t="s">
        <v>66</v>
      </c>
      <c r="E195" s="225">
        <v>2</v>
      </c>
      <c r="F195" s="1713">
        <v>0</v>
      </c>
      <c r="G195" s="1714">
        <f t="shared" si="10"/>
        <v>0</v>
      </c>
      <c r="H195" s="1703"/>
    </row>
    <row r="196" spans="2:12" s="217" customFormat="1" ht="19.5" customHeight="1">
      <c r="B196" s="1807"/>
      <c r="C196" s="1844" t="s">
        <v>1738</v>
      </c>
      <c r="D196" s="1232" t="s">
        <v>66</v>
      </c>
      <c r="E196" s="225">
        <v>2</v>
      </c>
      <c r="F196" s="1713">
        <v>0</v>
      </c>
      <c r="G196" s="1714">
        <f>E196*F196</f>
        <v>0</v>
      </c>
      <c r="H196" s="1703"/>
    </row>
    <row r="197" spans="2:12" s="439" customFormat="1" ht="24.75" customHeight="1">
      <c r="B197" s="1720"/>
      <c r="C197" s="1806" t="s">
        <v>2112</v>
      </c>
      <c r="D197" s="1820" t="s">
        <v>66</v>
      </c>
      <c r="E197" s="1821">
        <v>1</v>
      </c>
      <c r="F197" s="1713">
        <v>0</v>
      </c>
      <c r="G197" s="1714">
        <f t="shared" si="10"/>
        <v>0</v>
      </c>
      <c r="H197" s="524"/>
      <c r="I197" s="73"/>
      <c r="J197" s="73"/>
    </row>
    <row r="198" spans="2:12" s="439" customFormat="1" ht="24" customHeight="1">
      <c r="B198" s="1720"/>
      <c r="C198" s="1751" t="s">
        <v>2115</v>
      </c>
      <c r="D198" s="1820" t="s">
        <v>66</v>
      </c>
      <c r="E198" s="1821">
        <v>1</v>
      </c>
      <c r="F198" s="1713">
        <v>0</v>
      </c>
      <c r="G198" s="1714">
        <f>E198*F198</f>
        <v>0</v>
      </c>
      <c r="H198" s="524"/>
      <c r="I198" s="73"/>
      <c r="J198" s="73"/>
    </row>
    <row r="199" spans="2:12" s="439" customFormat="1">
      <c r="B199" s="523"/>
      <c r="C199" s="1753"/>
      <c r="D199" s="1991"/>
      <c r="E199" s="1939"/>
      <c r="F199" s="1940"/>
      <c r="G199" s="1941"/>
      <c r="H199" s="524"/>
      <c r="I199" s="73"/>
      <c r="J199" s="73"/>
      <c r="K199" s="73"/>
      <c r="L199" s="73"/>
    </row>
    <row r="200" spans="2:12" s="439" customFormat="1">
      <c r="B200" s="1824" t="s">
        <v>503</v>
      </c>
      <c r="C200" s="1825" t="s">
        <v>504</v>
      </c>
      <c r="D200" s="1836"/>
      <c r="E200" s="1847"/>
      <c r="F200" s="1942"/>
      <c r="G200" s="1943"/>
      <c r="H200" s="524"/>
      <c r="I200" s="73"/>
      <c r="J200" s="73"/>
      <c r="K200" s="73"/>
      <c r="L200" s="73"/>
    </row>
    <row r="201" spans="2:12" s="179" customFormat="1" ht="18" customHeight="1">
      <c r="B201" s="1835"/>
      <c r="C201" s="1724" t="s">
        <v>1600</v>
      </c>
      <c r="D201" s="209" t="s">
        <v>66</v>
      </c>
      <c r="E201" s="204">
        <v>2</v>
      </c>
      <c r="F201" s="1725">
        <v>0</v>
      </c>
      <c r="G201" s="1726">
        <f t="shared" ref="G201:G203" si="12">E201*F201</f>
        <v>0</v>
      </c>
      <c r="H201" s="1727"/>
    </row>
    <row r="202" spans="2:12" s="179" customFormat="1" ht="18" customHeight="1">
      <c r="B202" s="1835"/>
      <c r="C202" s="1724" t="s">
        <v>2122</v>
      </c>
      <c r="D202" s="209" t="s">
        <v>66</v>
      </c>
      <c r="E202" s="204">
        <v>1</v>
      </c>
      <c r="F202" s="1725">
        <v>0</v>
      </c>
      <c r="G202" s="1726">
        <f t="shared" si="12"/>
        <v>0</v>
      </c>
      <c r="H202" s="1727"/>
    </row>
    <row r="203" spans="2:12" s="179" customFormat="1" ht="18" customHeight="1">
      <c r="B203" s="1835"/>
      <c r="C203" s="1724" t="s">
        <v>1601</v>
      </c>
      <c r="D203" s="209" t="s">
        <v>66</v>
      </c>
      <c r="E203" s="204">
        <v>2</v>
      </c>
      <c r="F203" s="1725">
        <v>0</v>
      </c>
      <c r="G203" s="1726">
        <f t="shared" si="12"/>
        <v>0</v>
      </c>
      <c r="H203" s="1727"/>
    </row>
    <row r="204" spans="2:12" s="439" customFormat="1">
      <c r="B204" s="523"/>
      <c r="C204" s="1753"/>
      <c r="D204" s="1991"/>
      <c r="E204" s="1939"/>
      <c r="F204" s="1940"/>
      <c r="G204" s="1941"/>
      <c r="H204" s="524"/>
      <c r="I204" s="73"/>
      <c r="J204" s="73"/>
      <c r="K204" s="73"/>
      <c r="L204" s="73"/>
    </row>
    <row r="205" spans="2:12" ht="26.25" customHeight="1">
      <c r="B205" s="1824" t="s">
        <v>505</v>
      </c>
      <c r="C205" s="1825" t="s">
        <v>2143</v>
      </c>
      <c r="D205" s="1836"/>
      <c r="E205" s="1847"/>
      <c r="F205" s="1942"/>
      <c r="G205" s="1943"/>
      <c r="H205" s="524"/>
    </row>
    <row r="206" spans="2:12" s="439" customFormat="1" ht="18.75" customHeight="1">
      <c r="B206" s="1824"/>
      <c r="C206" s="1828" t="s">
        <v>2199</v>
      </c>
      <c r="D206" s="1836" t="s">
        <v>66</v>
      </c>
      <c r="E206" s="1847">
        <v>2</v>
      </c>
      <c r="F206" s="1834">
        <v>0</v>
      </c>
      <c r="G206" s="1726">
        <f t="shared" ref="G206" si="13">E206*F206</f>
        <v>0</v>
      </c>
      <c r="H206" s="524"/>
    </row>
    <row r="207" spans="2:12" s="439" customFormat="1" ht="18.75" customHeight="1">
      <c r="B207" s="1824"/>
      <c r="C207" s="1828" t="s">
        <v>2110</v>
      </c>
      <c r="D207" s="1836" t="s">
        <v>66</v>
      </c>
      <c r="E207" s="1847">
        <v>1</v>
      </c>
      <c r="F207" s="1834">
        <v>0</v>
      </c>
      <c r="G207" s="1726">
        <f t="shared" ref="G207" si="14">E207*F207</f>
        <v>0</v>
      </c>
      <c r="H207" s="524"/>
    </row>
    <row r="208" spans="2:12" s="439" customFormat="1" ht="17.45" customHeight="1">
      <c r="B208" s="1824"/>
      <c r="C208" s="1828" t="s">
        <v>2146</v>
      </c>
      <c r="D208" s="1836" t="s">
        <v>66</v>
      </c>
      <c r="E208" s="1847">
        <v>1</v>
      </c>
      <c r="F208" s="1834">
        <v>0</v>
      </c>
      <c r="G208" s="1726">
        <f>E208*F208</f>
        <v>0</v>
      </c>
      <c r="H208" s="524"/>
    </row>
    <row r="209" spans="2:8" s="179" customFormat="1" ht="16.5" customHeight="1">
      <c r="B209" s="1835"/>
      <c r="C209" s="1724" t="s">
        <v>1600</v>
      </c>
      <c r="D209" s="209" t="s">
        <v>66</v>
      </c>
      <c r="E209" s="1847">
        <v>2</v>
      </c>
      <c r="F209" s="1834">
        <v>0</v>
      </c>
      <c r="G209" s="1726">
        <f>E209*F209</f>
        <v>0</v>
      </c>
      <c r="H209" s="1727"/>
    </row>
    <row r="210" spans="2:8" s="439" customFormat="1" ht="17.25" customHeight="1">
      <c r="B210" s="1824"/>
      <c r="C210" s="1826" t="s">
        <v>499</v>
      </c>
      <c r="D210" s="1836" t="s">
        <v>66</v>
      </c>
      <c r="E210" s="1847">
        <v>4</v>
      </c>
      <c r="F210" s="1834">
        <v>0</v>
      </c>
      <c r="G210" s="1726">
        <f t="shared" ref="G210:G222" si="15">E210*F210</f>
        <v>0</v>
      </c>
      <c r="H210" s="524"/>
    </row>
    <row r="211" spans="2:8" s="179" customFormat="1" ht="18" customHeight="1">
      <c r="B211" s="1835"/>
      <c r="C211" s="1724" t="s">
        <v>349</v>
      </c>
      <c r="D211" s="209" t="s">
        <v>66</v>
      </c>
      <c r="E211" s="1847">
        <v>2</v>
      </c>
      <c r="F211" s="1834">
        <v>0</v>
      </c>
      <c r="G211" s="1726">
        <f>E211*F211</f>
        <v>0</v>
      </c>
      <c r="H211" s="1727"/>
    </row>
    <row r="212" spans="2:8" s="439" customFormat="1" ht="15.75" customHeight="1">
      <c r="B212" s="1824"/>
      <c r="C212" s="1826" t="s">
        <v>410</v>
      </c>
      <c r="D212" s="1836" t="s">
        <v>66</v>
      </c>
      <c r="E212" s="1847">
        <v>4</v>
      </c>
      <c r="F212" s="1834">
        <v>0</v>
      </c>
      <c r="G212" s="1726">
        <f>E212*F212</f>
        <v>0</v>
      </c>
      <c r="H212" s="524"/>
    </row>
    <row r="213" spans="2:8" s="217" customFormat="1" ht="17.25" customHeight="1">
      <c r="B213" s="1833"/>
      <c r="C213" s="1845" t="s">
        <v>2128</v>
      </c>
      <c r="D213" s="209" t="s">
        <v>66</v>
      </c>
      <c r="E213" s="1525">
        <v>2</v>
      </c>
      <c r="F213" s="1834">
        <v>0</v>
      </c>
      <c r="G213" s="1726">
        <f t="shared" si="15"/>
        <v>0</v>
      </c>
      <c r="H213" s="1703"/>
    </row>
    <row r="214" spans="2:8" s="217" customFormat="1" ht="16.5" customHeight="1">
      <c r="B214" s="1833"/>
      <c r="C214" s="1845" t="s">
        <v>2144</v>
      </c>
      <c r="D214" s="209" t="s">
        <v>66</v>
      </c>
      <c r="E214" s="1525">
        <v>1</v>
      </c>
      <c r="F214" s="1834">
        <v>0</v>
      </c>
      <c r="G214" s="1726">
        <f t="shared" ref="G214" si="16">E214*F214</f>
        <v>0</v>
      </c>
      <c r="H214" s="1703"/>
    </row>
    <row r="215" spans="2:8" s="217" customFormat="1" ht="16.5" customHeight="1">
      <c r="B215" s="1833"/>
      <c r="C215" s="1845" t="s">
        <v>2145</v>
      </c>
      <c r="D215" s="209" t="s">
        <v>66</v>
      </c>
      <c r="E215" s="1525">
        <v>1</v>
      </c>
      <c r="F215" s="1834">
        <v>0</v>
      </c>
      <c r="G215" s="1726">
        <f t="shared" ref="G215:G218" si="17">E215*F215</f>
        <v>0</v>
      </c>
      <c r="H215" s="1703"/>
    </row>
    <row r="216" spans="2:8" s="217" customFormat="1">
      <c r="B216" s="1833"/>
      <c r="C216" s="1845" t="s">
        <v>517</v>
      </c>
      <c r="D216" s="209" t="s">
        <v>66</v>
      </c>
      <c r="E216" s="1525">
        <v>1</v>
      </c>
      <c r="F216" s="1834">
        <v>0</v>
      </c>
      <c r="G216" s="1726">
        <f>E216*F216</f>
        <v>0</v>
      </c>
      <c r="H216" s="1703"/>
    </row>
    <row r="217" spans="2:8" s="217" customFormat="1">
      <c r="B217" s="1833"/>
      <c r="C217" s="1724" t="s">
        <v>518</v>
      </c>
      <c r="D217" s="209" t="s">
        <v>66</v>
      </c>
      <c r="E217" s="1525">
        <v>1</v>
      </c>
      <c r="F217" s="1834">
        <v>0</v>
      </c>
      <c r="G217" s="1726">
        <f>E217*F217</f>
        <v>0</v>
      </c>
      <c r="H217" s="1703"/>
    </row>
    <row r="218" spans="2:8" s="217" customFormat="1">
      <c r="B218" s="1833"/>
      <c r="C218" s="1845" t="s">
        <v>2150</v>
      </c>
      <c r="D218" s="209" t="s">
        <v>66</v>
      </c>
      <c r="E218" s="1525">
        <v>2</v>
      </c>
      <c r="F218" s="1834">
        <v>0</v>
      </c>
      <c r="G218" s="1726">
        <f t="shared" si="17"/>
        <v>0</v>
      </c>
      <c r="H218" s="1703"/>
    </row>
    <row r="219" spans="2:8" s="217" customFormat="1">
      <c r="B219" s="1833"/>
      <c r="C219" s="1845" t="s">
        <v>510</v>
      </c>
      <c r="D219" s="209" t="s">
        <v>66</v>
      </c>
      <c r="E219" s="1525">
        <v>1</v>
      </c>
      <c r="F219" s="1834">
        <v>0</v>
      </c>
      <c r="G219" s="1726">
        <f>E219*F219</f>
        <v>0</v>
      </c>
      <c r="H219" s="1703"/>
    </row>
    <row r="220" spans="2:8" s="217" customFormat="1">
      <c r="B220" s="1833"/>
      <c r="C220" s="1845" t="s">
        <v>1208</v>
      </c>
      <c r="D220" s="209" t="s">
        <v>66</v>
      </c>
      <c r="E220" s="1525">
        <v>2</v>
      </c>
      <c r="F220" s="1834">
        <v>0</v>
      </c>
      <c r="G220" s="1726">
        <f t="shared" ref="G220" si="18">E220*F220</f>
        <v>0</v>
      </c>
      <c r="H220" s="1703"/>
    </row>
    <row r="221" spans="2:8" s="217" customFormat="1">
      <c r="B221" s="1833"/>
      <c r="C221" s="1845" t="s">
        <v>2117</v>
      </c>
      <c r="D221" s="209" t="s">
        <v>66</v>
      </c>
      <c r="E221" s="1525">
        <v>1</v>
      </c>
      <c r="F221" s="1834">
        <v>0</v>
      </c>
      <c r="G221" s="1726">
        <f>E221*F221</f>
        <v>0</v>
      </c>
      <c r="H221" s="1703"/>
    </row>
    <row r="222" spans="2:8" s="217" customFormat="1">
      <c r="B222" s="1833"/>
      <c r="C222" s="1845" t="s">
        <v>516</v>
      </c>
      <c r="D222" s="209" t="s">
        <v>66</v>
      </c>
      <c r="E222" s="1525">
        <v>1</v>
      </c>
      <c r="F222" s="1834">
        <v>0</v>
      </c>
      <c r="G222" s="1726">
        <f t="shared" si="15"/>
        <v>0</v>
      </c>
      <c r="H222" s="1703"/>
    </row>
    <row r="223" spans="2:8" s="217" customFormat="1">
      <c r="B223" s="1833"/>
      <c r="C223" s="1845" t="s">
        <v>357</v>
      </c>
      <c r="D223" s="209" t="s">
        <v>66</v>
      </c>
      <c r="E223" s="1525">
        <v>1</v>
      </c>
      <c r="F223" s="1834">
        <v>0</v>
      </c>
      <c r="G223" s="1726">
        <f t="shared" ref="G223:G236" si="19">E223*F223</f>
        <v>0</v>
      </c>
      <c r="H223" s="1703"/>
    </row>
    <row r="224" spans="2:8" s="217" customFormat="1" ht="12.75" customHeight="1">
      <c r="B224" s="1833"/>
      <c r="C224" s="1845" t="s">
        <v>515</v>
      </c>
      <c r="D224" s="209" t="s">
        <v>66</v>
      </c>
      <c r="E224" s="1525">
        <v>1</v>
      </c>
      <c r="F224" s="1834">
        <v>0</v>
      </c>
      <c r="G224" s="1726">
        <f t="shared" ref="G224" si="20">E224*F224</f>
        <v>0</v>
      </c>
      <c r="H224" s="1703"/>
    </row>
    <row r="225" spans="2:12" s="217" customFormat="1" ht="12.75" customHeight="1">
      <c r="B225" s="1833"/>
      <c r="C225" s="1845" t="s">
        <v>2151</v>
      </c>
      <c r="D225" s="209" t="s">
        <v>66</v>
      </c>
      <c r="E225" s="1525">
        <v>1</v>
      </c>
      <c r="F225" s="1834">
        <v>0</v>
      </c>
      <c r="G225" s="1726">
        <f t="shared" si="19"/>
        <v>0</v>
      </c>
      <c r="H225" s="1703"/>
    </row>
    <row r="226" spans="2:12" s="217" customFormat="1" ht="12.75" customHeight="1">
      <c r="B226" s="1833"/>
      <c r="C226" s="1845" t="s">
        <v>2152</v>
      </c>
      <c r="D226" s="209" t="s">
        <v>66</v>
      </c>
      <c r="E226" s="1525">
        <v>1</v>
      </c>
      <c r="F226" s="1834">
        <v>0</v>
      </c>
      <c r="G226" s="1726">
        <f t="shared" ref="G226" si="21">E226*F226</f>
        <v>0</v>
      </c>
      <c r="H226" s="1703"/>
    </row>
    <row r="227" spans="2:12" s="217" customFormat="1">
      <c r="B227" s="1833"/>
      <c r="C227" s="1724" t="s">
        <v>509</v>
      </c>
      <c r="D227" s="209" t="s">
        <v>66</v>
      </c>
      <c r="E227" s="1525">
        <v>1</v>
      </c>
      <c r="F227" s="1834">
        <v>0</v>
      </c>
      <c r="G227" s="1726">
        <f t="shared" si="19"/>
        <v>0</v>
      </c>
      <c r="H227" s="1703"/>
    </row>
    <row r="228" spans="2:12" s="217" customFormat="1" ht="12.75" customHeight="1">
      <c r="B228" s="1833"/>
      <c r="C228" s="1845" t="s">
        <v>140</v>
      </c>
      <c r="D228" s="209" t="s">
        <v>66</v>
      </c>
      <c r="E228" s="1525">
        <v>1</v>
      </c>
      <c r="F228" s="1834">
        <v>0</v>
      </c>
      <c r="G228" s="1726">
        <f t="shared" si="19"/>
        <v>0</v>
      </c>
      <c r="H228" s="1703"/>
    </row>
    <row r="229" spans="2:12" s="217" customFormat="1">
      <c r="B229" s="1833"/>
      <c r="C229" s="1845" t="s">
        <v>2153</v>
      </c>
      <c r="D229" s="209" t="s">
        <v>66</v>
      </c>
      <c r="E229" s="1525">
        <v>1</v>
      </c>
      <c r="F229" s="1834">
        <v>0</v>
      </c>
      <c r="G229" s="1726">
        <f t="shared" ref="G229" si="22">E229*F229</f>
        <v>0</v>
      </c>
      <c r="H229" s="1703"/>
    </row>
    <row r="230" spans="2:12" s="217" customFormat="1">
      <c r="B230" s="1833"/>
      <c r="C230" s="1845" t="s">
        <v>2118</v>
      </c>
      <c r="D230" s="209" t="s">
        <v>66</v>
      </c>
      <c r="E230" s="1525">
        <v>1</v>
      </c>
      <c r="F230" s="1834">
        <v>0</v>
      </c>
      <c r="G230" s="1726">
        <f>E230*F230</f>
        <v>0</v>
      </c>
      <c r="H230" s="1703"/>
    </row>
    <row r="231" spans="2:12" s="217" customFormat="1">
      <c r="B231" s="1833"/>
      <c r="C231" s="1845" t="s">
        <v>2116</v>
      </c>
      <c r="D231" s="209" t="s">
        <v>66</v>
      </c>
      <c r="E231" s="1525">
        <v>2</v>
      </c>
      <c r="F231" s="1834">
        <v>0</v>
      </c>
      <c r="G231" s="1726">
        <f t="shared" si="19"/>
        <v>0</v>
      </c>
      <c r="H231" s="1703"/>
    </row>
    <row r="232" spans="2:12" s="217" customFormat="1">
      <c r="B232" s="1833"/>
      <c r="C232" s="1724" t="s">
        <v>147</v>
      </c>
      <c r="D232" s="209" t="s">
        <v>66</v>
      </c>
      <c r="E232" s="1525">
        <v>1</v>
      </c>
      <c r="F232" s="1834">
        <v>0</v>
      </c>
      <c r="G232" s="1726">
        <f t="shared" si="19"/>
        <v>0</v>
      </c>
      <c r="H232" s="1703"/>
    </row>
    <row r="233" spans="2:12" s="217" customFormat="1">
      <c r="B233" s="1833"/>
      <c r="C233" s="1724" t="s">
        <v>188</v>
      </c>
      <c r="D233" s="209" t="s">
        <v>66</v>
      </c>
      <c r="E233" s="1525">
        <v>1</v>
      </c>
      <c r="F233" s="1834">
        <v>0</v>
      </c>
      <c r="G233" s="1726">
        <f t="shared" si="19"/>
        <v>0</v>
      </c>
      <c r="H233" s="1703"/>
    </row>
    <row r="234" spans="2:12" s="217" customFormat="1">
      <c r="B234" s="1833"/>
      <c r="C234" s="1724" t="s">
        <v>149</v>
      </c>
      <c r="D234" s="209" t="s">
        <v>66</v>
      </c>
      <c r="E234" s="1525">
        <v>1</v>
      </c>
      <c r="F234" s="1834">
        <v>0</v>
      </c>
      <c r="G234" s="1726">
        <f t="shared" si="19"/>
        <v>0</v>
      </c>
      <c r="H234" s="1703"/>
    </row>
    <row r="235" spans="2:12" s="217" customFormat="1">
      <c r="B235" s="1833"/>
      <c r="C235" s="1724" t="s">
        <v>150</v>
      </c>
      <c r="D235" s="209" t="s">
        <v>66</v>
      </c>
      <c r="E235" s="1525">
        <v>1</v>
      </c>
      <c r="F235" s="1834">
        <v>0</v>
      </c>
      <c r="G235" s="1726">
        <f t="shared" si="19"/>
        <v>0</v>
      </c>
      <c r="H235" s="1703"/>
    </row>
    <row r="236" spans="2:12" s="217" customFormat="1">
      <c r="B236" s="1833"/>
      <c r="C236" s="1724" t="s">
        <v>135</v>
      </c>
      <c r="D236" s="209" t="s">
        <v>66</v>
      </c>
      <c r="E236" s="1525">
        <v>1</v>
      </c>
      <c r="F236" s="1834">
        <v>0</v>
      </c>
      <c r="G236" s="1726">
        <f t="shared" si="19"/>
        <v>0</v>
      </c>
      <c r="H236" s="1703"/>
    </row>
    <row r="237" spans="2:12" ht="15" customHeight="1">
      <c r="B237" s="1824"/>
      <c r="C237" s="208" t="s">
        <v>2131</v>
      </c>
      <c r="D237" s="1836" t="s">
        <v>66</v>
      </c>
      <c r="E237" s="1847">
        <v>1</v>
      </c>
      <c r="F237" s="1834">
        <v>0</v>
      </c>
      <c r="G237" s="1726">
        <f t="shared" ref="G237:G238" si="23">E237*F237</f>
        <v>0</v>
      </c>
      <c r="H237" s="524"/>
      <c r="I237" s="378"/>
    </row>
    <row r="238" spans="2:12" s="179" customFormat="1" ht="18" customHeight="1">
      <c r="B238" s="1835"/>
      <c r="C238" s="1724" t="s">
        <v>2147</v>
      </c>
      <c r="D238" s="209" t="s">
        <v>66</v>
      </c>
      <c r="E238" s="204">
        <v>1</v>
      </c>
      <c r="F238" s="1834">
        <v>0</v>
      </c>
      <c r="G238" s="1726">
        <f t="shared" si="23"/>
        <v>0</v>
      </c>
      <c r="H238" s="1727"/>
    </row>
    <row r="239" spans="2:12" s="439" customFormat="1">
      <c r="B239" s="523"/>
      <c r="C239" s="1752"/>
      <c r="D239" s="1989"/>
      <c r="E239" s="1936"/>
      <c r="F239" s="1937"/>
      <c r="G239" s="1938"/>
      <c r="H239" s="524"/>
      <c r="I239" s="73"/>
      <c r="J239" s="73"/>
      <c r="K239" s="73"/>
      <c r="L239" s="73"/>
    </row>
    <row r="240" spans="2:12">
      <c r="B240" s="1824" t="s">
        <v>506</v>
      </c>
      <c r="C240" s="1825" t="s">
        <v>2149</v>
      </c>
      <c r="D240" s="1836"/>
      <c r="E240" s="1847"/>
      <c r="F240" s="1942"/>
      <c r="G240" s="1943"/>
      <c r="H240" s="524"/>
    </row>
    <row r="241" spans="2:9" s="179" customFormat="1" ht="18" customHeight="1">
      <c r="B241" s="1835"/>
      <c r="C241" s="1724" t="s">
        <v>1600</v>
      </c>
      <c r="D241" s="209" t="s">
        <v>66</v>
      </c>
      <c r="E241" s="204">
        <v>4</v>
      </c>
      <c r="F241" s="1725">
        <v>0</v>
      </c>
      <c r="G241" s="1726">
        <f t="shared" ref="G241:G243" si="24">E241*F241</f>
        <v>0</v>
      </c>
      <c r="H241" s="1727"/>
    </row>
    <row r="242" spans="2:9" s="179" customFormat="1" ht="18" customHeight="1">
      <c r="B242" s="1835"/>
      <c r="C242" s="1724" t="s">
        <v>2122</v>
      </c>
      <c r="D242" s="209" t="s">
        <v>66</v>
      </c>
      <c r="E242" s="204">
        <v>3</v>
      </c>
      <c r="F242" s="1725">
        <v>0</v>
      </c>
      <c r="G242" s="1726">
        <f t="shared" si="24"/>
        <v>0</v>
      </c>
      <c r="H242" s="1727"/>
    </row>
    <row r="243" spans="2:9" s="179" customFormat="1" ht="18" customHeight="1">
      <c r="B243" s="1835"/>
      <c r="C243" s="1724" t="s">
        <v>1601</v>
      </c>
      <c r="D243" s="209" t="s">
        <v>66</v>
      </c>
      <c r="E243" s="204">
        <v>4</v>
      </c>
      <c r="F243" s="1725">
        <v>0</v>
      </c>
      <c r="G243" s="1726">
        <f t="shared" si="24"/>
        <v>0</v>
      </c>
      <c r="H243" s="1727"/>
    </row>
    <row r="244" spans="2:9" s="217" customFormat="1">
      <c r="B244" s="1833"/>
      <c r="C244" s="1845" t="s">
        <v>1608</v>
      </c>
      <c r="D244" s="209" t="s">
        <v>66</v>
      </c>
      <c r="E244" s="1525">
        <v>1</v>
      </c>
      <c r="F244" s="1834">
        <v>0</v>
      </c>
      <c r="G244" s="1726">
        <f t="shared" ref="G244:G258" si="25">E244*F244</f>
        <v>0</v>
      </c>
      <c r="H244" s="1703"/>
    </row>
    <row r="245" spans="2:9" s="217" customFormat="1">
      <c r="B245" s="1833"/>
      <c r="C245" s="1845" t="s">
        <v>139</v>
      </c>
      <c r="D245" s="209" t="s">
        <v>66</v>
      </c>
      <c r="E245" s="1525">
        <v>1</v>
      </c>
      <c r="F245" s="1834">
        <v>0</v>
      </c>
      <c r="G245" s="1726">
        <f t="shared" si="25"/>
        <v>0</v>
      </c>
      <c r="H245" s="1703"/>
    </row>
    <row r="246" spans="2:9" s="217" customFormat="1">
      <c r="B246" s="1833"/>
      <c r="C246" s="1724" t="s">
        <v>499</v>
      </c>
      <c r="D246" s="209" t="s">
        <v>66</v>
      </c>
      <c r="E246" s="1525">
        <v>2</v>
      </c>
      <c r="F246" s="1834">
        <v>0</v>
      </c>
      <c r="G246" s="1726">
        <f t="shared" si="25"/>
        <v>0</v>
      </c>
      <c r="H246" s="1703"/>
    </row>
    <row r="247" spans="2:9" s="217" customFormat="1">
      <c r="B247" s="1833"/>
      <c r="C247" s="1845" t="s">
        <v>2154</v>
      </c>
      <c r="D247" s="209" t="s">
        <v>66</v>
      </c>
      <c r="E247" s="1525">
        <v>1</v>
      </c>
      <c r="F247" s="1834">
        <v>0</v>
      </c>
      <c r="G247" s="1726">
        <f t="shared" ref="G247:G248" si="26">E247*F247</f>
        <v>0</v>
      </c>
      <c r="H247" s="1703"/>
    </row>
    <row r="248" spans="2:9" s="179" customFormat="1" ht="14.25" customHeight="1">
      <c r="B248" s="1835"/>
      <c r="C248" s="1724" t="s">
        <v>2147</v>
      </c>
      <c r="D248" s="209" t="s">
        <v>66</v>
      </c>
      <c r="E248" s="204">
        <v>1</v>
      </c>
      <c r="F248" s="1834">
        <v>0</v>
      </c>
      <c r="G248" s="1726">
        <f t="shared" si="26"/>
        <v>0</v>
      </c>
      <c r="H248" s="1727"/>
    </row>
    <row r="249" spans="2:9" s="217" customFormat="1">
      <c r="B249" s="1833"/>
      <c r="C249" s="1845" t="s">
        <v>129</v>
      </c>
      <c r="D249" s="209" t="s">
        <v>66</v>
      </c>
      <c r="E249" s="1525">
        <v>1</v>
      </c>
      <c r="F249" s="1834">
        <v>0</v>
      </c>
      <c r="G249" s="1726">
        <f t="shared" si="25"/>
        <v>0</v>
      </c>
      <c r="H249" s="1703"/>
    </row>
    <row r="250" spans="2:9" s="217" customFormat="1" ht="24.75" customHeight="1">
      <c r="B250" s="1833"/>
      <c r="C250" s="1845" t="s">
        <v>154</v>
      </c>
      <c r="D250" s="209" t="s">
        <v>66</v>
      </c>
      <c r="E250" s="1525">
        <v>1</v>
      </c>
      <c r="F250" s="1834">
        <v>0</v>
      </c>
      <c r="G250" s="1726">
        <f t="shared" si="25"/>
        <v>0</v>
      </c>
      <c r="H250" s="1703"/>
    </row>
    <row r="251" spans="2:9" s="217" customFormat="1">
      <c r="B251" s="1833"/>
      <c r="C251" s="1845" t="s">
        <v>155</v>
      </c>
      <c r="D251" s="209" t="s">
        <v>66</v>
      </c>
      <c r="E251" s="1525">
        <v>1</v>
      </c>
      <c r="F251" s="1834">
        <v>0</v>
      </c>
      <c r="G251" s="1726">
        <f t="shared" si="25"/>
        <v>0</v>
      </c>
      <c r="H251" s="1703"/>
    </row>
    <row r="252" spans="2:9" s="217" customFormat="1">
      <c r="B252" s="1833"/>
      <c r="C252" s="1845" t="s">
        <v>330</v>
      </c>
      <c r="D252" s="209" t="s">
        <v>66</v>
      </c>
      <c r="E252" s="1525">
        <v>1</v>
      </c>
      <c r="F252" s="1834">
        <v>0</v>
      </c>
      <c r="G252" s="1726">
        <f t="shared" si="25"/>
        <v>0</v>
      </c>
      <c r="H252" s="1703"/>
    </row>
    <row r="253" spans="2:9" s="217" customFormat="1">
      <c r="B253" s="1833"/>
      <c r="C253" s="1845" t="s">
        <v>157</v>
      </c>
      <c r="D253" s="209" t="s">
        <v>66</v>
      </c>
      <c r="E253" s="1525">
        <v>1</v>
      </c>
      <c r="F253" s="1834">
        <v>0</v>
      </c>
      <c r="G253" s="1726">
        <f t="shared" si="25"/>
        <v>0</v>
      </c>
      <c r="H253" s="1703"/>
    </row>
    <row r="254" spans="2:9" s="217" customFormat="1">
      <c r="B254" s="1833"/>
      <c r="C254" s="1724" t="s">
        <v>158</v>
      </c>
      <c r="D254" s="209" t="s">
        <v>66</v>
      </c>
      <c r="E254" s="1525">
        <v>1</v>
      </c>
      <c r="F254" s="1834">
        <v>0</v>
      </c>
      <c r="G254" s="1726">
        <f t="shared" si="25"/>
        <v>0</v>
      </c>
      <c r="H254" s="1703"/>
    </row>
    <row r="255" spans="2:9" s="217" customFormat="1">
      <c r="B255" s="1833"/>
      <c r="C255" s="1724" t="s">
        <v>190</v>
      </c>
      <c r="D255" s="209" t="s">
        <v>66</v>
      </c>
      <c r="E255" s="1525">
        <v>1</v>
      </c>
      <c r="F255" s="1834">
        <v>0</v>
      </c>
      <c r="G255" s="1726">
        <f t="shared" si="25"/>
        <v>0</v>
      </c>
      <c r="H255" s="1703"/>
    </row>
    <row r="256" spans="2:9" ht="15" customHeight="1">
      <c r="B256" s="1824"/>
      <c r="C256" s="208" t="s">
        <v>2131</v>
      </c>
      <c r="D256" s="209" t="s">
        <v>66</v>
      </c>
      <c r="E256" s="1847">
        <v>1</v>
      </c>
      <c r="F256" s="1834">
        <v>0</v>
      </c>
      <c r="G256" s="1726">
        <f t="shared" si="25"/>
        <v>0</v>
      </c>
      <c r="H256" s="524"/>
      <c r="I256" s="378"/>
    </row>
    <row r="257" spans="2:12" s="217" customFormat="1">
      <c r="B257" s="1833"/>
      <c r="C257" s="1724" t="s">
        <v>150</v>
      </c>
      <c r="D257" s="209" t="s">
        <v>66</v>
      </c>
      <c r="E257" s="1525">
        <v>2</v>
      </c>
      <c r="F257" s="1834">
        <v>0</v>
      </c>
      <c r="G257" s="1726">
        <f t="shared" si="25"/>
        <v>0</v>
      </c>
      <c r="H257" s="1703"/>
    </row>
    <row r="258" spans="2:12" s="217" customFormat="1">
      <c r="B258" s="1833"/>
      <c r="C258" s="1724" t="s">
        <v>135</v>
      </c>
      <c r="D258" s="209" t="s">
        <v>66</v>
      </c>
      <c r="E258" s="1525">
        <v>1</v>
      </c>
      <c r="F258" s="1834">
        <v>0</v>
      </c>
      <c r="G258" s="1726">
        <f t="shared" si="25"/>
        <v>0</v>
      </c>
      <c r="H258" s="1703"/>
    </row>
    <row r="259" spans="2:12" s="439" customFormat="1">
      <c r="B259" s="523"/>
      <c r="C259" s="1754"/>
      <c r="D259" s="1837"/>
      <c r="E259" s="1944"/>
      <c r="F259" s="1937"/>
      <c r="G259" s="1938"/>
      <c r="H259" s="524"/>
      <c r="I259" s="378"/>
      <c r="J259" s="73"/>
      <c r="K259" s="73"/>
      <c r="L259" s="73"/>
    </row>
    <row r="260" spans="2:12">
      <c r="B260" s="1824" t="s">
        <v>507</v>
      </c>
      <c r="C260" s="1825" t="s">
        <v>2148</v>
      </c>
      <c r="D260" s="1836"/>
      <c r="E260" s="1847"/>
      <c r="F260" s="1942"/>
      <c r="G260" s="1943"/>
      <c r="H260" s="524"/>
      <c r="I260" s="378"/>
    </row>
    <row r="261" spans="2:12" s="217" customFormat="1">
      <c r="B261" s="1833"/>
      <c r="C261" s="1845" t="s">
        <v>520</v>
      </c>
      <c r="D261" s="209" t="s">
        <v>66</v>
      </c>
      <c r="E261" s="1525">
        <v>1</v>
      </c>
      <c r="F261" s="1834">
        <v>0</v>
      </c>
      <c r="G261" s="1726">
        <f t="shared" ref="G261:G270" si="27">E261*F261</f>
        <v>0</v>
      </c>
      <c r="H261" s="1703"/>
    </row>
    <row r="262" spans="2:12" s="217" customFormat="1">
      <c r="B262" s="1833"/>
      <c r="C262" s="1845" t="s">
        <v>155</v>
      </c>
      <c r="D262" s="209" t="s">
        <v>66</v>
      </c>
      <c r="E262" s="1525">
        <v>1</v>
      </c>
      <c r="F262" s="1834">
        <v>0</v>
      </c>
      <c r="G262" s="1726">
        <f t="shared" si="27"/>
        <v>0</v>
      </c>
      <c r="H262" s="1703"/>
    </row>
    <row r="263" spans="2:12" s="217" customFormat="1">
      <c r="B263" s="1833"/>
      <c r="C263" s="1845" t="s">
        <v>2155</v>
      </c>
      <c r="D263" s="209" t="s">
        <v>66</v>
      </c>
      <c r="E263" s="1525">
        <v>1</v>
      </c>
      <c r="F263" s="1834">
        <v>0</v>
      </c>
      <c r="G263" s="1726">
        <f t="shared" si="27"/>
        <v>0</v>
      </c>
      <c r="H263" s="1703"/>
    </row>
    <row r="264" spans="2:12" s="217" customFormat="1">
      <c r="B264" s="1833"/>
      <c r="C264" s="1724" t="s">
        <v>1551</v>
      </c>
      <c r="D264" s="209" t="s">
        <v>66</v>
      </c>
      <c r="E264" s="1525">
        <v>2</v>
      </c>
      <c r="F264" s="1834">
        <v>0</v>
      </c>
      <c r="G264" s="1726">
        <f t="shared" si="27"/>
        <v>0</v>
      </c>
      <c r="H264" s="1703"/>
    </row>
    <row r="265" spans="2:12" s="217" customFormat="1">
      <c r="B265" s="1833"/>
      <c r="C265" s="1724" t="s">
        <v>166</v>
      </c>
      <c r="D265" s="209" t="s">
        <v>66</v>
      </c>
      <c r="E265" s="1525">
        <v>1</v>
      </c>
      <c r="F265" s="1834">
        <v>0</v>
      </c>
      <c r="G265" s="1726">
        <f t="shared" si="27"/>
        <v>0</v>
      </c>
      <c r="H265" s="1703"/>
    </row>
    <row r="266" spans="2:12" s="217" customFormat="1">
      <c r="B266" s="1833"/>
      <c r="C266" s="1724" t="s">
        <v>167</v>
      </c>
      <c r="D266" s="209" t="s">
        <v>66</v>
      </c>
      <c r="E266" s="1525">
        <v>1</v>
      </c>
      <c r="F266" s="1834">
        <v>0</v>
      </c>
      <c r="G266" s="1726">
        <f t="shared" si="27"/>
        <v>0</v>
      </c>
      <c r="H266" s="1703"/>
    </row>
    <row r="267" spans="2:12" s="217" customFormat="1">
      <c r="B267" s="1833"/>
      <c r="C267" s="1724" t="s">
        <v>229</v>
      </c>
      <c r="D267" s="209" t="s">
        <v>66</v>
      </c>
      <c r="E267" s="1525">
        <v>1</v>
      </c>
      <c r="F267" s="1834">
        <v>0</v>
      </c>
      <c r="G267" s="1726">
        <f t="shared" si="27"/>
        <v>0</v>
      </c>
      <c r="H267" s="1703"/>
    </row>
    <row r="268" spans="2:12" s="217" customFormat="1">
      <c r="B268" s="1833"/>
      <c r="C268" s="1724" t="s">
        <v>2156</v>
      </c>
      <c r="D268" s="209" t="s">
        <v>66</v>
      </c>
      <c r="E268" s="1525">
        <v>1</v>
      </c>
      <c r="F268" s="1834">
        <v>0</v>
      </c>
      <c r="G268" s="1726">
        <f t="shared" si="27"/>
        <v>0</v>
      </c>
      <c r="H268" s="1703"/>
    </row>
    <row r="269" spans="2:12" s="217" customFormat="1">
      <c r="B269" s="1833"/>
      <c r="C269" s="1724" t="s">
        <v>150</v>
      </c>
      <c r="D269" s="209" t="s">
        <v>66</v>
      </c>
      <c r="E269" s="1525">
        <v>1</v>
      </c>
      <c r="F269" s="1834">
        <v>0</v>
      </c>
      <c r="G269" s="1726">
        <f t="shared" si="27"/>
        <v>0</v>
      </c>
      <c r="H269" s="1703"/>
    </row>
    <row r="270" spans="2:12" s="217" customFormat="1">
      <c r="B270" s="1833"/>
      <c r="C270" s="1724" t="s">
        <v>135</v>
      </c>
      <c r="D270" s="209" t="s">
        <v>66</v>
      </c>
      <c r="E270" s="1525">
        <v>1</v>
      </c>
      <c r="F270" s="1834">
        <v>0</v>
      </c>
      <c r="G270" s="1726">
        <f t="shared" si="27"/>
        <v>0</v>
      </c>
      <c r="H270" s="1703"/>
    </row>
    <row r="271" spans="2:12">
      <c r="B271" s="523"/>
      <c r="C271" s="1753"/>
      <c r="D271" s="1991"/>
      <c r="E271" s="1939"/>
      <c r="F271" s="1940"/>
      <c r="G271" s="1941"/>
      <c r="H271" s="524"/>
      <c r="I271" s="378"/>
    </row>
    <row r="272" spans="2:12">
      <c r="B272" s="1824" t="s">
        <v>508</v>
      </c>
      <c r="C272" s="1825" t="s">
        <v>2157</v>
      </c>
      <c r="D272" s="1836"/>
      <c r="E272" s="1847"/>
      <c r="F272" s="1942"/>
      <c r="G272" s="1943"/>
      <c r="H272" s="524"/>
      <c r="I272" s="378"/>
    </row>
    <row r="273" spans="2:9" s="217" customFormat="1">
      <c r="B273" s="1833"/>
      <c r="C273" s="1845" t="s">
        <v>1608</v>
      </c>
      <c r="D273" s="209" t="s">
        <v>66</v>
      </c>
      <c r="E273" s="1525">
        <v>2</v>
      </c>
      <c r="F273" s="1834">
        <v>0</v>
      </c>
      <c r="G273" s="1726">
        <f t="shared" ref="G273:G282" si="28">E273*F273</f>
        <v>0</v>
      </c>
      <c r="H273" s="1703"/>
    </row>
    <row r="274" spans="2:9" s="217" customFormat="1">
      <c r="B274" s="1833"/>
      <c r="C274" s="1845" t="s">
        <v>521</v>
      </c>
      <c r="D274" s="209" t="s">
        <v>66</v>
      </c>
      <c r="E274" s="1525">
        <v>2</v>
      </c>
      <c r="F274" s="1834">
        <v>0</v>
      </c>
      <c r="G274" s="1726">
        <f t="shared" ref="G274" si="29">E274*F274</f>
        <v>0</v>
      </c>
      <c r="H274" s="1703"/>
    </row>
    <row r="275" spans="2:9" s="217" customFormat="1">
      <c r="B275" s="1833"/>
      <c r="C275" s="1845" t="s">
        <v>139</v>
      </c>
      <c r="D275" s="209" t="s">
        <v>66</v>
      </c>
      <c r="E275" s="1525">
        <v>2</v>
      </c>
      <c r="F275" s="1834">
        <v>0</v>
      </c>
      <c r="G275" s="1726">
        <f>E275*F275</f>
        <v>0</v>
      </c>
      <c r="H275" s="1703"/>
    </row>
    <row r="276" spans="2:9" s="217" customFormat="1">
      <c r="B276" s="1833"/>
      <c r="C276" s="1724" t="s">
        <v>499</v>
      </c>
      <c r="D276" s="209" t="s">
        <v>66</v>
      </c>
      <c r="E276" s="1525">
        <v>2</v>
      </c>
      <c r="F276" s="1834">
        <v>0</v>
      </c>
      <c r="G276" s="1726">
        <f t="shared" si="28"/>
        <v>0</v>
      </c>
      <c r="H276" s="1703"/>
    </row>
    <row r="277" spans="2:9" s="179" customFormat="1" ht="18" customHeight="1">
      <c r="B277" s="1835"/>
      <c r="C277" s="1724" t="s">
        <v>2122</v>
      </c>
      <c r="D277" s="209" t="s">
        <v>66</v>
      </c>
      <c r="E277" s="204">
        <v>1</v>
      </c>
      <c r="F277" s="1834">
        <v>0</v>
      </c>
      <c r="G277" s="1726">
        <f t="shared" si="28"/>
        <v>0</v>
      </c>
      <c r="H277" s="1727"/>
    </row>
    <row r="278" spans="2:9" s="179" customFormat="1" ht="18" customHeight="1">
      <c r="B278" s="1835"/>
      <c r="C278" s="1724" t="s">
        <v>2147</v>
      </c>
      <c r="D278" s="209" t="s">
        <v>66</v>
      </c>
      <c r="E278" s="204">
        <v>2</v>
      </c>
      <c r="F278" s="1834">
        <v>0</v>
      </c>
      <c r="G278" s="1726">
        <f t="shared" ref="G278:G280" si="30">E278*F278</f>
        <v>0</v>
      </c>
      <c r="H278" s="1727"/>
    </row>
    <row r="279" spans="2:9" s="217" customFormat="1">
      <c r="B279" s="1833"/>
      <c r="C279" s="1845" t="s">
        <v>2158</v>
      </c>
      <c r="D279" s="209" t="s">
        <v>66</v>
      </c>
      <c r="E279" s="1525">
        <v>2</v>
      </c>
      <c r="F279" s="1834">
        <v>0</v>
      </c>
      <c r="G279" s="1726">
        <f t="shared" si="30"/>
        <v>0</v>
      </c>
      <c r="H279" s="1703"/>
    </row>
    <row r="280" spans="2:9" ht="15" customHeight="1">
      <c r="B280" s="1824"/>
      <c r="C280" s="208" t="s">
        <v>2131</v>
      </c>
      <c r="D280" s="209" t="s">
        <v>66</v>
      </c>
      <c r="E280" s="1847">
        <v>2</v>
      </c>
      <c r="F280" s="1834">
        <v>0</v>
      </c>
      <c r="G280" s="1726">
        <f t="shared" si="30"/>
        <v>0</v>
      </c>
      <c r="H280" s="524"/>
      <c r="I280" s="378"/>
    </row>
    <row r="281" spans="2:9" s="217" customFormat="1">
      <c r="B281" s="1833"/>
      <c r="C281" s="1724" t="s">
        <v>150</v>
      </c>
      <c r="D281" s="209" t="s">
        <v>66</v>
      </c>
      <c r="E281" s="1525">
        <v>4</v>
      </c>
      <c r="F281" s="1834">
        <v>0</v>
      </c>
      <c r="G281" s="1726">
        <f t="shared" si="28"/>
        <v>0</v>
      </c>
      <c r="H281" s="1703"/>
    </row>
    <row r="282" spans="2:9" s="217" customFormat="1">
      <c r="B282" s="1833"/>
      <c r="C282" s="1724" t="s">
        <v>135</v>
      </c>
      <c r="D282" s="209" t="s">
        <v>66</v>
      </c>
      <c r="E282" s="1525">
        <v>4</v>
      </c>
      <c r="F282" s="1834">
        <v>0</v>
      </c>
      <c r="G282" s="1726">
        <f t="shared" si="28"/>
        <v>0</v>
      </c>
      <c r="H282" s="1703"/>
    </row>
    <row r="283" spans="2:9">
      <c r="B283" s="523"/>
      <c r="C283" s="1752"/>
      <c r="D283" s="1989"/>
      <c r="E283" s="1936"/>
      <c r="F283" s="1937"/>
      <c r="G283" s="1938"/>
      <c r="H283" s="524"/>
      <c r="I283" s="378"/>
    </row>
    <row r="284" spans="2:9" ht="28.5" customHeight="1">
      <c r="B284" s="1720" t="s">
        <v>511</v>
      </c>
      <c r="C284" s="1723" t="s">
        <v>2219</v>
      </c>
      <c r="D284" s="1820"/>
      <c r="E284" s="1821"/>
      <c r="F284" s="1934"/>
      <c r="G284" s="1935"/>
      <c r="H284" s="524"/>
      <c r="I284" s="378"/>
    </row>
    <row r="285" spans="2:9">
      <c r="B285" s="1720"/>
      <c r="C285" s="1756" t="s">
        <v>2201</v>
      </c>
      <c r="D285" s="1818" t="s">
        <v>66</v>
      </c>
      <c r="E285" s="1721">
        <v>5</v>
      </c>
      <c r="F285" s="1822">
        <v>0</v>
      </c>
      <c r="G285" s="1823">
        <f t="shared" ref="G285:G295" si="31">E285*F285</f>
        <v>0</v>
      </c>
      <c r="H285" s="524"/>
      <c r="I285" s="378"/>
    </row>
    <row r="286" spans="2:9">
      <c r="B286" s="1720"/>
      <c r="C286" s="1756" t="s">
        <v>513</v>
      </c>
      <c r="D286" s="1818" t="s">
        <v>66</v>
      </c>
      <c r="E286" s="1721">
        <v>5</v>
      </c>
      <c r="F286" s="1822">
        <v>0</v>
      </c>
      <c r="G286" s="1823">
        <f t="shared" si="31"/>
        <v>0</v>
      </c>
      <c r="H286" s="524"/>
      <c r="I286" s="378"/>
    </row>
    <row r="287" spans="2:9" ht="25.5">
      <c r="B287" s="1720"/>
      <c r="C287" s="1756" t="s">
        <v>514</v>
      </c>
      <c r="D287" s="1818" t="s">
        <v>66</v>
      </c>
      <c r="E287" s="1721">
        <v>10</v>
      </c>
      <c r="F287" s="1822">
        <v>0</v>
      </c>
      <c r="G287" s="1823">
        <f t="shared" si="31"/>
        <v>0</v>
      </c>
      <c r="H287" s="524"/>
      <c r="I287" s="378"/>
    </row>
    <row r="288" spans="2:9">
      <c r="B288" s="1720"/>
      <c r="C288" s="1756" t="s">
        <v>515</v>
      </c>
      <c r="D288" s="1818" t="s">
        <v>66</v>
      </c>
      <c r="E288" s="1721">
        <v>5</v>
      </c>
      <c r="F288" s="1822">
        <v>0</v>
      </c>
      <c r="G288" s="1823">
        <f t="shared" si="31"/>
        <v>0</v>
      </c>
      <c r="H288" s="524"/>
      <c r="I288" s="378"/>
    </row>
    <row r="289" spans="2:9">
      <c r="B289" s="1720"/>
      <c r="C289" s="1756" t="s">
        <v>516</v>
      </c>
      <c r="D289" s="1818" t="s">
        <v>66</v>
      </c>
      <c r="E289" s="1721">
        <v>5</v>
      </c>
      <c r="F289" s="1822">
        <v>0</v>
      </c>
      <c r="G289" s="1823">
        <f t="shared" si="31"/>
        <v>0</v>
      </c>
      <c r="H289" s="524"/>
      <c r="I289" s="378"/>
    </row>
    <row r="290" spans="2:9">
      <c r="B290" s="1720"/>
      <c r="C290" s="1756" t="s">
        <v>517</v>
      </c>
      <c r="D290" s="1818" t="s">
        <v>66</v>
      </c>
      <c r="E290" s="1721">
        <v>5</v>
      </c>
      <c r="F290" s="1822">
        <v>0</v>
      </c>
      <c r="G290" s="1823">
        <f t="shared" si="31"/>
        <v>0</v>
      </c>
      <c r="H290" s="524"/>
      <c r="I290" s="378"/>
    </row>
    <row r="291" spans="2:9">
      <c r="B291" s="1720"/>
      <c r="C291" s="1722" t="s">
        <v>518</v>
      </c>
      <c r="D291" s="1818" t="s">
        <v>66</v>
      </c>
      <c r="E291" s="1721">
        <v>5</v>
      </c>
      <c r="F291" s="1822">
        <v>0</v>
      </c>
      <c r="G291" s="1823">
        <f t="shared" si="31"/>
        <v>0</v>
      </c>
      <c r="H291" s="524"/>
      <c r="I291" s="378"/>
    </row>
    <row r="292" spans="2:9">
      <c r="B292" s="1720"/>
      <c r="C292" s="1722" t="s">
        <v>509</v>
      </c>
      <c r="D292" s="1818" t="s">
        <v>66</v>
      </c>
      <c r="E292" s="1721">
        <v>5</v>
      </c>
      <c r="F292" s="1822">
        <v>0</v>
      </c>
      <c r="G292" s="1823">
        <f t="shared" si="31"/>
        <v>0</v>
      </c>
      <c r="H292" s="524"/>
      <c r="I292" s="378"/>
    </row>
    <row r="293" spans="2:9">
      <c r="B293" s="1720"/>
      <c r="C293" s="1756" t="s">
        <v>510</v>
      </c>
      <c r="D293" s="1818" t="s">
        <v>66</v>
      </c>
      <c r="E293" s="1721">
        <v>5</v>
      </c>
      <c r="F293" s="1822">
        <v>0</v>
      </c>
      <c r="G293" s="1823">
        <f t="shared" si="31"/>
        <v>0</v>
      </c>
      <c r="H293" s="524"/>
      <c r="I293" s="378"/>
    </row>
    <row r="294" spans="2:9">
      <c r="B294" s="1720"/>
      <c r="C294" s="1751" t="s">
        <v>499</v>
      </c>
      <c r="D294" s="1818" t="s">
        <v>66</v>
      </c>
      <c r="E294" s="1721">
        <v>10</v>
      </c>
      <c r="F294" s="1822">
        <v>0</v>
      </c>
      <c r="G294" s="1823">
        <f t="shared" si="31"/>
        <v>0</v>
      </c>
      <c r="H294" s="524"/>
      <c r="I294" s="378"/>
    </row>
    <row r="295" spans="2:9">
      <c r="B295" s="1720"/>
      <c r="C295" s="1722" t="s">
        <v>519</v>
      </c>
      <c r="D295" s="1818" t="s">
        <v>66</v>
      </c>
      <c r="E295" s="1721">
        <v>5</v>
      </c>
      <c r="F295" s="1822">
        <v>0</v>
      </c>
      <c r="G295" s="1823">
        <f t="shared" si="31"/>
        <v>0</v>
      </c>
      <c r="H295" s="524"/>
      <c r="I295" s="378"/>
    </row>
    <row r="296" spans="2:9" ht="16.5" customHeight="1">
      <c r="B296" s="523"/>
      <c r="C296" s="1753"/>
      <c r="D296" s="1991"/>
      <c r="E296" s="1939"/>
      <c r="F296" s="1940"/>
      <c r="G296" s="1941"/>
      <c r="H296" s="524"/>
      <c r="I296" s="378"/>
    </row>
    <row r="297" spans="2:9" ht="16.5" customHeight="1">
      <c r="B297" s="1720" t="s">
        <v>511</v>
      </c>
      <c r="C297" s="1723" t="s">
        <v>2159</v>
      </c>
      <c r="D297" s="1820"/>
      <c r="E297" s="1821"/>
      <c r="F297" s="1934"/>
      <c r="G297" s="1935"/>
      <c r="H297" s="524"/>
      <c r="I297" s="378"/>
    </row>
    <row r="298" spans="2:9" ht="16.5" customHeight="1">
      <c r="B298" s="1720"/>
      <c r="C298" s="1756" t="s">
        <v>520</v>
      </c>
      <c r="D298" s="1818" t="s">
        <v>66</v>
      </c>
      <c r="E298" s="1721">
        <v>4</v>
      </c>
      <c r="F298" s="1822">
        <v>0</v>
      </c>
      <c r="G298" s="1823">
        <f t="shared" ref="G298:G312" si="32">E298*F298</f>
        <v>0</v>
      </c>
      <c r="H298" s="524"/>
      <c r="I298" s="378"/>
    </row>
    <row r="299" spans="2:9" ht="21.75" customHeight="1">
      <c r="B299" s="1720"/>
      <c r="C299" s="1756" t="s">
        <v>521</v>
      </c>
      <c r="D299" s="1818" t="s">
        <v>66</v>
      </c>
      <c r="E299" s="1721">
        <v>8</v>
      </c>
      <c r="F299" s="1822">
        <v>0</v>
      </c>
      <c r="G299" s="1823">
        <f t="shared" si="32"/>
        <v>0</v>
      </c>
      <c r="H299" s="524"/>
      <c r="I299" s="378"/>
    </row>
    <row r="300" spans="2:9" ht="17.25" customHeight="1">
      <c r="B300" s="1720"/>
      <c r="C300" s="1756" t="s">
        <v>140</v>
      </c>
      <c r="D300" s="1818" t="s">
        <v>66</v>
      </c>
      <c r="E300" s="1721">
        <v>4</v>
      </c>
      <c r="F300" s="1822">
        <v>0</v>
      </c>
      <c r="G300" s="1823">
        <f t="shared" si="32"/>
        <v>0</v>
      </c>
      <c r="H300" s="524"/>
      <c r="I300" s="378"/>
    </row>
    <row r="301" spans="2:9" ht="20.25" customHeight="1">
      <c r="B301" s="1720"/>
      <c r="C301" s="1756" t="s">
        <v>141</v>
      </c>
      <c r="D301" s="1818" t="s">
        <v>66</v>
      </c>
      <c r="E301" s="1721">
        <v>4</v>
      </c>
      <c r="F301" s="1822">
        <v>0</v>
      </c>
      <c r="G301" s="1823">
        <f t="shared" si="32"/>
        <v>0</v>
      </c>
      <c r="H301" s="524"/>
      <c r="I301" s="378"/>
    </row>
    <row r="302" spans="2:9" ht="20.25" customHeight="1">
      <c r="B302" s="1720"/>
      <c r="C302" s="1756" t="s">
        <v>142</v>
      </c>
      <c r="D302" s="1818" t="s">
        <v>66</v>
      </c>
      <c r="E302" s="1721">
        <v>4</v>
      </c>
      <c r="F302" s="1822">
        <v>0</v>
      </c>
      <c r="G302" s="1823">
        <f t="shared" si="32"/>
        <v>0</v>
      </c>
      <c r="H302" s="524"/>
      <c r="I302" s="378"/>
    </row>
    <row r="303" spans="2:9" ht="21" customHeight="1">
      <c r="B303" s="1720"/>
      <c r="C303" s="1756" t="s">
        <v>522</v>
      </c>
      <c r="D303" s="1818" t="s">
        <v>66</v>
      </c>
      <c r="E303" s="1721">
        <v>4</v>
      </c>
      <c r="F303" s="1822">
        <v>0</v>
      </c>
      <c r="G303" s="1823">
        <f t="shared" si="32"/>
        <v>0</v>
      </c>
      <c r="H303" s="524"/>
      <c r="I303" s="378"/>
    </row>
    <row r="304" spans="2:9" ht="18" customHeight="1">
      <c r="B304" s="1720"/>
      <c r="C304" s="1756" t="s">
        <v>155</v>
      </c>
      <c r="D304" s="1818" t="s">
        <v>66</v>
      </c>
      <c r="E304" s="1721">
        <v>4</v>
      </c>
      <c r="F304" s="1822">
        <v>0</v>
      </c>
      <c r="G304" s="1823">
        <f t="shared" si="32"/>
        <v>0</v>
      </c>
      <c r="H304" s="524"/>
      <c r="I304" s="378"/>
    </row>
    <row r="305" spans="2:9" ht="18.75" customHeight="1">
      <c r="B305" s="1720"/>
      <c r="C305" s="1756" t="s">
        <v>145</v>
      </c>
      <c r="D305" s="1818" t="s">
        <v>66</v>
      </c>
      <c r="E305" s="1721">
        <v>4</v>
      </c>
      <c r="F305" s="1822">
        <v>0</v>
      </c>
      <c r="G305" s="1823">
        <f t="shared" si="32"/>
        <v>0</v>
      </c>
      <c r="H305" s="524"/>
      <c r="I305" s="378"/>
    </row>
    <row r="306" spans="2:9" ht="19.5" customHeight="1">
      <c r="B306" s="1720"/>
      <c r="C306" s="1756" t="s">
        <v>146</v>
      </c>
      <c r="D306" s="1818" t="s">
        <v>66</v>
      </c>
      <c r="E306" s="1721">
        <v>4</v>
      </c>
      <c r="F306" s="1822">
        <v>0</v>
      </c>
      <c r="G306" s="1823">
        <f t="shared" si="32"/>
        <v>0</v>
      </c>
      <c r="H306" s="524"/>
      <c r="I306" s="378"/>
    </row>
    <row r="307" spans="2:9" ht="18.75" customHeight="1">
      <c r="B307" s="1720"/>
      <c r="C307" s="1722" t="s">
        <v>147</v>
      </c>
      <c r="D307" s="1818" t="s">
        <v>66</v>
      </c>
      <c r="E307" s="1721">
        <v>4</v>
      </c>
      <c r="F307" s="1822">
        <v>0</v>
      </c>
      <c r="G307" s="1823">
        <f t="shared" si="32"/>
        <v>0</v>
      </c>
      <c r="H307" s="524"/>
      <c r="I307" s="378"/>
    </row>
    <row r="308" spans="2:9" ht="23.25" customHeight="1">
      <c r="B308" s="1720"/>
      <c r="C308" s="1722" t="s">
        <v>188</v>
      </c>
      <c r="D308" s="1818" t="s">
        <v>66</v>
      </c>
      <c r="E308" s="1721">
        <v>4</v>
      </c>
      <c r="F308" s="1822">
        <v>0</v>
      </c>
      <c r="G308" s="1823">
        <f t="shared" si="32"/>
        <v>0</v>
      </c>
      <c r="H308" s="524"/>
      <c r="I308" s="378"/>
    </row>
    <row r="309" spans="2:9" ht="15.75" customHeight="1">
      <c r="B309" s="1720"/>
      <c r="C309" s="1751" t="s">
        <v>499</v>
      </c>
      <c r="D309" s="1818" t="s">
        <v>66</v>
      </c>
      <c r="E309" s="1721">
        <v>8</v>
      </c>
      <c r="F309" s="1822">
        <v>0</v>
      </c>
      <c r="G309" s="1823">
        <f t="shared" si="32"/>
        <v>0</v>
      </c>
      <c r="H309" s="524"/>
      <c r="I309" s="378"/>
    </row>
    <row r="310" spans="2:9" ht="21.75" customHeight="1">
      <c r="B310" s="1720"/>
      <c r="C310" s="1722" t="s">
        <v>149</v>
      </c>
      <c r="D310" s="1818" t="s">
        <v>66</v>
      </c>
      <c r="E310" s="1721">
        <v>4</v>
      </c>
      <c r="F310" s="1822">
        <v>0</v>
      </c>
      <c r="G310" s="1823">
        <f t="shared" si="32"/>
        <v>0</v>
      </c>
      <c r="H310" s="524"/>
      <c r="I310" s="378"/>
    </row>
    <row r="311" spans="2:9" ht="21" customHeight="1">
      <c r="B311" s="1720"/>
      <c r="C311" s="1722" t="s">
        <v>150</v>
      </c>
      <c r="D311" s="1818" t="s">
        <v>66</v>
      </c>
      <c r="E311" s="1721">
        <v>12</v>
      </c>
      <c r="F311" s="1822">
        <v>0</v>
      </c>
      <c r="G311" s="1823">
        <f t="shared" si="32"/>
        <v>0</v>
      </c>
      <c r="H311" s="524"/>
      <c r="I311" s="378"/>
    </row>
    <row r="312" spans="2:9" ht="28.5" customHeight="1">
      <c r="B312" s="1720"/>
      <c r="C312" s="1722" t="s">
        <v>519</v>
      </c>
      <c r="D312" s="1818" t="s">
        <v>66</v>
      </c>
      <c r="E312" s="1721">
        <v>4</v>
      </c>
      <c r="F312" s="1851">
        <v>0</v>
      </c>
      <c r="G312" s="1852">
        <f t="shared" si="32"/>
        <v>0</v>
      </c>
      <c r="H312" s="524"/>
      <c r="I312" s="378"/>
    </row>
    <row r="313" spans="2:9" ht="16.5" customHeight="1">
      <c r="B313" s="523"/>
      <c r="C313" s="1752"/>
      <c r="D313" s="1989"/>
      <c r="E313" s="1936"/>
      <c r="F313" s="1937"/>
      <c r="G313" s="1938"/>
      <c r="H313" s="524"/>
      <c r="I313" s="378"/>
    </row>
    <row r="314" spans="2:9" ht="38.25">
      <c r="B314" s="1824" t="s">
        <v>523</v>
      </c>
      <c r="C314" s="1825" t="s">
        <v>2160</v>
      </c>
      <c r="D314" s="1836"/>
      <c r="E314" s="1847"/>
      <c r="F314" s="1942"/>
      <c r="G314" s="1943"/>
      <c r="H314" s="524"/>
      <c r="I314" s="378"/>
    </row>
    <row r="315" spans="2:9" s="217" customFormat="1">
      <c r="B315" s="1833"/>
      <c r="C315" s="1845" t="s">
        <v>520</v>
      </c>
      <c r="D315" s="209" t="s">
        <v>66</v>
      </c>
      <c r="E315" s="1525">
        <v>5</v>
      </c>
      <c r="F315" s="1834">
        <v>0</v>
      </c>
      <c r="G315" s="1726">
        <f t="shared" ref="G315:G340" si="33">E315*F315</f>
        <v>0</v>
      </c>
      <c r="H315" s="1703"/>
    </row>
    <row r="316" spans="2:9" s="217" customFormat="1">
      <c r="B316" s="1833"/>
      <c r="C316" s="1845" t="s">
        <v>521</v>
      </c>
      <c r="D316" s="209" t="s">
        <v>66</v>
      </c>
      <c r="E316" s="1525">
        <v>10</v>
      </c>
      <c r="F316" s="1834">
        <v>0</v>
      </c>
      <c r="G316" s="1726">
        <f t="shared" si="33"/>
        <v>0</v>
      </c>
      <c r="H316" s="1703"/>
    </row>
    <row r="317" spans="2:9" s="217" customFormat="1" ht="12.75" customHeight="1">
      <c r="B317" s="1833"/>
      <c r="C317" s="1845" t="s">
        <v>140</v>
      </c>
      <c r="D317" s="209" t="s">
        <v>66</v>
      </c>
      <c r="E317" s="1525">
        <v>5</v>
      </c>
      <c r="F317" s="1834">
        <v>0</v>
      </c>
      <c r="G317" s="1726">
        <f t="shared" si="33"/>
        <v>0</v>
      </c>
      <c r="H317" s="1703"/>
    </row>
    <row r="318" spans="2:9" s="217" customFormat="1">
      <c r="B318" s="1833"/>
      <c r="C318" s="1845" t="s">
        <v>141</v>
      </c>
      <c r="D318" s="209" t="s">
        <v>66</v>
      </c>
      <c r="E318" s="1525">
        <v>5</v>
      </c>
      <c r="F318" s="1834">
        <v>0</v>
      </c>
      <c r="G318" s="1726">
        <f t="shared" si="33"/>
        <v>0</v>
      </c>
      <c r="H318" s="1703"/>
    </row>
    <row r="319" spans="2:9" s="217" customFormat="1">
      <c r="B319" s="1833"/>
      <c r="C319" s="1845" t="s">
        <v>142</v>
      </c>
      <c r="D319" s="209" t="s">
        <v>66</v>
      </c>
      <c r="E319" s="1525">
        <v>5</v>
      </c>
      <c r="F319" s="1834">
        <v>0</v>
      </c>
      <c r="G319" s="1726">
        <f t="shared" si="33"/>
        <v>0</v>
      </c>
      <c r="H319" s="1703"/>
    </row>
    <row r="320" spans="2:9" s="217" customFormat="1">
      <c r="B320" s="1833"/>
      <c r="C320" s="1845" t="s">
        <v>522</v>
      </c>
      <c r="D320" s="209" t="s">
        <v>66</v>
      </c>
      <c r="E320" s="1525">
        <v>5</v>
      </c>
      <c r="F320" s="1834">
        <v>0</v>
      </c>
      <c r="G320" s="1726">
        <f t="shared" si="33"/>
        <v>0</v>
      </c>
      <c r="H320" s="1703"/>
    </row>
    <row r="321" spans="2:8" s="217" customFormat="1">
      <c r="B321" s="1833"/>
      <c r="C321" s="1845" t="s">
        <v>155</v>
      </c>
      <c r="D321" s="209" t="s">
        <v>66</v>
      </c>
      <c r="E321" s="1525">
        <v>5</v>
      </c>
      <c r="F321" s="1834">
        <v>0</v>
      </c>
      <c r="G321" s="1726">
        <f t="shared" si="33"/>
        <v>0</v>
      </c>
      <c r="H321" s="1703"/>
    </row>
    <row r="322" spans="2:8" s="217" customFormat="1">
      <c r="B322" s="1833"/>
      <c r="C322" s="1845" t="s">
        <v>145</v>
      </c>
      <c r="D322" s="209" t="s">
        <v>66</v>
      </c>
      <c r="E322" s="1525">
        <v>5</v>
      </c>
      <c r="F322" s="1834">
        <v>0</v>
      </c>
      <c r="G322" s="1726">
        <f t="shared" si="33"/>
        <v>0</v>
      </c>
      <c r="H322" s="1703"/>
    </row>
    <row r="323" spans="2:8" s="217" customFormat="1">
      <c r="B323" s="1833"/>
      <c r="C323" s="1845" t="s">
        <v>146</v>
      </c>
      <c r="D323" s="209" t="s">
        <v>66</v>
      </c>
      <c r="E323" s="1525">
        <v>5</v>
      </c>
      <c r="F323" s="1834">
        <v>0</v>
      </c>
      <c r="G323" s="1726">
        <f t="shared" si="33"/>
        <v>0</v>
      </c>
      <c r="H323" s="1703"/>
    </row>
    <row r="324" spans="2:8" s="217" customFormat="1">
      <c r="B324" s="1833"/>
      <c r="C324" s="1724" t="s">
        <v>147</v>
      </c>
      <c r="D324" s="209" t="s">
        <v>66</v>
      </c>
      <c r="E324" s="1525">
        <v>5</v>
      </c>
      <c r="F324" s="1834">
        <v>0</v>
      </c>
      <c r="G324" s="1726">
        <f t="shared" si="33"/>
        <v>0</v>
      </c>
      <c r="H324" s="1703"/>
    </row>
    <row r="325" spans="2:8" s="217" customFormat="1">
      <c r="B325" s="1833"/>
      <c r="C325" s="1724" t="s">
        <v>188</v>
      </c>
      <c r="D325" s="209" t="s">
        <v>66</v>
      </c>
      <c r="E325" s="1525">
        <v>5</v>
      </c>
      <c r="F325" s="1834">
        <v>0</v>
      </c>
      <c r="G325" s="1726">
        <f t="shared" si="33"/>
        <v>0</v>
      </c>
      <c r="H325" s="1703"/>
    </row>
    <row r="326" spans="2:8" s="217" customFormat="1">
      <c r="B326" s="1833"/>
      <c r="C326" s="1724" t="s">
        <v>499</v>
      </c>
      <c r="D326" s="209" t="s">
        <v>66</v>
      </c>
      <c r="E326" s="1525">
        <v>10</v>
      </c>
      <c r="F326" s="1834">
        <v>0</v>
      </c>
      <c r="G326" s="1726">
        <f t="shared" si="33"/>
        <v>0</v>
      </c>
      <c r="H326" s="1703"/>
    </row>
    <row r="327" spans="2:8" s="217" customFormat="1">
      <c r="B327" s="1833"/>
      <c r="C327" s="1724" t="s">
        <v>149</v>
      </c>
      <c r="D327" s="209" t="s">
        <v>66</v>
      </c>
      <c r="E327" s="1525">
        <v>5</v>
      </c>
      <c r="F327" s="1834">
        <v>0</v>
      </c>
      <c r="G327" s="1726">
        <f t="shared" si="33"/>
        <v>0</v>
      </c>
      <c r="H327" s="1703"/>
    </row>
    <row r="328" spans="2:8" s="217" customFormat="1">
      <c r="B328" s="1833"/>
      <c r="C328" s="1724" t="s">
        <v>150</v>
      </c>
      <c r="D328" s="209" t="s">
        <v>66</v>
      </c>
      <c r="E328" s="1525">
        <v>15</v>
      </c>
      <c r="F328" s="1834">
        <v>0</v>
      </c>
      <c r="G328" s="1726">
        <f t="shared" si="33"/>
        <v>0</v>
      </c>
      <c r="H328" s="1703"/>
    </row>
    <row r="329" spans="2:8" s="217" customFormat="1">
      <c r="B329" s="1833"/>
      <c r="C329" s="1724" t="s">
        <v>135</v>
      </c>
      <c r="D329" s="209" t="s">
        <v>66</v>
      </c>
      <c r="E329" s="1525">
        <v>5</v>
      </c>
      <c r="F329" s="1834">
        <v>0</v>
      </c>
      <c r="G329" s="1726">
        <f t="shared" si="33"/>
        <v>0</v>
      </c>
      <c r="H329" s="1703"/>
    </row>
    <row r="330" spans="2:8" s="217" customFormat="1">
      <c r="B330" s="1833"/>
      <c r="C330" s="1845" t="s">
        <v>512</v>
      </c>
      <c r="D330" s="209" t="s">
        <v>66</v>
      </c>
      <c r="E330" s="1525">
        <v>5</v>
      </c>
      <c r="F330" s="1834">
        <v>0</v>
      </c>
      <c r="G330" s="1726">
        <f t="shared" si="33"/>
        <v>0</v>
      </c>
      <c r="H330" s="1703"/>
    </row>
    <row r="331" spans="2:8" s="217" customFormat="1">
      <c r="B331" s="1833"/>
      <c r="C331" s="1845" t="s">
        <v>513</v>
      </c>
      <c r="D331" s="209" t="s">
        <v>66</v>
      </c>
      <c r="E331" s="1525">
        <v>5</v>
      </c>
      <c r="F331" s="1834">
        <v>0</v>
      </c>
      <c r="G331" s="1726">
        <f t="shared" si="33"/>
        <v>0</v>
      </c>
      <c r="H331" s="1703"/>
    </row>
    <row r="332" spans="2:8" s="217" customFormat="1" ht="12.75" customHeight="1">
      <c r="B332" s="1833"/>
      <c r="C332" s="1845" t="s">
        <v>514</v>
      </c>
      <c r="D332" s="209" t="s">
        <v>66</v>
      </c>
      <c r="E332" s="1525">
        <v>10</v>
      </c>
      <c r="F332" s="1834">
        <v>0</v>
      </c>
      <c r="G332" s="1726">
        <f t="shared" si="33"/>
        <v>0</v>
      </c>
      <c r="H332" s="1703"/>
    </row>
    <row r="333" spans="2:8" s="217" customFormat="1" ht="12.75" customHeight="1">
      <c r="B333" s="1833"/>
      <c r="C333" s="1845" t="s">
        <v>515</v>
      </c>
      <c r="D333" s="209" t="s">
        <v>66</v>
      </c>
      <c r="E333" s="1525">
        <v>5</v>
      </c>
      <c r="F333" s="1834">
        <v>0</v>
      </c>
      <c r="G333" s="1726">
        <f t="shared" si="33"/>
        <v>0</v>
      </c>
      <c r="H333" s="1703"/>
    </row>
    <row r="334" spans="2:8" s="217" customFormat="1">
      <c r="B334" s="1833"/>
      <c r="C334" s="1845" t="s">
        <v>516</v>
      </c>
      <c r="D334" s="209" t="s">
        <v>66</v>
      </c>
      <c r="E334" s="1525">
        <v>5</v>
      </c>
      <c r="F334" s="1834">
        <v>0</v>
      </c>
      <c r="G334" s="1726">
        <f t="shared" si="33"/>
        <v>0</v>
      </c>
      <c r="H334" s="1703"/>
    </row>
    <row r="335" spans="2:8" s="217" customFormat="1">
      <c r="B335" s="1833"/>
      <c r="C335" s="1845" t="s">
        <v>517</v>
      </c>
      <c r="D335" s="209" t="s">
        <v>66</v>
      </c>
      <c r="E335" s="1525">
        <v>5</v>
      </c>
      <c r="F335" s="1834">
        <v>0</v>
      </c>
      <c r="G335" s="1726">
        <f t="shared" si="33"/>
        <v>0</v>
      </c>
      <c r="H335" s="1703"/>
    </row>
    <row r="336" spans="2:8" s="217" customFormat="1">
      <c r="B336" s="1833"/>
      <c r="C336" s="1724" t="s">
        <v>518</v>
      </c>
      <c r="D336" s="209" t="s">
        <v>66</v>
      </c>
      <c r="E336" s="1525">
        <v>5</v>
      </c>
      <c r="F336" s="1834">
        <v>0</v>
      </c>
      <c r="G336" s="1726">
        <f t="shared" si="33"/>
        <v>0</v>
      </c>
      <c r="H336" s="1703"/>
    </row>
    <row r="337" spans="2:9" s="217" customFormat="1">
      <c r="B337" s="1833"/>
      <c r="C337" s="1724" t="s">
        <v>509</v>
      </c>
      <c r="D337" s="209" t="s">
        <v>66</v>
      </c>
      <c r="E337" s="1525">
        <v>5</v>
      </c>
      <c r="F337" s="1834">
        <v>0</v>
      </c>
      <c r="G337" s="1726">
        <f t="shared" si="33"/>
        <v>0</v>
      </c>
      <c r="H337" s="1703"/>
    </row>
    <row r="338" spans="2:9" s="217" customFormat="1">
      <c r="B338" s="1833"/>
      <c r="C338" s="1845" t="s">
        <v>510</v>
      </c>
      <c r="D338" s="209" t="s">
        <v>66</v>
      </c>
      <c r="E338" s="1525">
        <v>5</v>
      </c>
      <c r="F338" s="1834">
        <v>0</v>
      </c>
      <c r="G338" s="1726">
        <f t="shared" si="33"/>
        <v>0</v>
      </c>
      <c r="H338" s="1703"/>
    </row>
    <row r="339" spans="2:9" s="217" customFormat="1">
      <c r="B339" s="1833"/>
      <c r="C339" s="1724" t="s">
        <v>2108</v>
      </c>
      <c r="D339" s="209" t="s">
        <v>66</v>
      </c>
      <c r="E339" s="1525">
        <v>10</v>
      </c>
      <c r="F339" s="1834">
        <v>0</v>
      </c>
      <c r="G339" s="1726">
        <f t="shared" si="33"/>
        <v>0</v>
      </c>
      <c r="H339" s="1703"/>
    </row>
    <row r="340" spans="2:9" s="217" customFormat="1">
      <c r="B340" s="1833"/>
      <c r="C340" s="1724" t="s">
        <v>135</v>
      </c>
      <c r="D340" s="209" t="s">
        <v>66</v>
      </c>
      <c r="E340" s="1525">
        <v>5</v>
      </c>
      <c r="F340" s="1834">
        <v>0</v>
      </c>
      <c r="G340" s="1726">
        <f t="shared" si="33"/>
        <v>0</v>
      </c>
      <c r="H340" s="1703"/>
    </row>
    <row r="341" spans="2:9" s="1" customFormat="1" ht="18" customHeight="1">
      <c r="B341" s="1843"/>
      <c r="C341" s="1724" t="s">
        <v>1600</v>
      </c>
      <c r="D341" s="209" t="s">
        <v>66</v>
      </c>
      <c r="E341" s="204">
        <v>20</v>
      </c>
      <c r="F341" s="1840">
        <v>0</v>
      </c>
      <c r="G341" s="1841">
        <f t="shared" ref="G341:G342" si="34">E341*F341</f>
        <v>0</v>
      </c>
      <c r="H341" s="1839"/>
    </row>
    <row r="342" spans="2:9" s="179" customFormat="1" ht="18" customHeight="1">
      <c r="B342" s="1835"/>
      <c r="C342" s="1724" t="s">
        <v>280</v>
      </c>
      <c r="D342" s="209" t="s">
        <v>66</v>
      </c>
      <c r="E342" s="204">
        <v>40</v>
      </c>
      <c r="F342" s="1840">
        <v>0</v>
      </c>
      <c r="G342" s="1841">
        <f t="shared" si="34"/>
        <v>0</v>
      </c>
      <c r="H342" s="1842"/>
    </row>
    <row r="343" spans="2:9">
      <c r="B343" s="523"/>
      <c r="C343" s="1752"/>
      <c r="D343" s="1989"/>
      <c r="E343" s="1936"/>
      <c r="F343" s="1937"/>
      <c r="G343" s="1938"/>
      <c r="H343" s="524"/>
      <c r="I343" s="378"/>
    </row>
    <row r="344" spans="2:9">
      <c r="B344" s="1824" t="s">
        <v>524</v>
      </c>
      <c r="C344" s="1825" t="s">
        <v>2141</v>
      </c>
      <c r="D344" s="1836"/>
      <c r="E344" s="1847"/>
      <c r="F344" s="1942"/>
      <c r="G344" s="1943"/>
      <c r="H344" s="524"/>
      <c r="I344" s="378"/>
    </row>
    <row r="345" spans="2:9" s="179" customFormat="1" ht="18" customHeight="1">
      <c r="B345" s="1835"/>
      <c r="C345" s="1724" t="s">
        <v>1600</v>
      </c>
      <c r="D345" s="209" t="s">
        <v>66</v>
      </c>
      <c r="E345" s="204">
        <v>2</v>
      </c>
      <c r="F345" s="1725">
        <v>0</v>
      </c>
      <c r="G345" s="1726">
        <f t="shared" ref="G345:G353" si="35">E345*F345</f>
        <v>0</v>
      </c>
      <c r="H345" s="1727"/>
    </row>
    <row r="346" spans="2:9" s="179" customFormat="1" ht="18" customHeight="1">
      <c r="B346" s="1835"/>
      <c r="C346" s="1724" t="s">
        <v>1601</v>
      </c>
      <c r="D346" s="209" t="s">
        <v>66</v>
      </c>
      <c r="E346" s="204">
        <v>4</v>
      </c>
      <c r="F346" s="1725">
        <v>0</v>
      </c>
      <c r="G346" s="1726">
        <f t="shared" si="35"/>
        <v>0</v>
      </c>
      <c r="H346" s="1727"/>
    </row>
    <row r="347" spans="2:9" s="217" customFormat="1">
      <c r="B347" s="1833"/>
      <c r="C347" s="1845" t="s">
        <v>1608</v>
      </c>
      <c r="D347" s="209" t="s">
        <v>66</v>
      </c>
      <c r="E347" s="1525">
        <v>1</v>
      </c>
      <c r="F347" s="1834">
        <v>0</v>
      </c>
      <c r="G347" s="1726">
        <f t="shared" si="35"/>
        <v>0</v>
      </c>
      <c r="H347" s="1703"/>
    </row>
    <row r="348" spans="2:9" s="217" customFormat="1">
      <c r="B348" s="1833"/>
      <c r="C348" s="1845" t="s">
        <v>139</v>
      </c>
      <c r="D348" s="209" t="s">
        <v>66</v>
      </c>
      <c r="E348" s="1525">
        <v>1</v>
      </c>
      <c r="F348" s="1834">
        <v>0</v>
      </c>
      <c r="G348" s="1726">
        <f t="shared" si="35"/>
        <v>0</v>
      </c>
      <c r="H348" s="1703"/>
    </row>
    <row r="349" spans="2:9" s="217" customFormat="1">
      <c r="B349" s="1833"/>
      <c r="C349" s="1724" t="s">
        <v>499</v>
      </c>
      <c r="D349" s="209" t="s">
        <v>66</v>
      </c>
      <c r="E349" s="1525">
        <v>2</v>
      </c>
      <c r="F349" s="1834">
        <v>0</v>
      </c>
      <c r="G349" s="1726">
        <f t="shared" si="35"/>
        <v>0</v>
      </c>
      <c r="H349" s="1703"/>
    </row>
    <row r="350" spans="2:9" s="217" customFormat="1">
      <c r="B350" s="1833"/>
      <c r="C350" s="1724" t="s">
        <v>132</v>
      </c>
      <c r="D350" s="209" t="s">
        <v>66</v>
      </c>
      <c r="E350" s="1525">
        <v>1</v>
      </c>
      <c r="F350" s="1834">
        <v>0</v>
      </c>
      <c r="G350" s="1726">
        <f t="shared" si="35"/>
        <v>0</v>
      </c>
      <c r="H350" s="1703"/>
    </row>
    <row r="351" spans="2:9" s="217" customFormat="1">
      <c r="B351" s="1833"/>
      <c r="C351" s="1724" t="s">
        <v>148</v>
      </c>
      <c r="D351" s="209" t="s">
        <v>66</v>
      </c>
      <c r="E351" s="1525">
        <v>1</v>
      </c>
      <c r="F351" s="1834">
        <v>0</v>
      </c>
      <c r="G351" s="1726">
        <f t="shared" si="35"/>
        <v>0</v>
      </c>
      <c r="H351" s="1703"/>
    </row>
    <row r="352" spans="2:9" s="217" customFormat="1">
      <c r="B352" s="1833"/>
      <c r="C352" s="1724" t="s">
        <v>150</v>
      </c>
      <c r="D352" s="209" t="s">
        <v>66</v>
      </c>
      <c r="E352" s="1525">
        <v>1</v>
      </c>
      <c r="F352" s="1834">
        <v>0</v>
      </c>
      <c r="G352" s="1726">
        <f t="shared" si="35"/>
        <v>0</v>
      </c>
      <c r="H352" s="1703"/>
    </row>
    <row r="353" spans="2:8" s="217" customFormat="1">
      <c r="B353" s="1833"/>
      <c r="C353" s="1724" t="s">
        <v>135</v>
      </c>
      <c r="D353" s="209" t="s">
        <v>66</v>
      </c>
      <c r="E353" s="1525">
        <v>1</v>
      </c>
      <c r="F353" s="1834">
        <v>0</v>
      </c>
      <c r="G353" s="1726">
        <f t="shared" si="35"/>
        <v>0</v>
      </c>
      <c r="H353" s="1703"/>
    </row>
    <row r="354" spans="2:8">
      <c r="B354" s="1824"/>
      <c r="C354" s="1826" t="s">
        <v>2142</v>
      </c>
      <c r="D354" s="209" t="s">
        <v>66</v>
      </c>
      <c r="E354" s="1525">
        <v>1</v>
      </c>
      <c r="F354" s="1834">
        <v>0</v>
      </c>
      <c r="G354" s="1726">
        <f t="shared" ref="G354" si="36">E354*F354</f>
        <v>0</v>
      </c>
      <c r="H354" s="524"/>
    </row>
    <row r="355" spans="2:8">
      <c r="B355" s="523"/>
      <c r="C355" s="1754"/>
      <c r="D355" s="1837"/>
      <c r="E355" s="1944"/>
      <c r="F355" s="1937"/>
      <c r="G355" s="1938"/>
      <c r="H355" s="524"/>
    </row>
    <row r="356" spans="2:8">
      <c r="B356" s="1824" t="s">
        <v>525</v>
      </c>
      <c r="C356" s="1825" t="s">
        <v>2161</v>
      </c>
      <c r="D356" s="1838"/>
      <c r="E356" s="1945"/>
      <c r="F356" s="1942"/>
      <c r="G356" s="1943"/>
      <c r="H356" s="524"/>
    </row>
    <row r="357" spans="2:8" s="217" customFormat="1">
      <c r="B357" s="1833"/>
      <c r="C357" s="1845" t="s">
        <v>2137</v>
      </c>
      <c r="D357" s="209" t="s">
        <v>66</v>
      </c>
      <c r="E357" s="1525">
        <v>1</v>
      </c>
      <c r="F357" s="1834">
        <v>0</v>
      </c>
      <c r="G357" s="1726">
        <f t="shared" ref="G357:G366" si="37">E357*F357</f>
        <v>0</v>
      </c>
      <c r="H357" s="1703"/>
    </row>
    <row r="358" spans="2:8" s="179" customFormat="1" ht="15.75" customHeight="1">
      <c r="B358" s="1835"/>
      <c r="C358" s="1724" t="s">
        <v>2122</v>
      </c>
      <c r="D358" s="209" t="s">
        <v>66</v>
      </c>
      <c r="E358" s="204">
        <v>1</v>
      </c>
      <c r="F358" s="1725">
        <v>0</v>
      </c>
      <c r="G358" s="1726">
        <f t="shared" si="37"/>
        <v>0</v>
      </c>
      <c r="H358" s="1727"/>
    </row>
    <row r="359" spans="2:8" s="217" customFormat="1">
      <c r="B359" s="1833"/>
      <c r="C359" s="1845" t="s">
        <v>155</v>
      </c>
      <c r="D359" s="209" t="s">
        <v>66</v>
      </c>
      <c r="E359" s="1525">
        <v>1</v>
      </c>
      <c r="F359" s="1834">
        <v>0</v>
      </c>
      <c r="G359" s="1726">
        <f t="shared" si="37"/>
        <v>0</v>
      </c>
      <c r="H359" s="1703"/>
    </row>
    <row r="360" spans="2:8" s="217" customFormat="1">
      <c r="B360" s="1833"/>
      <c r="C360" s="1724" t="s">
        <v>499</v>
      </c>
      <c r="D360" s="209" t="s">
        <v>66</v>
      </c>
      <c r="E360" s="1525">
        <v>2</v>
      </c>
      <c r="F360" s="1834">
        <v>0</v>
      </c>
      <c r="G360" s="1726">
        <f t="shared" si="37"/>
        <v>0</v>
      </c>
      <c r="H360" s="1703"/>
    </row>
    <row r="361" spans="2:8" s="217" customFormat="1">
      <c r="B361" s="1833"/>
      <c r="C361" s="1724" t="s">
        <v>150</v>
      </c>
      <c r="D361" s="209" t="s">
        <v>66</v>
      </c>
      <c r="E361" s="1525">
        <v>1</v>
      </c>
      <c r="F361" s="1834">
        <v>0</v>
      </c>
      <c r="G361" s="1726">
        <f t="shared" si="37"/>
        <v>0</v>
      </c>
      <c r="H361" s="1703"/>
    </row>
    <row r="362" spans="2:8" s="217" customFormat="1">
      <c r="B362" s="1833"/>
      <c r="C362" s="1724" t="s">
        <v>135</v>
      </c>
      <c r="D362" s="209" t="s">
        <v>66</v>
      </c>
      <c r="E362" s="1525">
        <v>1</v>
      </c>
      <c r="F362" s="1834">
        <v>0</v>
      </c>
      <c r="G362" s="1726">
        <f t="shared" si="37"/>
        <v>0</v>
      </c>
      <c r="H362" s="1703"/>
    </row>
    <row r="363" spans="2:8" s="217" customFormat="1">
      <c r="B363" s="1833"/>
      <c r="C363" s="1724" t="s">
        <v>166</v>
      </c>
      <c r="D363" s="209" t="s">
        <v>66</v>
      </c>
      <c r="E363" s="1525">
        <v>1</v>
      </c>
      <c r="F363" s="1834">
        <v>0</v>
      </c>
      <c r="G363" s="1726">
        <f t="shared" si="37"/>
        <v>0</v>
      </c>
      <c r="H363" s="1703"/>
    </row>
    <row r="364" spans="2:8" s="217" customFormat="1">
      <c r="B364" s="1833"/>
      <c r="C364" s="1724" t="s">
        <v>167</v>
      </c>
      <c r="D364" s="209" t="s">
        <v>66</v>
      </c>
      <c r="E364" s="1525">
        <v>1</v>
      </c>
      <c r="F364" s="1834">
        <v>0</v>
      </c>
      <c r="G364" s="1726">
        <f t="shared" si="37"/>
        <v>0</v>
      </c>
      <c r="H364" s="1703"/>
    </row>
    <row r="365" spans="2:8" s="217" customFormat="1">
      <c r="B365" s="1833"/>
      <c r="C365" s="1724" t="s">
        <v>229</v>
      </c>
      <c r="D365" s="209" t="s">
        <v>66</v>
      </c>
      <c r="E365" s="1525">
        <v>1</v>
      </c>
      <c r="F365" s="1834">
        <v>0</v>
      </c>
      <c r="G365" s="1726">
        <f t="shared" si="37"/>
        <v>0</v>
      </c>
      <c r="H365" s="1703"/>
    </row>
    <row r="366" spans="2:8" s="217" customFormat="1">
      <c r="B366" s="1833"/>
      <c r="C366" s="1724" t="s">
        <v>230</v>
      </c>
      <c r="D366" s="209" t="s">
        <v>66</v>
      </c>
      <c r="E366" s="1525">
        <v>1</v>
      </c>
      <c r="F366" s="1834">
        <v>0</v>
      </c>
      <c r="G366" s="1726">
        <f t="shared" si="37"/>
        <v>0</v>
      </c>
      <c r="H366" s="1703"/>
    </row>
    <row r="367" spans="2:8" s="217" customFormat="1">
      <c r="B367" s="1833"/>
      <c r="C367" s="1724" t="s">
        <v>2138</v>
      </c>
      <c r="D367" s="209" t="s">
        <v>66</v>
      </c>
      <c r="E367" s="1525">
        <v>1</v>
      </c>
      <c r="F367" s="1834">
        <v>0</v>
      </c>
      <c r="G367" s="1726">
        <f t="shared" ref="G367:G368" si="38">E367*F367</f>
        <v>0</v>
      </c>
      <c r="H367" s="1703"/>
    </row>
    <row r="368" spans="2:8" s="217" customFormat="1">
      <c r="B368" s="1833"/>
      <c r="C368" s="1724" t="s">
        <v>2139</v>
      </c>
      <c r="D368" s="209" t="s">
        <v>66</v>
      </c>
      <c r="E368" s="1525">
        <v>1</v>
      </c>
      <c r="F368" s="1834">
        <v>0</v>
      </c>
      <c r="G368" s="1726">
        <f t="shared" si="38"/>
        <v>0</v>
      </c>
      <c r="H368" s="1703"/>
    </row>
    <row r="369" spans="2:9">
      <c r="B369" s="523"/>
      <c r="C369" s="1753"/>
      <c r="D369" s="1991"/>
      <c r="E369" s="1939"/>
      <c r="F369" s="1940"/>
      <c r="G369" s="1941"/>
      <c r="H369" s="524"/>
    </row>
    <row r="370" spans="2:9" ht="14.25" customHeight="1">
      <c r="B370" s="1824" t="s">
        <v>526</v>
      </c>
      <c r="C370" s="1825" t="s">
        <v>2162</v>
      </c>
      <c r="D370" s="1838"/>
      <c r="E370" s="1945"/>
      <c r="F370" s="1942"/>
      <c r="G370" s="1943"/>
      <c r="H370" s="524"/>
    </row>
    <row r="371" spans="2:9" ht="15" customHeight="1">
      <c r="B371" s="1824"/>
      <c r="C371" s="1826" t="s">
        <v>2132</v>
      </c>
      <c r="D371" s="1836" t="s">
        <v>66</v>
      </c>
      <c r="E371" s="1847">
        <v>1</v>
      </c>
      <c r="F371" s="1834">
        <v>0</v>
      </c>
      <c r="G371" s="1726">
        <f>E371*F371</f>
        <v>0</v>
      </c>
      <c r="H371" s="524"/>
    </row>
    <row r="372" spans="2:9" ht="15" customHeight="1">
      <c r="B372" s="1824"/>
      <c r="C372" s="1826" t="s">
        <v>499</v>
      </c>
      <c r="D372" s="1836" t="s">
        <v>66</v>
      </c>
      <c r="E372" s="1847">
        <v>2</v>
      </c>
      <c r="F372" s="1834">
        <v>0</v>
      </c>
      <c r="G372" s="1726">
        <f t="shared" ref="G372:G374" si="39">E372*F372</f>
        <v>0</v>
      </c>
      <c r="H372" s="524"/>
    </row>
    <row r="373" spans="2:9" ht="15" customHeight="1">
      <c r="B373" s="1824"/>
      <c r="C373" s="1827" t="s">
        <v>2235</v>
      </c>
      <c r="D373" s="1836" t="s">
        <v>66</v>
      </c>
      <c r="E373" s="1847">
        <v>1</v>
      </c>
      <c r="F373" s="1834">
        <v>0</v>
      </c>
      <c r="G373" s="1726">
        <f t="shared" si="39"/>
        <v>0</v>
      </c>
      <c r="H373" s="524"/>
    </row>
    <row r="374" spans="2:9" ht="15" customHeight="1">
      <c r="B374" s="1824"/>
      <c r="C374" s="208" t="s">
        <v>2131</v>
      </c>
      <c r="D374" s="1836" t="s">
        <v>66</v>
      </c>
      <c r="E374" s="1847">
        <v>1</v>
      </c>
      <c r="F374" s="1834">
        <v>0</v>
      </c>
      <c r="G374" s="1726">
        <f t="shared" si="39"/>
        <v>0</v>
      </c>
      <c r="H374" s="524"/>
      <c r="I374" s="378"/>
    </row>
    <row r="375" spans="2:9">
      <c r="B375" s="523"/>
      <c r="C375" s="1753"/>
      <c r="D375" s="1991"/>
      <c r="E375" s="1939"/>
      <c r="F375" s="1937"/>
      <c r="G375" s="1937"/>
      <c r="H375" s="524"/>
      <c r="I375" s="378"/>
    </row>
    <row r="376" spans="2:9" ht="15.75" customHeight="1">
      <c r="B376" s="1824" t="s">
        <v>527</v>
      </c>
      <c r="C376" s="1825" t="s">
        <v>2163</v>
      </c>
      <c r="D376" s="1838"/>
      <c r="E376" s="1945"/>
      <c r="F376" s="1942"/>
      <c r="G376" s="1942"/>
      <c r="H376" s="524"/>
      <c r="I376" s="378"/>
    </row>
    <row r="377" spans="2:9" ht="15.75" customHeight="1">
      <c r="B377" s="1824"/>
      <c r="C377" s="1826" t="s">
        <v>2133</v>
      </c>
      <c r="D377" s="1836" t="s">
        <v>66</v>
      </c>
      <c r="E377" s="1847">
        <v>1</v>
      </c>
      <c r="F377" s="1834">
        <v>0</v>
      </c>
      <c r="G377" s="1726">
        <f t="shared" ref="G377:G386" si="40">E377*F377</f>
        <v>0</v>
      </c>
      <c r="H377" s="524"/>
      <c r="I377" s="378"/>
    </row>
    <row r="378" spans="2:9" ht="15.75" customHeight="1">
      <c r="B378" s="1824"/>
      <c r="C378" s="1827" t="s">
        <v>2236</v>
      </c>
      <c r="D378" s="1836" t="s">
        <v>66</v>
      </c>
      <c r="E378" s="1847">
        <v>1</v>
      </c>
      <c r="F378" s="1834">
        <v>0</v>
      </c>
      <c r="G378" s="1726">
        <f t="shared" si="40"/>
        <v>0</v>
      </c>
      <c r="H378" s="524"/>
      <c r="I378" s="378"/>
    </row>
    <row r="379" spans="2:9" ht="15.75" customHeight="1">
      <c r="B379" s="1824"/>
      <c r="C379" s="1826" t="s">
        <v>499</v>
      </c>
      <c r="D379" s="1836" t="s">
        <v>66</v>
      </c>
      <c r="E379" s="1847">
        <v>2</v>
      </c>
      <c r="F379" s="1834">
        <v>0</v>
      </c>
      <c r="G379" s="1726">
        <f t="shared" si="40"/>
        <v>0</v>
      </c>
      <c r="H379" s="524"/>
      <c r="I379" s="378"/>
    </row>
    <row r="380" spans="2:9" ht="15.75" customHeight="1">
      <c r="B380" s="1824"/>
      <c r="C380" s="1826" t="s">
        <v>2134</v>
      </c>
      <c r="D380" s="1836" t="s">
        <v>66</v>
      </c>
      <c r="E380" s="1847">
        <v>1</v>
      </c>
      <c r="F380" s="1834">
        <v>0</v>
      </c>
      <c r="G380" s="1726">
        <f t="shared" si="40"/>
        <v>0</v>
      </c>
      <c r="H380" s="524"/>
      <c r="I380" s="378"/>
    </row>
    <row r="381" spans="2:9" ht="15.75" customHeight="1">
      <c r="B381" s="1824"/>
      <c r="C381" s="1826" t="s">
        <v>371</v>
      </c>
      <c r="D381" s="1836" t="s">
        <v>66</v>
      </c>
      <c r="E381" s="1847">
        <v>1</v>
      </c>
      <c r="F381" s="1834">
        <v>0</v>
      </c>
      <c r="G381" s="1726">
        <f t="shared" si="40"/>
        <v>0</v>
      </c>
      <c r="H381" s="524"/>
      <c r="I381" s="378"/>
    </row>
    <row r="382" spans="2:9" ht="15.75" customHeight="1">
      <c r="B382" s="1824"/>
      <c r="C382" s="1826" t="s">
        <v>2237</v>
      </c>
      <c r="D382" s="1836" t="s">
        <v>66</v>
      </c>
      <c r="E382" s="1847">
        <v>1</v>
      </c>
      <c r="F382" s="1834">
        <v>0</v>
      </c>
      <c r="G382" s="1726">
        <f t="shared" si="40"/>
        <v>0</v>
      </c>
      <c r="H382" s="524"/>
      <c r="I382" s="378"/>
    </row>
    <row r="383" spans="2:9" ht="15.75" customHeight="1">
      <c r="B383" s="1824"/>
      <c r="C383" s="1826" t="s">
        <v>2238</v>
      </c>
      <c r="D383" s="1836" t="s">
        <v>66</v>
      </c>
      <c r="E383" s="1847">
        <v>1</v>
      </c>
      <c r="F383" s="1834">
        <v>0</v>
      </c>
      <c r="G383" s="1726">
        <f t="shared" si="40"/>
        <v>0</v>
      </c>
      <c r="H383" s="524"/>
      <c r="I383" s="378"/>
    </row>
    <row r="384" spans="2:9" ht="15.75" customHeight="1">
      <c r="B384" s="1824"/>
      <c r="C384" s="1828" t="s">
        <v>2135</v>
      </c>
      <c r="D384" s="1836" t="s">
        <v>66</v>
      </c>
      <c r="E384" s="1847">
        <v>1</v>
      </c>
      <c r="F384" s="1834">
        <v>0</v>
      </c>
      <c r="G384" s="1726">
        <f t="shared" si="40"/>
        <v>0</v>
      </c>
      <c r="H384" s="524"/>
      <c r="I384" s="378"/>
    </row>
    <row r="385" spans="2:9" ht="15.75" customHeight="1">
      <c r="B385" s="1824"/>
      <c r="C385" s="1828" t="s">
        <v>2136</v>
      </c>
      <c r="D385" s="1836" t="s">
        <v>66</v>
      </c>
      <c r="E385" s="1847">
        <v>2</v>
      </c>
      <c r="F385" s="1834">
        <v>0</v>
      </c>
      <c r="G385" s="1726">
        <f t="shared" si="40"/>
        <v>0</v>
      </c>
      <c r="H385" s="524"/>
      <c r="I385" s="378"/>
    </row>
    <row r="386" spans="2:9" ht="15.75" customHeight="1">
      <c r="B386" s="1824"/>
      <c r="C386" s="1829" t="s">
        <v>140</v>
      </c>
      <c r="D386" s="1836" t="s">
        <v>66</v>
      </c>
      <c r="E386" s="1847">
        <v>1</v>
      </c>
      <c r="F386" s="1834">
        <v>0</v>
      </c>
      <c r="G386" s="1726">
        <f t="shared" si="40"/>
        <v>0</v>
      </c>
      <c r="H386" s="524"/>
      <c r="I386" s="378"/>
    </row>
    <row r="387" spans="2:9" ht="15.75" customHeight="1">
      <c r="B387" s="1824"/>
      <c r="C387" s="1830" t="s">
        <v>149</v>
      </c>
      <c r="D387" s="1831" t="s">
        <v>66</v>
      </c>
      <c r="E387" s="1832">
        <v>1</v>
      </c>
      <c r="F387" s="1834">
        <v>0</v>
      </c>
      <c r="G387" s="1726">
        <f t="shared" ref="G387:G389" si="41">E387*F387</f>
        <v>0</v>
      </c>
      <c r="H387" s="524"/>
      <c r="I387" s="378"/>
    </row>
    <row r="388" spans="2:9" ht="15.75" customHeight="1">
      <c r="B388" s="1824"/>
      <c r="C388" s="1830" t="s">
        <v>150</v>
      </c>
      <c r="D388" s="1831" t="s">
        <v>66</v>
      </c>
      <c r="E388" s="1832">
        <v>3</v>
      </c>
      <c r="F388" s="1834">
        <v>0</v>
      </c>
      <c r="G388" s="1726">
        <f t="shared" si="41"/>
        <v>0</v>
      </c>
      <c r="H388" s="524"/>
      <c r="I388" s="378"/>
    </row>
    <row r="389" spans="2:9" ht="15.75" customHeight="1">
      <c r="B389" s="1824"/>
      <c r="C389" s="1830" t="s">
        <v>519</v>
      </c>
      <c r="D389" s="1831" t="s">
        <v>66</v>
      </c>
      <c r="E389" s="1832">
        <v>4</v>
      </c>
      <c r="F389" s="1834">
        <v>0</v>
      </c>
      <c r="G389" s="1726">
        <f t="shared" si="41"/>
        <v>0</v>
      </c>
      <c r="H389" s="524"/>
      <c r="I389" s="378"/>
    </row>
    <row r="390" spans="2:9">
      <c r="B390" s="523"/>
      <c r="C390" s="1753"/>
      <c r="D390" s="1991"/>
      <c r="E390" s="1939"/>
      <c r="F390" s="1940"/>
      <c r="G390" s="1941"/>
      <c r="H390" s="524"/>
    </row>
    <row r="391" spans="2:9">
      <c r="B391" s="1824" t="s">
        <v>528</v>
      </c>
      <c r="C391" s="1825" t="s">
        <v>529</v>
      </c>
      <c r="D391" s="1836"/>
      <c r="E391" s="1847"/>
      <c r="F391" s="1942"/>
      <c r="G391" s="1943"/>
      <c r="H391" s="524"/>
      <c r="I391" s="378"/>
    </row>
    <row r="392" spans="2:9" s="217" customFormat="1">
      <c r="B392" s="1833"/>
      <c r="C392" s="1845" t="s">
        <v>1608</v>
      </c>
      <c r="D392" s="209" t="s">
        <v>66</v>
      </c>
      <c r="E392" s="1525">
        <v>1</v>
      </c>
      <c r="F392" s="1834">
        <v>0</v>
      </c>
      <c r="G392" s="1726">
        <f t="shared" ref="G392:G397" si="42">E392*F392</f>
        <v>0</v>
      </c>
      <c r="H392" s="1703"/>
    </row>
    <row r="393" spans="2:9" s="217" customFormat="1">
      <c r="B393" s="1833"/>
      <c r="C393" s="1845" t="s">
        <v>139</v>
      </c>
      <c r="D393" s="209" t="s">
        <v>66</v>
      </c>
      <c r="E393" s="1525">
        <v>1</v>
      </c>
      <c r="F393" s="1834">
        <v>0</v>
      </c>
      <c r="G393" s="1726">
        <f t="shared" si="42"/>
        <v>0</v>
      </c>
      <c r="H393" s="1703"/>
    </row>
    <row r="394" spans="2:9" s="217" customFormat="1">
      <c r="B394" s="1833"/>
      <c r="C394" s="1724" t="s">
        <v>499</v>
      </c>
      <c r="D394" s="209" t="s">
        <v>66</v>
      </c>
      <c r="E394" s="1525">
        <v>2</v>
      </c>
      <c r="F394" s="1834">
        <v>0</v>
      </c>
      <c r="G394" s="1726">
        <f t="shared" si="42"/>
        <v>0</v>
      </c>
      <c r="H394" s="1703"/>
    </row>
    <row r="395" spans="2:9" s="217" customFormat="1">
      <c r="B395" s="1833"/>
      <c r="C395" s="208" t="s">
        <v>2131</v>
      </c>
      <c r="D395" s="209" t="s">
        <v>66</v>
      </c>
      <c r="E395" s="1525">
        <v>1</v>
      </c>
      <c r="F395" s="1834">
        <v>0</v>
      </c>
      <c r="G395" s="1726">
        <f t="shared" si="42"/>
        <v>0</v>
      </c>
      <c r="H395" s="1703"/>
    </row>
    <row r="396" spans="2:9" s="217" customFormat="1">
      <c r="B396" s="1833"/>
      <c r="C396" s="1724" t="s">
        <v>150</v>
      </c>
      <c r="D396" s="209" t="s">
        <v>66</v>
      </c>
      <c r="E396" s="1525">
        <v>1</v>
      </c>
      <c r="F396" s="1834">
        <v>0</v>
      </c>
      <c r="G396" s="1726">
        <f t="shared" si="42"/>
        <v>0</v>
      </c>
      <c r="H396" s="1703"/>
    </row>
    <row r="397" spans="2:9" s="217" customFormat="1">
      <c r="B397" s="1833"/>
      <c r="C397" s="1724" t="s">
        <v>135</v>
      </c>
      <c r="D397" s="209" t="s">
        <v>66</v>
      </c>
      <c r="E397" s="1525">
        <v>1</v>
      </c>
      <c r="F397" s="1834">
        <v>0</v>
      </c>
      <c r="G397" s="1726">
        <f t="shared" si="42"/>
        <v>0</v>
      </c>
      <c r="H397" s="1703"/>
    </row>
    <row r="398" spans="2:9">
      <c r="B398" s="523"/>
      <c r="C398" s="1753"/>
      <c r="D398" s="1991"/>
      <c r="E398" s="1939"/>
      <c r="F398" s="1940"/>
      <c r="G398" s="1941"/>
      <c r="H398" s="524"/>
      <c r="I398" s="378"/>
    </row>
    <row r="399" spans="2:9">
      <c r="B399" s="1824" t="s">
        <v>528</v>
      </c>
      <c r="C399" s="1825" t="s">
        <v>2165</v>
      </c>
      <c r="D399" s="1836"/>
      <c r="E399" s="1847"/>
      <c r="F399" s="1942"/>
      <c r="G399" s="1943"/>
      <c r="H399" s="524"/>
      <c r="I399" s="378"/>
    </row>
    <row r="400" spans="2:9" s="179" customFormat="1" ht="18" customHeight="1">
      <c r="B400" s="1835"/>
      <c r="C400" s="1724" t="s">
        <v>1600</v>
      </c>
      <c r="D400" s="209" t="s">
        <v>66</v>
      </c>
      <c r="E400" s="204">
        <v>2</v>
      </c>
      <c r="F400" s="1725">
        <v>0</v>
      </c>
      <c r="G400" s="1726">
        <f t="shared" ref="G400:G401" si="43">E400*F400</f>
        <v>0</v>
      </c>
      <c r="H400" s="1727"/>
    </row>
    <row r="401" spans="2:9" s="179" customFormat="1" ht="18" customHeight="1">
      <c r="B401" s="1835"/>
      <c r="C401" s="1724" t="s">
        <v>1601</v>
      </c>
      <c r="D401" s="209" t="s">
        <v>66</v>
      </c>
      <c r="E401" s="204">
        <v>4</v>
      </c>
      <c r="F401" s="1725">
        <v>0</v>
      </c>
      <c r="G401" s="1726">
        <f t="shared" si="43"/>
        <v>0</v>
      </c>
      <c r="H401" s="1727"/>
    </row>
    <row r="402" spans="2:9">
      <c r="B402" s="523"/>
      <c r="C402" s="1753"/>
      <c r="D402" s="1991"/>
      <c r="E402" s="1939"/>
      <c r="F402" s="1940"/>
      <c r="G402" s="1941"/>
      <c r="H402" s="524"/>
      <c r="I402" s="378"/>
    </row>
    <row r="403" spans="2:9">
      <c r="B403" s="1824" t="s">
        <v>530</v>
      </c>
      <c r="C403" s="1825" t="s">
        <v>2164</v>
      </c>
      <c r="D403" s="1836"/>
      <c r="E403" s="1847"/>
      <c r="F403" s="1942"/>
      <c r="G403" s="1943"/>
      <c r="H403" s="524"/>
      <c r="I403" s="378"/>
    </row>
    <row r="404" spans="2:9" s="179" customFormat="1" ht="18" customHeight="1">
      <c r="B404" s="1835"/>
      <c r="C404" s="1724" t="s">
        <v>1600</v>
      </c>
      <c r="D404" s="209" t="s">
        <v>66</v>
      </c>
      <c r="E404" s="204">
        <v>2</v>
      </c>
      <c r="F404" s="1725">
        <v>0</v>
      </c>
      <c r="G404" s="1726">
        <f t="shared" ref="G404:G406" si="44">E404*F404</f>
        <v>0</v>
      </c>
      <c r="H404" s="1727"/>
    </row>
    <row r="405" spans="2:9" s="179" customFormat="1" ht="18" customHeight="1">
      <c r="B405" s="1835"/>
      <c r="C405" s="1724" t="s">
        <v>2122</v>
      </c>
      <c r="D405" s="209" t="s">
        <v>66</v>
      </c>
      <c r="E405" s="204">
        <v>1</v>
      </c>
      <c r="F405" s="1725">
        <v>0</v>
      </c>
      <c r="G405" s="1726">
        <f t="shared" si="44"/>
        <v>0</v>
      </c>
      <c r="H405" s="1727"/>
    </row>
    <row r="406" spans="2:9" s="179" customFormat="1" ht="18" customHeight="1">
      <c r="B406" s="1835"/>
      <c r="C406" s="1724" t="s">
        <v>1601</v>
      </c>
      <c r="D406" s="209" t="s">
        <v>66</v>
      </c>
      <c r="E406" s="204">
        <v>2</v>
      </c>
      <c r="F406" s="1725">
        <v>0</v>
      </c>
      <c r="G406" s="1726">
        <f t="shared" si="44"/>
        <v>0</v>
      </c>
      <c r="H406" s="1727"/>
    </row>
    <row r="407" spans="2:9">
      <c r="B407" s="523"/>
      <c r="C407" s="1753"/>
      <c r="D407" s="1991"/>
      <c r="E407" s="1939"/>
      <c r="F407" s="1940"/>
      <c r="G407" s="1941"/>
      <c r="H407" s="524"/>
      <c r="I407" s="378"/>
    </row>
    <row r="408" spans="2:9">
      <c r="B408" s="1824" t="s">
        <v>531</v>
      </c>
      <c r="C408" s="1825" t="s">
        <v>2166</v>
      </c>
      <c r="D408" s="1836"/>
      <c r="E408" s="1847"/>
      <c r="F408" s="1942"/>
      <c r="G408" s="1943"/>
      <c r="H408" s="524"/>
      <c r="I408" s="378"/>
    </row>
    <row r="409" spans="2:9" s="179" customFormat="1" ht="18" customHeight="1">
      <c r="B409" s="1835"/>
      <c r="C409" s="1724" t="s">
        <v>1600</v>
      </c>
      <c r="D409" s="209" t="s">
        <v>66</v>
      </c>
      <c r="E409" s="204">
        <v>4</v>
      </c>
      <c r="F409" s="1725">
        <v>0</v>
      </c>
      <c r="G409" s="1726">
        <f t="shared" ref="G409:G410" si="45">E409*F409</f>
        <v>0</v>
      </c>
      <c r="H409" s="1727"/>
    </row>
    <row r="410" spans="2:9" s="179" customFormat="1" ht="18" customHeight="1">
      <c r="B410" s="1835"/>
      <c r="C410" s="1724" t="s">
        <v>1601</v>
      </c>
      <c r="D410" s="209" t="s">
        <v>66</v>
      </c>
      <c r="E410" s="204">
        <v>8</v>
      </c>
      <c r="F410" s="1725">
        <v>0</v>
      </c>
      <c r="G410" s="1726">
        <f t="shared" si="45"/>
        <v>0</v>
      </c>
      <c r="H410" s="1727"/>
    </row>
    <row r="411" spans="2:9">
      <c r="B411" s="523"/>
      <c r="C411" s="1753"/>
      <c r="D411" s="1991"/>
      <c r="E411" s="1939"/>
      <c r="F411" s="1940"/>
      <c r="G411" s="1941"/>
      <c r="H411" s="524"/>
      <c r="I411" s="378"/>
    </row>
    <row r="412" spans="2:9">
      <c r="B412" s="1824" t="s">
        <v>532</v>
      </c>
      <c r="C412" s="1825" t="s">
        <v>2167</v>
      </c>
      <c r="D412" s="1836"/>
      <c r="E412" s="1847"/>
      <c r="F412" s="1942"/>
      <c r="G412" s="1943"/>
      <c r="H412" s="524"/>
      <c r="I412" s="378"/>
    </row>
    <row r="413" spans="2:9" s="179" customFormat="1" ht="18" customHeight="1">
      <c r="B413" s="1835"/>
      <c r="C413" s="1724" t="s">
        <v>1600</v>
      </c>
      <c r="D413" s="209" t="s">
        <v>66</v>
      </c>
      <c r="E413" s="204">
        <v>4</v>
      </c>
      <c r="F413" s="1725">
        <v>0</v>
      </c>
      <c r="G413" s="1726">
        <f t="shared" ref="G413:G414" si="46">E413*F413</f>
        <v>0</v>
      </c>
      <c r="H413" s="1727"/>
    </row>
    <row r="414" spans="2:9" s="179" customFormat="1" ht="18" customHeight="1">
      <c r="B414" s="1835"/>
      <c r="C414" s="1724" t="s">
        <v>1601</v>
      </c>
      <c r="D414" s="209" t="s">
        <v>66</v>
      </c>
      <c r="E414" s="204">
        <v>8</v>
      </c>
      <c r="F414" s="1725">
        <v>0</v>
      </c>
      <c r="G414" s="1726">
        <f t="shared" si="46"/>
        <v>0</v>
      </c>
      <c r="H414" s="1727"/>
    </row>
    <row r="415" spans="2:9">
      <c r="B415" s="523"/>
      <c r="C415" s="1753"/>
      <c r="D415" s="1991"/>
      <c r="E415" s="1939"/>
      <c r="F415" s="1940"/>
      <c r="G415" s="1941"/>
      <c r="H415" s="524"/>
      <c r="I415" s="378"/>
    </row>
    <row r="416" spans="2:9">
      <c r="B416" s="1824" t="s">
        <v>533</v>
      </c>
      <c r="C416" s="1825" t="s">
        <v>2168</v>
      </c>
      <c r="D416" s="1836"/>
      <c r="E416" s="1847"/>
      <c r="F416" s="1942"/>
      <c r="G416" s="1943"/>
      <c r="H416" s="524"/>
      <c r="I416" s="378"/>
    </row>
    <row r="417" spans="2:9" s="179" customFormat="1" ht="18" customHeight="1">
      <c r="B417" s="1835"/>
      <c r="C417" s="1724" t="s">
        <v>1600</v>
      </c>
      <c r="D417" s="209" t="s">
        <v>66</v>
      </c>
      <c r="E417" s="204">
        <v>6</v>
      </c>
      <c r="F417" s="1725">
        <v>0</v>
      </c>
      <c r="G417" s="1726">
        <f t="shared" ref="G417:G418" si="47">E417*F417</f>
        <v>0</v>
      </c>
      <c r="H417" s="1727"/>
    </row>
    <row r="418" spans="2:9" s="179" customFormat="1" ht="18" customHeight="1">
      <c r="B418" s="1835"/>
      <c r="C418" s="1724" t="s">
        <v>1601</v>
      </c>
      <c r="D418" s="209" t="s">
        <v>66</v>
      </c>
      <c r="E418" s="204">
        <v>12</v>
      </c>
      <c r="F418" s="1725">
        <v>0</v>
      </c>
      <c r="G418" s="1726">
        <f t="shared" si="47"/>
        <v>0</v>
      </c>
      <c r="H418" s="1727"/>
    </row>
    <row r="419" spans="2:9">
      <c r="B419" s="523"/>
      <c r="C419" s="1753"/>
      <c r="D419" s="1991"/>
      <c r="E419" s="1939"/>
      <c r="F419" s="1940"/>
      <c r="G419" s="1941"/>
      <c r="H419" s="524"/>
      <c r="I419" s="378"/>
    </row>
    <row r="420" spans="2:9" ht="25.5">
      <c r="B420" s="1824" t="s">
        <v>534</v>
      </c>
      <c r="C420" s="1825" t="s">
        <v>2169</v>
      </c>
      <c r="D420" s="1836"/>
      <c r="E420" s="1847"/>
      <c r="F420" s="1942"/>
      <c r="G420" s="1943"/>
      <c r="H420" s="524"/>
      <c r="I420" s="378"/>
    </row>
    <row r="421" spans="2:9" s="179" customFormat="1" ht="18" customHeight="1">
      <c r="B421" s="1835"/>
      <c r="C421" s="1724" t="s">
        <v>1600</v>
      </c>
      <c r="D421" s="209" t="s">
        <v>66</v>
      </c>
      <c r="E421" s="204">
        <v>10</v>
      </c>
      <c r="F421" s="1725">
        <v>0</v>
      </c>
      <c r="G421" s="1726">
        <f t="shared" ref="G421:G422" si="48">E421*F421</f>
        <v>0</v>
      </c>
      <c r="H421" s="1727"/>
    </row>
    <row r="422" spans="2:9" s="179" customFormat="1" ht="18" customHeight="1">
      <c r="B422" s="1835"/>
      <c r="C422" s="1724" t="s">
        <v>1601</v>
      </c>
      <c r="D422" s="209" t="s">
        <v>66</v>
      </c>
      <c r="E422" s="204">
        <v>20</v>
      </c>
      <c r="F422" s="1725">
        <v>0</v>
      </c>
      <c r="G422" s="1726">
        <f t="shared" si="48"/>
        <v>0</v>
      </c>
      <c r="H422" s="1727"/>
    </row>
    <row r="423" spans="2:9">
      <c r="B423" s="523"/>
      <c r="C423" s="1753"/>
      <c r="D423" s="1991"/>
      <c r="E423" s="1939"/>
      <c r="F423" s="1940"/>
      <c r="G423" s="1941"/>
      <c r="H423" s="524"/>
      <c r="I423" s="378"/>
    </row>
    <row r="424" spans="2:9">
      <c r="B424" s="1824" t="s">
        <v>535</v>
      </c>
      <c r="C424" s="1825" t="s">
        <v>2170</v>
      </c>
      <c r="D424" s="1836"/>
      <c r="E424" s="1847"/>
      <c r="F424" s="1942"/>
      <c r="G424" s="1943"/>
      <c r="H424" s="524"/>
      <c r="I424" s="378"/>
    </row>
    <row r="425" spans="2:9" s="179" customFormat="1" ht="18" customHeight="1">
      <c r="B425" s="1835"/>
      <c r="C425" s="1724" t="s">
        <v>1600</v>
      </c>
      <c r="D425" s="209" t="s">
        <v>66</v>
      </c>
      <c r="E425" s="204">
        <v>2</v>
      </c>
      <c r="F425" s="1725">
        <v>0</v>
      </c>
      <c r="G425" s="1726">
        <f t="shared" ref="G425:G427" si="49">E425*F425</f>
        <v>0</v>
      </c>
      <c r="H425" s="1727"/>
    </row>
    <row r="426" spans="2:9" s="179" customFormat="1" ht="18" customHeight="1">
      <c r="B426" s="1835"/>
      <c r="C426" s="1724" t="s">
        <v>1601</v>
      </c>
      <c r="D426" s="209" t="s">
        <v>66</v>
      </c>
      <c r="E426" s="204">
        <v>4</v>
      </c>
      <c r="F426" s="1725">
        <v>0</v>
      </c>
      <c r="G426" s="1726">
        <f t="shared" si="49"/>
        <v>0</v>
      </c>
      <c r="H426" s="1727"/>
    </row>
    <row r="427" spans="2:9" s="179" customFormat="1" ht="18" customHeight="1">
      <c r="B427" s="1835"/>
      <c r="C427" s="1724" t="s">
        <v>2122</v>
      </c>
      <c r="D427" s="209" t="s">
        <v>66</v>
      </c>
      <c r="E427" s="204">
        <v>1</v>
      </c>
      <c r="F427" s="1725">
        <v>0</v>
      </c>
      <c r="G427" s="1726">
        <f t="shared" si="49"/>
        <v>0</v>
      </c>
      <c r="H427" s="1727"/>
    </row>
    <row r="428" spans="2:9" s="217" customFormat="1">
      <c r="B428" s="1833"/>
      <c r="C428" s="1845" t="s">
        <v>2137</v>
      </c>
      <c r="D428" s="209" t="s">
        <v>66</v>
      </c>
      <c r="E428" s="1525">
        <v>1</v>
      </c>
      <c r="F428" s="1834">
        <v>0</v>
      </c>
      <c r="G428" s="1726">
        <f t="shared" ref="G428:G433" si="50">E428*F428</f>
        <v>0</v>
      </c>
      <c r="H428" s="1703"/>
    </row>
    <row r="429" spans="2:9" s="217" customFormat="1">
      <c r="B429" s="1833"/>
      <c r="C429" s="1845" t="s">
        <v>155</v>
      </c>
      <c r="D429" s="209" t="s">
        <v>66</v>
      </c>
      <c r="E429" s="1525">
        <v>1</v>
      </c>
      <c r="F429" s="1834">
        <v>0</v>
      </c>
      <c r="G429" s="1726">
        <f t="shared" si="50"/>
        <v>0</v>
      </c>
      <c r="H429" s="1703"/>
    </row>
    <row r="430" spans="2:9" s="217" customFormat="1">
      <c r="B430" s="1833"/>
      <c r="C430" s="1724" t="s">
        <v>1601</v>
      </c>
      <c r="D430" s="209" t="s">
        <v>66</v>
      </c>
      <c r="E430" s="1525">
        <v>2</v>
      </c>
      <c r="F430" s="1834">
        <v>0</v>
      </c>
      <c r="G430" s="1726">
        <f t="shared" si="50"/>
        <v>0</v>
      </c>
      <c r="H430" s="1703"/>
    </row>
    <row r="431" spans="2:9" s="217" customFormat="1">
      <c r="B431" s="1833"/>
      <c r="C431" s="208" t="s">
        <v>2131</v>
      </c>
      <c r="D431" s="209" t="s">
        <v>66</v>
      </c>
      <c r="E431" s="1525">
        <v>1</v>
      </c>
      <c r="F431" s="1834">
        <v>0</v>
      </c>
      <c r="G431" s="1726">
        <f t="shared" si="50"/>
        <v>0</v>
      </c>
      <c r="H431" s="1703"/>
    </row>
    <row r="432" spans="2:9" s="217" customFormat="1">
      <c r="B432" s="1833"/>
      <c r="C432" s="1724" t="s">
        <v>150</v>
      </c>
      <c r="D432" s="209" t="s">
        <v>66</v>
      </c>
      <c r="E432" s="1525">
        <v>1</v>
      </c>
      <c r="F432" s="1834">
        <v>0</v>
      </c>
      <c r="G432" s="1726">
        <f t="shared" si="50"/>
        <v>0</v>
      </c>
      <c r="H432" s="1703"/>
    </row>
    <row r="433" spans="2:9" s="217" customFormat="1">
      <c r="B433" s="1833"/>
      <c r="C433" s="1724" t="s">
        <v>135</v>
      </c>
      <c r="D433" s="209" t="s">
        <v>66</v>
      </c>
      <c r="E433" s="1525">
        <v>1</v>
      </c>
      <c r="F433" s="1834">
        <v>0</v>
      </c>
      <c r="G433" s="1726">
        <f t="shared" si="50"/>
        <v>0</v>
      </c>
      <c r="H433" s="1703"/>
    </row>
    <row r="434" spans="2:9">
      <c r="B434" s="523"/>
      <c r="C434" s="1753"/>
      <c r="D434" s="1991"/>
      <c r="E434" s="1939"/>
      <c r="F434" s="1940"/>
      <c r="G434" s="1941"/>
      <c r="H434" s="524"/>
      <c r="I434" s="378"/>
    </row>
    <row r="435" spans="2:9">
      <c r="B435" s="1824" t="s">
        <v>536</v>
      </c>
      <c r="C435" s="1825" t="s">
        <v>2172</v>
      </c>
      <c r="D435" s="1836"/>
      <c r="E435" s="1847"/>
      <c r="F435" s="1942"/>
      <c r="G435" s="1943"/>
      <c r="H435" s="524"/>
      <c r="I435" s="378"/>
    </row>
    <row r="436" spans="2:9" s="179" customFormat="1" ht="18" customHeight="1">
      <c r="B436" s="1835"/>
      <c r="C436" s="1724" t="s">
        <v>1600</v>
      </c>
      <c r="D436" s="209" t="s">
        <v>66</v>
      </c>
      <c r="E436" s="204">
        <v>2</v>
      </c>
      <c r="F436" s="1725">
        <v>0</v>
      </c>
      <c r="G436" s="1726">
        <f t="shared" ref="G436:G451" si="51">E436*F436</f>
        <v>0</v>
      </c>
      <c r="H436" s="1727"/>
    </row>
    <row r="437" spans="2:9" s="179" customFormat="1" ht="18" customHeight="1">
      <c r="B437" s="1835"/>
      <c r="C437" s="1724" t="s">
        <v>1601</v>
      </c>
      <c r="D437" s="209" t="s">
        <v>66</v>
      </c>
      <c r="E437" s="204">
        <v>4</v>
      </c>
      <c r="F437" s="1725">
        <v>0</v>
      </c>
      <c r="G437" s="1726">
        <f t="shared" si="51"/>
        <v>0</v>
      </c>
      <c r="H437" s="1727"/>
    </row>
    <row r="438" spans="2:9" s="179" customFormat="1" ht="18" customHeight="1">
      <c r="B438" s="1835"/>
      <c r="C438" s="1724" t="s">
        <v>2122</v>
      </c>
      <c r="D438" s="209" t="s">
        <v>66</v>
      </c>
      <c r="E438" s="204">
        <v>2</v>
      </c>
      <c r="F438" s="1725">
        <v>0</v>
      </c>
      <c r="G438" s="1726">
        <f t="shared" si="51"/>
        <v>0</v>
      </c>
      <c r="H438" s="1727"/>
    </row>
    <row r="439" spans="2:9" s="179" customFormat="1" ht="18" customHeight="1">
      <c r="B439" s="1835"/>
      <c r="C439" s="1724" t="s">
        <v>2147</v>
      </c>
      <c r="D439" s="209" t="s">
        <v>66</v>
      </c>
      <c r="E439" s="204">
        <v>1</v>
      </c>
      <c r="F439" s="1725">
        <v>0</v>
      </c>
      <c r="G439" s="1726">
        <f t="shared" ref="G439" si="52">E439*F439</f>
        <v>0</v>
      </c>
      <c r="H439" s="1727"/>
    </row>
    <row r="440" spans="2:9" s="217" customFormat="1">
      <c r="B440" s="1833"/>
      <c r="C440" s="1845" t="s">
        <v>1608</v>
      </c>
      <c r="D440" s="209" t="s">
        <v>66</v>
      </c>
      <c r="E440" s="1525">
        <v>1</v>
      </c>
      <c r="F440" s="1834">
        <v>0</v>
      </c>
      <c r="G440" s="1726">
        <f t="shared" si="51"/>
        <v>0</v>
      </c>
      <c r="H440" s="1703"/>
    </row>
    <row r="441" spans="2:9" s="217" customFormat="1">
      <c r="B441" s="1833"/>
      <c r="C441" s="1845" t="s">
        <v>2171</v>
      </c>
      <c r="D441" s="209" t="s">
        <v>66</v>
      </c>
      <c r="E441" s="1525">
        <v>1</v>
      </c>
      <c r="F441" s="1834">
        <v>0</v>
      </c>
      <c r="G441" s="1726">
        <f t="shared" ref="G441" si="53">E441*F441</f>
        <v>0</v>
      </c>
      <c r="H441" s="1703"/>
    </row>
    <row r="442" spans="2:9" s="217" customFormat="1">
      <c r="B442" s="1833"/>
      <c r="C442" s="1845" t="s">
        <v>139</v>
      </c>
      <c r="D442" s="209" t="s">
        <v>66</v>
      </c>
      <c r="E442" s="1525">
        <v>2</v>
      </c>
      <c r="F442" s="1834">
        <v>0</v>
      </c>
      <c r="G442" s="1726">
        <f t="shared" si="51"/>
        <v>0</v>
      </c>
      <c r="H442" s="1703"/>
    </row>
    <row r="443" spans="2:9" s="179" customFormat="1" ht="18" customHeight="1">
      <c r="B443" s="1835"/>
      <c r="C443" s="1724" t="s">
        <v>2173</v>
      </c>
      <c r="D443" s="209" t="s">
        <v>66</v>
      </c>
      <c r="E443" s="204">
        <v>1</v>
      </c>
      <c r="F443" s="1725">
        <v>0</v>
      </c>
      <c r="G443" s="1726">
        <f t="shared" si="51"/>
        <v>0</v>
      </c>
      <c r="H443" s="1727"/>
    </row>
    <row r="444" spans="2:9" s="217" customFormat="1">
      <c r="B444" s="1833"/>
      <c r="C444" s="1724" t="s">
        <v>132</v>
      </c>
      <c r="D444" s="209" t="s">
        <v>66</v>
      </c>
      <c r="E444" s="1525">
        <v>1</v>
      </c>
      <c r="F444" s="1834">
        <v>0</v>
      </c>
      <c r="G444" s="1726">
        <f t="shared" ref="G444:G445" si="54">E444*F444</f>
        <v>0</v>
      </c>
      <c r="H444" s="1703"/>
    </row>
    <row r="445" spans="2:9" s="217" customFormat="1">
      <c r="B445" s="1833"/>
      <c r="C445" s="1724" t="s">
        <v>2174</v>
      </c>
      <c r="D445" s="209" t="s">
        <v>66</v>
      </c>
      <c r="E445" s="1525">
        <v>1</v>
      </c>
      <c r="F445" s="1834">
        <v>0</v>
      </c>
      <c r="G445" s="1726">
        <f t="shared" si="54"/>
        <v>0</v>
      </c>
      <c r="H445" s="1703"/>
    </row>
    <row r="446" spans="2:9" s="217" customFormat="1">
      <c r="B446" s="1833"/>
      <c r="C446" s="1724" t="s">
        <v>166</v>
      </c>
      <c r="D446" s="209" t="s">
        <v>66</v>
      </c>
      <c r="E446" s="1525">
        <v>1</v>
      </c>
      <c r="F446" s="1834">
        <v>0</v>
      </c>
      <c r="G446" s="1726">
        <f t="shared" si="51"/>
        <v>0</v>
      </c>
      <c r="H446" s="1703"/>
    </row>
    <row r="447" spans="2:9" s="217" customFormat="1">
      <c r="B447" s="1833"/>
      <c r="C447" s="1724" t="s">
        <v>167</v>
      </c>
      <c r="D447" s="209" t="s">
        <v>66</v>
      </c>
      <c r="E447" s="1525">
        <v>1</v>
      </c>
      <c r="F447" s="1834">
        <v>0</v>
      </c>
      <c r="G447" s="1726">
        <f t="shared" si="51"/>
        <v>0</v>
      </c>
      <c r="H447" s="1703"/>
    </row>
    <row r="448" spans="2:9" s="217" customFormat="1">
      <c r="B448" s="1833"/>
      <c r="C448" s="1724" t="s">
        <v>229</v>
      </c>
      <c r="D448" s="209" t="s">
        <v>66</v>
      </c>
      <c r="E448" s="1525">
        <v>1</v>
      </c>
      <c r="F448" s="1834">
        <v>0</v>
      </c>
      <c r="G448" s="1726">
        <f t="shared" si="51"/>
        <v>0</v>
      </c>
      <c r="H448" s="1703"/>
    </row>
    <row r="449" spans="2:9" s="217" customFormat="1">
      <c r="B449" s="1833"/>
      <c r="C449" s="1724" t="s">
        <v>230</v>
      </c>
      <c r="D449" s="209" t="s">
        <v>66</v>
      </c>
      <c r="E449" s="1525">
        <v>1</v>
      </c>
      <c r="F449" s="1834">
        <v>0</v>
      </c>
      <c r="G449" s="1726">
        <f t="shared" si="51"/>
        <v>0</v>
      </c>
      <c r="H449" s="1703"/>
    </row>
    <row r="450" spans="2:9" s="217" customFormat="1">
      <c r="B450" s="1833"/>
      <c r="C450" s="1724" t="s">
        <v>150</v>
      </c>
      <c r="D450" s="209" t="s">
        <v>66</v>
      </c>
      <c r="E450" s="1525">
        <v>2</v>
      </c>
      <c r="F450" s="1834">
        <v>0</v>
      </c>
      <c r="G450" s="1726">
        <f t="shared" si="51"/>
        <v>0</v>
      </c>
      <c r="H450" s="1703"/>
    </row>
    <row r="451" spans="2:9" s="217" customFormat="1">
      <c r="B451" s="1833"/>
      <c r="C451" s="1724" t="s">
        <v>135</v>
      </c>
      <c r="D451" s="209" t="s">
        <v>66</v>
      </c>
      <c r="E451" s="1525">
        <v>2</v>
      </c>
      <c r="F451" s="1834">
        <v>0</v>
      </c>
      <c r="G451" s="1726">
        <f t="shared" si="51"/>
        <v>0</v>
      </c>
      <c r="H451" s="1703"/>
    </row>
    <row r="452" spans="2:9" s="179" customFormat="1">
      <c r="B452" s="1835"/>
      <c r="C452" s="1724" t="s">
        <v>313</v>
      </c>
      <c r="D452" s="209" t="s">
        <v>66</v>
      </c>
      <c r="E452" s="204">
        <v>1</v>
      </c>
      <c r="F452" s="1725">
        <v>0</v>
      </c>
      <c r="G452" s="1726">
        <f t="shared" ref="G452" si="55">E452*F452</f>
        <v>0</v>
      </c>
      <c r="H452" s="1727"/>
    </row>
    <row r="453" spans="2:9">
      <c r="B453" s="523"/>
      <c r="C453" s="1753"/>
      <c r="D453" s="1991"/>
      <c r="E453" s="1939"/>
      <c r="F453" s="1940"/>
      <c r="G453" s="1941"/>
      <c r="H453" s="524"/>
      <c r="I453" s="378"/>
    </row>
    <row r="454" spans="2:9">
      <c r="B454" s="1824" t="s">
        <v>537</v>
      </c>
      <c r="C454" s="1825" t="s">
        <v>2175</v>
      </c>
      <c r="D454" s="1836"/>
      <c r="E454" s="1847"/>
      <c r="F454" s="1942"/>
      <c r="G454" s="1943"/>
      <c r="H454" s="524"/>
      <c r="I454" s="378"/>
    </row>
    <row r="455" spans="2:9" s="179" customFormat="1" ht="18" customHeight="1">
      <c r="B455" s="1835"/>
      <c r="C455" s="1724" t="s">
        <v>1601</v>
      </c>
      <c r="D455" s="209" t="s">
        <v>66</v>
      </c>
      <c r="E455" s="204">
        <v>2</v>
      </c>
      <c r="F455" s="1725">
        <v>0</v>
      </c>
      <c r="G455" s="1726">
        <f t="shared" ref="G455:G469" si="56">E455*F455</f>
        <v>0</v>
      </c>
      <c r="H455" s="1727"/>
    </row>
    <row r="456" spans="2:9" s="179" customFormat="1" ht="18" customHeight="1">
      <c r="B456" s="1835"/>
      <c r="C456" s="1724" t="s">
        <v>2147</v>
      </c>
      <c r="D456" s="209" t="s">
        <v>66</v>
      </c>
      <c r="E456" s="204">
        <v>1</v>
      </c>
      <c r="F456" s="1725">
        <v>0</v>
      </c>
      <c r="G456" s="1726">
        <f t="shared" si="56"/>
        <v>0</v>
      </c>
      <c r="H456" s="1727"/>
    </row>
    <row r="457" spans="2:9" s="217" customFormat="1">
      <c r="B457" s="1833"/>
      <c r="C457" s="1845" t="s">
        <v>1608</v>
      </c>
      <c r="D457" s="209" t="s">
        <v>66</v>
      </c>
      <c r="E457" s="1525">
        <v>1</v>
      </c>
      <c r="F457" s="1834">
        <v>0</v>
      </c>
      <c r="G457" s="1726">
        <f t="shared" si="56"/>
        <v>0</v>
      </c>
      <c r="H457" s="1703"/>
    </row>
    <row r="458" spans="2:9" s="217" customFormat="1">
      <c r="B458" s="1833"/>
      <c r="C458" s="1845" t="s">
        <v>2171</v>
      </c>
      <c r="D458" s="209" t="s">
        <v>66</v>
      </c>
      <c r="E458" s="1525">
        <v>1</v>
      </c>
      <c r="F458" s="1834">
        <v>0</v>
      </c>
      <c r="G458" s="1726">
        <f t="shared" si="56"/>
        <v>0</v>
      </c>
      <c r="H458" s="1703"/>
    </row>
    <row r="459" spans="2:9" s="217" customFormat="1">
      <c r="B459" s="1833"/>
      <c r="C459" s="1845" t="s">
        <v>139</v>
      </c>
      <c r="D459" s="209" t="s">
        <v>66</v>
      </c>
      <c r="E459" s="1525">
        <v>2</v>
      </c>
      <c r="F459" s="1834">
        <v>0</v>
      </c>
      <c r="G459" s="1726">
        <f t="shared" si="56"/>
        <v>0</v>
      </c>
      <c r="H459" s="1703"/>
    </row>
    <row r="460" spans="2:9" s="179" customFormat="1" ht="18" customHeight="1">
      <c r="B460" s="1835"/>
      <c r="C460" s="1724" t="s">
        <v>2173</v>
      </c>
      <c r="D460" s="209" t="s">
        <v>66</v>
      </c>
      <c r="E460" s="204">
        <v>1</v>
      </c>
      <c r="F460" s="1725">
        <v>0</v>
      </c>
      <c r="G460" s="1726">
        <f t="shared" si="56"/>
        <v>0</v>
      </c>
      <c r="H460" s="1727"/>
    </row>
    <row r="461" spans="2:9" s="217" customFormat="1">
      <c r="B461" s="1833"/>
      <c r="C461" s="1724" t="s">
        <v>132</v>
      </c>
      <c r="D461" s="209" t="s">
        <v>66</v>
      </c>
      <c r="E461" s="1525">
        <v>1</v>
      </c>
      <c r="F461" s="1834">
        <v>0</v>
      </c>
      <c r="G461" s="1726">
        <f t="shared" si="56"/>
        <v>0</v>
      </c>
      <c r="H461" s="1703"/>
    </row>
    <row r="462" spans="2:9" s="217" customFormat="1">
      <c r="B462" s="1833"/>
      <c r="C462" s="1724" t="s">
        <v>2174</v>
      </c>
      <c r="D462" s="209" t="s">
        <v>66</v>
      </c>
      <c r="E462" s="1525">
        <v>1</v>
      </c>
      <c r="F462" s="1834">
        <v>0</v>
      </c>
      <c r="G462" s="1726">
        <f t="shared" si="56"/>
        <v>0</v>
      </c>
      <c r="H462" s="1703"/>
    </row>
    <row r="463" spans="2:9" s="217" customFormat="1">
      <c r="B463" s="1833"/>
      <c r="C463" s="1724" t="s">
        <v>166</v>
      </c>
      <c r="D463" s="209" t="s">
        <v>66</v>
      </c>
      <c r="E463" s="1525">
        <v>1</v>
      </c>
      <c r="F463" s="1834">
        <v>0</v>
      </c>
      <c r="G463" s="1726">
        <f t="shared" si="56"/>
        <v>0</v>
      </c>
      <c r="H463" s="1703"/>
    </row>
    <row r="464" spans="2:9" s="217" customFormat="1">
      <c r="B464" s="1833"/>
      <c r="C464" s="1724" t="s">
        <v>167</v>
      </c>
      <c r="D464" s="209" t="s">
        <v>66</v>
      </c>
      <c r="E464" s="1525">
        <v>1</v>
      </c>
      <c r="F464" s="1834">
        <v>0</v>
      </c>
      <c r="G464" s="1726">
        <f t="shared" si="56"/>
        <v>0</v>
      </c>
      <c r="H464" s="1703"/>
    </row>
    <row r="465" spans="2:9" s="217" customFormat="1">
      <c r="B465" s="1833"/>
      <c r="C465" s="1724" t="s">
        <v>229</v>
      </c>
      <c r="D465" s="209" t="s">
        <v>66</v>
      </c>
      <c r="E465" s="1525">
        <v>1</v>
      </c>
      <c r="F465" s="1834">
        <v>0</v>
      </c>
      <c r="G465" s="1726">
        <f t="shared" si="56"/>
        <v>0</v>
      </c>
      <c r="H465" s="1703"/>
    </row>
    <row r="466" spans="2:9" s="217" customFormat="1">
      <c r="B466" s="1833"/>
      <c r="C466" s="1724" t="s">
        <v>230</v>
      </c>
      <c r="D466" s="209" t="s">
        <v>66</v>
      </c>
      <c r="E466" s="1525">
        <v>1</v>
      </c>
      <c r="F466" s="1834">
        <v>0</v>
      </c>
      <c r="G466" s="1726">
        <f t="shared" si="56"/>
        <v>0</v>
      </c>
      <c r="H466" s="1703"/>
    </row>
    <row r="467" spans="2:9" s="217" customFormat="1">
      <c r="B467" s="1833"/>
      <c r="C467" s="1724" t="s">
        <v>150</v>
      </c>
      <c r="D467" s="209" t="s">
        <v>66</v>
      </c>
      <c r="E467" s="1525">
        <v>2</v>
      </c>
      <c r="F467" s="1834">
        <v>0</v>
      </c>
      <c r="G467" s="1726">
        <f t="shared" si="56"/>
        <v>0</v>
      </c>
      <c r="H467" s="1703"/>
    </row>
    <row r="468" spans="2:9" s="217" customFormat="1">
      <c r="B468" s="1833"/>
      <c r="C468" s="1724" t="s">
        <v>135</v>
      </c>
      <c r="D468" s="209" t="s">
        <v>66</v>
      </c>
      <c r="E468" s="1525">
        <v>2</v>
      </c>
      <c r="F468" s="1834">
        <v>0</v>
      </c>
      <c r="G468" s="1726">
        <f t="shared" si="56"/>
        <v>0</v>
      </c>
      <c r="H468" s="1703"/>
    </row>
    <row r="469" spans="2:9" s="179" customFormat="1">
      <c r="B469" s="1835"/>
      <c r="C469" s="1724" t="s">
        <v>313</v>
      </c>
      <c r="D469" s="209" t="s">
        <v>66</v>
      </c>
      <c r="E469" s="204">
        <v>1</v>
      </c>
      <c r="F469" s="1725">
        <v>0</v>
      </c>
      <c r="G469" s="1726">
        <f t="shared" si="56"/>
        <v>0</v>
      </c>
      <c r="H469" s="1727"/>
    </row>
    <row r="470" spans="2:9">
      <c r="B470" s="523"/>
      <c r="C470" s="1753"/>
      <c r="D470" s="1991"/>
      <c r="E470" s="1939"/>
      <c r="F470" s="1940"/>
      <c r="G470" s="1941"/>
      <c r="H470" s="524"/>
      <c r="I470" s="378"/>
    </row>
    <row r="471" spans="2:9">
      <c r="B471" s="1824" t="s">
        <v>538</v>
      </c>
      <c r="C471" s="1825" t="s">
        <v>539</v>
      </c>
      <c r="D471" s="1836"/>
      <c r="E471" s="1847"/>
      <c r="F471" s="1942"/>
      <c r="G471" s="1943"/>
      <c r="H471" s="524"/>
      <c r="I471" s="378"/>
    </row>
    <row r="472" spans="2:9" s="217" customFormat="1">
      <c r="B472" s="1833"/>
      <c r="C472" s="1845" t="s">
        <v>129</v>
      </c>
      <c r="D472" s="209" t="s">
        <v>66</v>
      </c>
      <c r="E472" s="1525">
        <v>4</v>
      </c>
      <c r="F472" s="1834">
        <v>0</v>
      </c>
      <c r="G472" s="1726">
        <f t="shared" ref="G472:G482" si="57">E472*F472</f>
        <v>0</v>
      </c>
      <c r="H472" s="1703"/>
    </row>
    <row r="473" spans="2:9" s="217" customFormat="1" ht="17.25" customHeight="1">
      <c r="B473" s="1833"/>
      <c r="C473" s="1845" t="s">
        <v>140</v>
      </c>
      <c r="D473" s="209" t="s">
        <v>66</v>
      </c>
      <c r="E473" s="1525">
        <v>4</v>
      </c>
      <c r="F473" s="1834">
        <v>0</v>
      </c>
      <c r="G473" s="1726">
        <f t="shared" si="57"/>
        <v>0</v>
      </c>
      <c r="H473" s="1703"/>
    </row>
    <row r="474" spans="2:9" s="217" customFormat="1">
      <c r="B474" s="1833"/>
      <c r="C474" s="1845" t="s">
        <v>155</v>
      </c>
      <c r="D474" s="209" t="s">
        <v>66</v>
      </c>
      <c r="E474" s="1525">
        <v>4</v>
      </c>
      <c r="F474" s="1834">
        <v>0</v>
      </c>
      <c r="G474" s="1726">
        <f t="shared" si="57"/>
        <v>0</v>
      </c>
      <c r="H474" s="1703"/>
    </row>
    <row r="475" spans="2:9" s="217" customFormat="1">
      <c r="B475" s="1833"/>
      <c r="C475" s="1845" t="s">
        <v>330</v>
      </c>
      <c r="D475" s="209" t="s">
        <v>66</v>
      </c>
      <c r="E475" s="1525">
        <v>4</v>
      </c>
      <c r="F475" s="1834">
        <v>0</v>
      </c>
      <c r="G475" s="1726">
        <f t="shared" si="57"/>
        <v>0</v>
      </c>
      <c r="H475" s="1703"/>
    </row>
    <row r="476" spans="2:9" s="217" customFormat="1">
      <c r="B476" s="1833"/>
      <c r="C476" s="1845" t="s">
        <v>157</v>
      </c>
      <c r="D476" s="209" t="s">
        <v>66</v>
      </c>
      <c r="E476" s="1525">
        <v>4</v>
      </c>
      <c r="F476" s="1834">
        <v>0</v>
      </c>
      <c r="G476" s="1726">
        <f t="shared" si="57"/>
        <v>0</v>
      </c>
      <c r="H476" s="1703"/>
    </row>
    <row r="477" spans="2:9" s="217" customFormat="1">
      <c r="B477" s="1833"/>
      <c r="C477" s="1724" t="s">
        <v>158</v>
      </c>
      <c r="D477" s="209" t="s">
        <v>66</v>
      </c>
      <c r="E477" s="1525">
        <v>4</v>
      </c>
      <c r="F477" s="1834">
        <v>0</v>
      </c>
      <c r="G477" s="1726">
        <f t="shared" si="57"/>
        <v>0</v>
      </c>
      <c r="H477" s="1703"/>
    </row>
    <row r="478" spans="2:9" s="217" customFormat="1">
      <c r="B478" s="1833"/>
      <c r="C478" s="1724" t="s">
        <v>190</v>
      </c>
      <c r="D478" s="209" t="s">
        <v>66</v>
      </c>
      <c r="E478" s="1525">
        <v>4</v>
      </c>
      <c r="F478" s="1834">
        <v>0</v>
      </c>
      <c r="G478" s="1726">
        <f t="shared" si="57"/>
        <v>0</v>
      </c>
      <c r="H478" s="1703"/>
    </row>
    <row r="479" spans="2:9" s="217" customFormat="1">
      <c r="B479" s="1833"/>
      <c r="C479" s="1724" t="s">
        <v>132</v>
      </c>
      <c r="D479" s="209" t="s">
        <v>66</v>
      </c>
      <c r="E479" s="1525">
        <v>8</v>
      </c>
      <c r="F479" s="1834">
        <v>0</v>
      </c>
      <c r="G479" s="1726">
        <f t="shared" si="57"/>
        <v>0</v>
      </c>
      <c r="H479" s="1703"/>
    </row>
    <row r="480" spans="2:9" s="217" customFormat="1">
      <c r="B480" s="1833"/>
      <c r="C480" s="1724" t="s">
        <v>148</v>
      </c>
      <c r="D480" s="209" t="s">
        <v>66</v>
      </c>
      <c r="E480" s="1525">
        <v>8</v>
      </c>
      <c r="F480" s="1834">
        <v>0</v>
      </c>
      <c r="G480" s="1726">
        <f t="shared" si="57"/>
        <v>0</v>
      </c>
      <c r="H480" s="1703"/>
    </row>
    <row r="481" spans="2:9" s="217" customFormat="1">
      <c r="B481" s="1833"/>
      <c r="C481" s="1724" t="s">
        <v>150</v>
      </c>
      <c r="D481" s="209" t="s">
        <v>66</v>
      </c>
      <c r="E481" s="1525">
        <v>4</v>
      </c>
      <c r="F481" s="1834">
        <v>0</v>
      </c>
      <c r="G481" s="1726">
        <f t="shared" si="57"/>
        <v>0</v>
      </c>
      <c r="H481" s="1703"/>
    </row>
    <row r="482" spans="2:9" s="217" customFormat="1">
      <c r="B482" s="1833"/>
      <c r="C482" s="1724" t="s">
        <v>135</v>
      </c>
      <c r="D482" s="209" t="s">
        <v>66</v>
      </c>
      <c r="E482" s="1525">
        <v>4</v>
      </c>
      <c r="F482" s="1834">
        <v>0</v>
      </c>
      <c r="G482" s="1726">
        <f t="shared" si="57"/>
        <v>0</v>
      </c>
      <c r="H482" s="1703"/>
    </row>
    <row r="483" spans="2:9">
      <c r="B483" s="523"/>
      <c r="C483" s="1753"/>
      <c r="D483" s="1991"/>
      <c r="E483" s="1939"/>
      <c r="F483" s="1940"/>
      <c r="G483" s="1941"/>
      <c r="H483" s="524"/>
      <c r="I483" s="378"/>
    </row>
    <row r="484" spans="2:9">
      <c r="B484" s="1824" t="s">
        <v>540</v>
      </c>
      <c r="C484" s="1825" t="s">
        <v>2176</v>
      </c>
      <c r="D484" s="1836"/>
      <c r="E484" s="1847"/>
      <c r="F484" s="1942"/>
      <c r="G484" s="1943"/>
      <c r="H484" s="524"/>
      <c r="I484" s="378"/>
    </row>
    <row r="485" spans="2:9" s="179" customFormat="1" ht="18" customHeight="1">
      <c r="B485" s="1835"/>
      <c r="C485" s="1724" t="s">
        <v>1601</v>
      </c>
      <c r="D485" s="209" t="s">
        <v>66</v>
      </c>
      <c r="E485" s="204">
        <v>2</v>
      </c>
      <c r="F485" s="1725">
        <v>0</v>
      </c>
      <c r="G485" s="1726">
        <f t="shared" ref="G485:G494" si="58">E485*F485</f>
        <v>0</v>
      </c>
      <c r="H485" s="1727"/>
    </row>
    <row r="486" spans="2:9" s="179" customFormat="1" ht="18" customHeight="1">
      <c r="B486" s="1835"/>
      <c r="C486" s="1724" t="s">
        <v>2147</v>
      </c>
      <c r="D486" s="209" t="s">
        <v>66</v>
      </c>
      <c r="E486" s="204">
        <v>1</v>
      </c>
      <c r="F486" s="1725">
        <v>0</v>
      </c>
      <c r="G486" s="1726">
        <f t="shared" si="58"/>
        <v>0</v>
      </c>
      <c r="H486" s="1727"/>
    </row>
    <row r="487" spans="2:9" s="217" customFormat="1">
      <c r="B487" s="1833"/>
      <c r="C487" s="1845" t="s">
        <v>1608</v>
      </c>
      <c r="D487" s="209" t="s">
        <v>66</v>
      </c>
      <c r="E487" s="1525">
        <v>1</v>
      </c>
      <c r="F487" s="1834">
        <v>0</v>
      </c>
      <c r="G487" s="1726">
        <f t="shared" si="58"/>
        <v>0</v>
      </c>
      <c r="H487" s="1703"/>
    </row>
    <row r="488" spans="2:9" s="217" customFormat="1">
      <c r="B488" s="1833"/>
      <c r="C488" s="1845" t="s">
        <v>2171</v>
      </c>
      <c r="D488" s="209" t="s">
        <v>66</v>
      </c>
      <c r="E488" s="1525">
        <v>1</v>
      </c>
      <c r="F488" s="1834">
        <v>0</v>
      </c>
      <c r="G488" s="1726">
        <f t="shared" si="58"/>
        <v>0</v>
      </c>
      <c r="H488" s="1703"/>
    </row>
    <row r="489" spans="2:9" s="217" customFormat="1">
      <c r="B489" s="1833"/>
      <c r="C489" s="1845" t="s">
        <v>139</v>
      </c>
      <c r="D489" s="209" t="s">
        <v>66</v>
      </c>
      <c r="E489" s="1525">
        <v>2</v>
      </c>
      <c r="F489" s="1834">
        <v>0</v>
      </c>
      <c r="G489" s="1726">
        <f t="shared" si="58"/>
        <v>0</v>
      </c>
      <c r="H489" s="1703"/>
    </row>
    <row r="490" spans="2:9" s="217" customFormat="1">
      <c r="B490" s="1833"/>
      <c r="C490" s="1724" t="s">
        <v>132</v>
      </c>
      <c r="D490" s="209" t="s">
        <v>66</v>
      </c>
      <c r="E490" s="1525">
        <v>1</v>
      </c>
      <c r="F490" s="1834">
        <v>0</v>
      </c>
      <c r="G490" s="1726">
        <f t="shared" si="58"/>
        <v>0</v>
      </c>
      <c r="H490" s="1703"/>
    </row>
    <row r="491" spans="2:9" s="217" customFormat="1">
      <c r="B491" s="1833"/>
      <c r="C491" s="1724" t="s">
        <v>2174</v>
      </c>
      <c r="D491" s="209" t="s">
        <v>66</v>
      </c>
      <c r="E491" s="1525">
        <v>1</v>
      </c>
      <c r="F491" s="1834">
        <v>0</v>
      </c>
      <c r="G491" s="1726">
        <f t="shared" si="58"/>
        <v>0</v>
      </c>
      <c r="H491" s="1703"/>
    </row>
    <row r="492" spans="2:9" s="217" customFormat="1">
      <c r="B492" s="1833"/>
      <c r="C492" s="1724" t="s">
        <v>150</v>
      </c>
      <c r="D492" s="209" t="s">
        <v>66</v>
      </c>
      <c r="E492" s="1525">
        <v>2</v>
      </c>
      <c r="F492" s="1834">
        <v>0</v>
      </c>
      <c r="G492" s="1726">
        <f t="shared" si="58"/>
        <v>0</v>
      </c>
      <c r="H492" s="1703"/>
    </row>
    <row r="493" spans="2:9" s="217" customFormat="1">
      <c r="B493" s="1833"/>
      <c r="C493" s="1724" t="s">
        <v>135</v>
      </c>
      <c r="D493" s="209" t="s">
        <v>66</v>
      </c>
      <c r="E493" s="1525">
        <v>2</v>
      </c>
      <c r="F493" s="1834">
        <v>0</v>
      </c>
      <c r="G493" s="1726">
        <f t="shared" si="58"/>
        <v>0</v>
      </c>
      <c r="H493" s="1703"/>
    </row>
    <row r="494" spans="2:9" s="179" customFormat="1">
      <c r="B494" s="1835"/>
      <c r="C494" s="1724" t="s">
        <v>125</v>
      </c>
      <c r="D494" s="209" t="s">
        <v>66</v>
      </c>
      <c r="E494" s="204">
        <v>1</v>
      </c>
      <c r="F494" s="1725">
        <v>0</v>
      </c>
      <c r="G494" s="1726">
        <f t="shared" si="58"/>
        <v>0</v>
      </c>
      <c r="H494" s="1727"/>
    </row>
    <row r="495" spans="2:9">
      <c r="B495" s="523"/>
      <c r="C495" s="1753"/>
      <c r="D495" s="1991"/>
      <c r="E495" s="1939"/>
      <c r="F495" s="1940"/>
      <c r="G495" s="1941"/>
      <c r="H495" s="524"/>
      <c r="I495" s="378"/>
    </row>
    <row r="496" spans="2:9">
      <c r="B496" s="1824" t="s">
        <v>541</v>
      </c>
      <c r="C496" s="1825" t="s">
        <v>2181</v>
      </c>
      <c r="D496" s="1836"/>
      <c r="E496" s="1847"/>
      <c r="F496" s="1942"/>
      <c r="G496" s="1943"/>
      <c r="H496" s="524"/>
      <c r="I496" s="378"/>
    </row>
    <row r="497" spans="2:9" s="217" customFormat="1" ht="19.5" customHeight="1">
      <c r="B497" s="1833"/>
      <c r="C497" s="1845" t="s">
        <v>165</v>
      </c>
      <c r="D497" s="209" t="s">
        <v>66</v>
      </c>
      <c r="E497" s="1525">
        <v>1</v>
      </c>
      <c r="F497" s="1834">
        <v>0</v>
      </c>
      <c r="G497" s="1726">
        <f t="shared" ref="G497:G509" si="59">E497*F497</f>
        <v>0</v>
      </c>
      <c r="H497" s="1703"/>
    </row>
    <row r="498" spans="2:9" s="217" customFormat="1">
      <c r="B498" s="1833"/>
      <c r="C498" s="1724" t="s">
        <v>132</v>
      </c>
      <c r="D498" s="209" t="s">
        <v>66</v>
      </c>
      <c r="E498" s="1525">
        <v>2</v>
      </c>
      <c r="F498" s="1834">
        <v>0</v>
      </c>
      <c r="G498" s="1726">
        <f t="shared" si="59"/>
        <v>0</v>
      </c>
      <c r="H498" s="1703"/>
    </row>
    <row r="499" spans="2:9" s="217" customFormat="1">
      <c r="B499" s="1833"/>
      <c r="C499" s="1724" t="s">
        <v>166</v>
      </c>
      <c r="D499" s="209" t="s">
        <v>66</v>
      </c>
      <c r="E499" s="1525">
        <v>1</v>
      </c>
      <c r="F499" s="1834">
        <v>0</v>
      </c>
      <c r="G499" s="1726">
        <f t="shared" si="59"/>
        <v>0</v>
      </c>
      <c r="H499" s="1703"/>
    </row>
    <row r="500" spans="2:9" s="217" customFormat="1">
      <c r="B500" s="1833"/>
      <c r="C500" s="1724" t="s">
        <v>148</v>
      </c>
      <c r="D500" s="209" t="s">
        <v>66</v>
      </c>
      <c r="E500" s="1525">
        <v>2</v>
      </c>
      <c r="F500" s="1834">
        <v>0</v>
      </c>
      <c r="G500" s="1726">
        <f t="shared" si="59"/>
        <v>0</v>
      </c>
      <c r="H500" s="1703"/>
    </row>
    <row r="501" spans="2:9" s="217" customFormat="1">
      <c r="B501" s="1833"/>
      <c r="C501" s="1724" t="s">
        <v>167</v>
      </c>
      <c r="D501" s="209" t="s">
        <v>66</v>
      </c>
      <c r="E501" s="1525">
        <v>1</v>
      </c>
      <c r="F501" s="1834">
        <v>0</v>
      </c>
      <c r="G501" s="1726">
        <f t="shared" si="59"/>
        <v>0</v>
      </c>
      <c r="H501" s="1703"/>
    </row>
    <row r="502" spans="2:9" s="217" customFormat="1">
      <c r="B502" s="1833"/>
      <c r="C502" s="1724" t="s">
        <v>229</v>
      </c>
      <c r="D502" s="209" t="s">
        <v>66</v>
      </c>
      <c r="E502" s="1525">
        <v>1</v>
      </c>
      <c r="F502" s="1834">
        <v>0</v>
      </c>
      <c r="G502" s="1726">
        <f t="shared" si="59"/>
        <v>0</v>
      </c>
      <c r="H502" s="1703"/>
    </row>
    <row r="503" spans="2:9" s="217" customFormat="1">
      <c r="B503" s="1833"/>
      <c r="C503" s="1724" t="s">
        <v>230</v>
      </c>
      <c r="D503" s="209" t="s">
        <v>66</v>
      </c>
      <c r="E503" s="1525">
        <v>1</v>
      </c>
      <c r="F503" s="1834">
        <v>0</v>
      </c>
      <c r="G503" s="1726">
        <f t="shared" si="59"/>
        <v>0</v>
      </c>
      <c r="H503" s="1703"/>
    </row>
    <row r="504" spans="2:9" s="217" customFormat="1">
      <c r="B504" s="1833"/>
      <c r="C504" s="1724" t="s">
        <v>150</v>
      </c>
      <c r="D504" s="209" t="s">
        <v>66</v>
      </c>
      <c r="E504" s="1525">
        <v>1</v>
      </c>
      <c r="F504" s="1834">
        <v>0</v>
      </c>
      <c r="G504" s="1726">
        <f t="shared" si="59"/>
        <v>0</v>
      </c>
      <c r="H504" s="1703"/>
    </row>
    <row r="505" spans="2:9" s="217" customFormat="1">
      <c r="B505" s="1833"/>
      <c r="C505" s="1724" t="s">
        <v>135</v>
      </c>
      <c r="D505" s="209" t="s">
        <v>66</v>
      </c>
      <c r="E505" s="1525">
        <v>1</v>
      </c>
      <c r="F505" s="1834">
        <v>0</v>
      </c>
      <c r="G505" s="1726">
        <f t="shared" si="59"/>
        <v>0</v>
      </c>
      <c r="H505" s="1703"/>
    </row>
    <row r="506" spans="2:9" s="217" customFormat="1" ht="36">
      <c r="B506" s="1833"/>
      <c r="C506" s="1845" t="s">
        <v>2074</v>
      </c>
      <c r="D506" s="209" t="s">
        <v>66</v>
      </c>
      <c r="E506" s="1525">
        <v>3</v>
      </c>
      <c r="F506" s="1834">
        <v>0</v>
      </c>
      <c r="G506" s="1726">
        <f t="shared" si="59"/>
        <v>0</v>
      </c>
      <c r="H506" s="1703"/>
    </row>
    <row r="507" spans="2:9" s="217" customFormat="1">
      <c r="B507" s="1833"/>
      <c r="C507" s="1724" t="s">
        <v>171</v>
      </c>
      <c r="D507" s="209" t="s">
        <v>66</v>
      </c>
      <c r="E507" s="1525">
        <v>3</v>
      </c>
      <c r="F507" s="1834">
        <v>0</v>
      </c>
      <c r="G507" s="1726">
        <f t="shared" si="59"/>
        <v>0</v>
      </c>
      <c r="H507" s="1703"/>
    </row>
    <row r="508" spans="2:9" s="217" customFormat="1">
      <c r="B508" s="1833"/>
      <c r="C508" s="1724" t="s">
        <v>135</v>
      </c>
      <c r="D508" s="209" t="s">
        <v>66</v>
      </c>
      <c r="E508" s="1525">
        <v>3</v>
      </c>
      <c r="F508" s="1834">
        <v>0</v>
      </c>
      <c r="G508" s="1726">
        <f t="shared" si="59"/>
        <v>0</v>
      </c>
      <c r="H508" s="1703"/>
    </row>
    <row r="509" spans="2:9" s="179" customFormat="1" ht="18" customHeight="1">
      <c r="B509" s="1835"/>
      <c r="C509" s="1724" t="s">
        <v>2179</v>
      </c>
      <c r="D509" s="209" t="s">
        <v>66</v>
      </c>
      <c r="E509" s="204">
        <v>1</v>
      </c>
      <c r="F509" s="1725">
        <v>0</v>
      </c>
      <c r="G509" s="1726">
        <f t="shared" si="59"/>
        <v>0</v>
      </c>
      <c r="H509" s="1727"/>
    </row>
    <row r="510" spans="2:9">
      <c r="B510" s="523"/>
      <c r="C510" s="1753"/>
      <c r="D510" s="1991"/>
      <c r="E510" s="1939"/>
      <c r="F510" s="1940"/>
      <c r="G510" s="1941"/>
      <c r="H510" s="524"/>
      <c r="I510" s="378"/>
    </row>
    <row r="511" spans="2:9">
      <c r="B511" s="1824" t="s">
        <v>542</v>
      </c>
      <c r="C511" s="1825" t="s">
        <v>2177</v>
      </c>
      <c r="D511" s="1836"/>
      <c r="E511" s="1847"/>
      <c r="F511" s="1942"/>
      <c r="G511" s="1943"/>
      <c r="H511" s="524"/>
      <c r="I511" s="378"/>
    </row>
    <row r="512" spans="2:9" s="179" customFormat="1">
      <c r="B512" s="1835"/>
      <c r="C512" s="1724" t="s">
        <v>125</v>
      </c>
      <c r="D512" s="209" t="s">
        <v>66</v>
      </c>
      <c r="E512" s="204">
        <v>3</v>
      </c>
      <c r="F512" s="1725">
        <v>0</v>
      </c>
      <c r="G512" s="1726">
        <f t="shared" ref="G512" si="60">E512*F512</f>
        <v>0</v>
      </c>
      <c r="H512" s="1727"/>
    </row>
    <row r="513" spans="2:9" s="179" customFormat="1">
      <c r="B513" s="1835"/>
      <c r="C513" s="1724" t="s">
        <v>2178</v>
      </c>
      <c r="D513" s="209" t="s">
        <v>66</v>
      </c>
      <c r="E513" s="204">
        <v>1</v>
      </c>
      <c r="F513" s="1725">
        <v>0</v>
      </c>
      <c r="G513" s="1726">
        <f t="shared" ref="G513:G516" si="61">E513*F513</f>
        <v>0</v>
      </c>
      <c r="H513" s="1727"/>
    </row>
    <row r="514" spans="2:9" s="217" customFormat="1" ht="36">
      <c r="B514" s="1833"/>
      <c r="C514" s="1845" t="s">
        <v>2074</v>
      </c>
      <c r="D514" s="209" t="s">
        <v>66</v>
      </c>
      <c r="E514" s="1525">
        <v>1</v>
      </c>
      <c r="F514" s="1834">
        <v>0</v>
      </c>
      <c r="G514" s="1726">
        <f t="shared" si="61"/>
        <v>0</v>
      </c>
      <c r="H514" s="1703"/>
    </row>
    <row r="515" spans="2:9" s="217" customFormat="1">
      <c r="B515" s="1833"/>
      <c r="C515" s="1724" t="s">
        <v>171</v>
      </c>
      <c r="D515" s="209" t="s">
        <v>66</v>
      </c>
      <c r="E515" s="1525">
        <v>1</v>
      </c>
      <c r="F515" s="1834">
        <v>0</v>
      </c>
      <c r="G515" s="1726">
        <f t="shared" si="61"/>
        <v>0</v>
      </c>
      <c r="H515" s="1703"/>
    </row>
    <row r="516" spans="2:9" s="217" customFormat="1">
      <c r="B516" s="1833"/>
      <c r="C516" s="1724" t="s">
        <v>135</v>
      </c>
      <c r="D516" s="209" t="s">
        <v>66</v>
      </c>
      <c r="E516" s="1525">
        <v>1</v>
      </c>
      <c r="F516" s="1834">
        <v>0</v>
      </c>
      <c r="G516" s="1726">
        <f t="shared" si="61"/>
        <v>0</v>
      </c>
      <c r="H516" s="1703"/>
    </row>
    <row r="517" spans="2:9">
      <c r="B517" s="523"/>
      <c r="C517" s="1753"/>
      <c r="D517" s="1991"/>
      <c r="E517" s="1939"/>
      <c r="F517" s="1940"/>
      <c r="G517" s="1941"/>
      <c r="H517" s="524"/>
      <c r="I517" s="378"/>
    </row>
    <row r="518" spans="2:9">
      <c r="B518" s="1824" t="s">
        <v>543</v>
      </c>
      <c r="C518" s="1825" t="s">
        <v>2180</v>
      </c>
      <c r="D518" s="1836"/>
      <c r="E518" s="1847"/>
      <c r="F518" s="1942"/>
      <c r="G518" s="1943"/>
      <c r="H518" s="524"/>
      <c r="I518" s="378"/>
    </row>
    <row r="519" spans="2:9" s="217" customFormat="1">
      <c r="B519" s="1833"/>
      <c r="C519" s="1845" t="s">
        <v>521</v>
      </c>
      <c r="D519" s="209" t="s">
        <v>66</v>
      </c>
      <c r="E519" s="1525">
        <v>2</v>
      </c>
      <c r="F519" s="1834">
        <v>0</v>
      </c>
      <c r="G519" s="1726">
        <f t="shared" ref="G519" si="62">E519*F519</f>
        <v>0</v>
      </c>
      <c r="H519" s="1703"/>
    </row>
    <row r="520" spans="2:9" s="217" customFormat="1">
      <c r="B520" s="1833"/>
      <c r="C520" s="1845" t="s">
        <v>1608</v>
      </c>
      <c r="D520" s="209" t="s">
        <v>66</v>
      </c>
      <c r="E520" s="1525">
        <v>1</v>
      </c>
      <c r="F520" s="1834">
        <v>0</v>
      </c>
      <c r="G520" s="1726">
        <f t="shared" ref="G520:G527" si="63">E520*F520</f>
        <v>0</v>
      </c>
      <c r="H520" s="1703"/>
    </row>
    <row r="521" spans="2:9" s="217" customFormat="1">
      <c r="B521" s="1833"/>
      <c r="C521" s="1845" t="s">
        <v>139</v>
      </c>
      <c r="D521" s="209" t="s">
        <v>66</v>
      </c>
      <c r="E521" s="1525">
        <v>1</v>
      </c>
      <c r="F521" s="1834">
        <v>0</v>
      </c>
      <c r="G521" s="1726">
        <f t="shared" si="63"/>
        <v>0</v>
      </c>
      <c r="H521" s="1703"/>
    </row>
    <row r="522" spans="2:9" s="217" customFormat="1">
      <c r="B522" s="1833"/>
      <c r="C522" s="1724" t="s">
        <v>499</v>
      </c>
      <c r="D522" s="209" t="s">
        <v>66</v>
      </c>
      <c r="E522" s="1525">
        <v>2</v>
      </c>
      <c r="F522" s="1834">
        <v>0</v>
      </c>
      <c r="G522" s="1726">
        <f t="shared" si="63"/>
        <v>0</v>
      </c>
      <c r="H522" s="1703"/>
    </row>
    <row r="523" spans="2:9" s="217" customFormat="1">
      <c r="B523" s="1833"/>
      <c r="C523" s="1724" t="s">
        <v>132</v>
      </c>
      <c r="D523" s="209" t="s">
        <v>66</v>
      </c>
      <c r="E523" s="1525">
        <v>1</v>
      </c>
      <c r="F523" s="1834">
        <v>0</v>
      </c>
      <c r="G523" s="1726">
        <f t="shared" si="63"/>
        <v>0</v>
      </c>
      <c r="H523" s="1703"/>
    </row>
    <row r="524" spans="2:9" s="217" customFormat="1">
      <c r="B524" s="1833"/>
      <c r="C524" s="1724" t="s">
        <v>2174</v>
      </c>
      <c r="D524" s="209" t="s">
        <v>66</v>
      </c>
      <c r="E524" s="1525">
        <v>1</v>
      </c>
      <c r="F524" s="1834">
        <v>0</v>
      </c>
      <c r="G524" s="1726">
        <f t="shared" si="63"/>
        <v>0</v>
      </c>
      <c r="H524" s="1703"/>
    </row>
    <row r="525" spans="2:9" s="217" customFormat="1">
      <c r="B525" s="1833"/>
      <c r="C525" s="1724" t="s">
        <v>150</v>
      </c>
      <c r="D525" s="209" t="s">
        <v>66</v>
      </c>
      <c r="E525" s="1525">
        <v>3</v>
      </c>
      <c r="F525" s="1834">
        <v>0</v>
      </c>
      <c r="G525" s="1726">
        <f t="shared" si="63"/>
        <v>0</v>
      </c>
      <c r="H525" s="1703"/>
    </row>
    <row r="526" spans="2:9" s="217" customFormat="1">
      <c r="B526" s="1833"/>
      <c r="C526" s="1724" t="s">
        <v>135</v>
      </c>
      <c r="D526" s="209" t="s">
        <v>66</v>
      </c>
      <c r="E526" s="1525">
        <v>3</v>
      </c>
      <c r="F526" s="1834">
        <v>0</v>
      </c>
      <c r="G526" s="1726">
        <f t="shared" si="63"/>
        <v>0</v>
      </c>
      <c r="H526" s="1703"/>
    </row>
    <row r="527" spans="2:9" s="179" customFormat="1">
      <c r="B527" s="1835"/>
      <c r="C527" s="1724" t="s">
        <v>125</v>
      </c>
      <c r="D527" s="209" t="s">
        <v>66</v>
      </c>
      <c r="E527" s="204">
        <v>1</v>
      </c>
      <c r="F527" s="1725">
        <v>0</v>
      </c>
      <c r="G527" s="1726">
        <f t="shared" si="63"/>
        <v>0</v>
      </c>
      <c r="H527" s="1727"/>
    </row>
    <row r="528" spans="2:9">
      <c r="B528" s="523"/>
      <c r="C528" s="1753"/>
      <c r="D528" s="1991"/>
      <c r="E528" s="1939"/>
      <c r="F528" s="1940"/>
      <c r="G528" s="1941"/>
      <c r="H528" s="524"/>
      <c r="I528" s="378"/>
    </row>
    <row r="529" spans="2:9">
      <c r="B529" s="1824" t="s">
        <v>544</v>
      </c>
      <c r="C529" s="1825" t="s">
        <v>2182</v>
      </c>
      <c r="D529" s="1836"/>
      <c r="E529" s="1847"/>
      <c r="F529" s="1942"/>
      <c r="G529" s="1943"/>
      <c r="H529" s="524"/>
      <c r="I529" s="378"/>
    </row>
    <row r="530" spans="2:9" s="217" customFormat="1">
      <c r="B530" s="1833"/>
      <c r="C530" s="1845" t="s">
        <v>129</v>
      </c>
      <c r="D530" s="209" t="s">
        <v>66</v>
      </c>
      <c r="E530" s="1525">
        <v>1</v>
      </c>
      <c r="F530" s="1834">
        <v>0</v>
      </c>
      <c r="G530" s="1726">
        <f t="shared" ref="G530:G537" si="64">E530*F530</f>
        <v>0</v>
      </c>
      <c r="H530" s="1703"/>
    </row>
    <row r="531" spans="2:9" s="217" customFormat="1">
      <c r="B531" s="1833"/>
      <c r="C531" s="1845" t="s">
        <v>155</v>
      </c>
      <c r="D531" s="209" t="s">
        <v>66</v>
      </c>
      <c r="E531" s="1525">
        <v>1</v>
      </c>
      <c r="F531" s="1834">
        <v>0</v>
      </c>
      <c r="G531" s="1726">
        <f t="shared" si="64"/>
        <v>0</v>
      </c>
      <c r="H531" s="1703"/>
    </row>
    <row r="532" spans="2:9" s="217" customFormat="1">
      <c r="B532" s="1833"/>
      <c r="C532" s="208" t="s">
        <v>2131</v>
      </c>
      <c r="D532" s="209" t="s">
        <v>66</v>
      </c>
      <c r="E532" s="1525">
        <v>1</v>
      </c>
      <c r="F532" s="1834">
        <v>0</v>
      </c>
      <c r="G532" s="1726">
        <f t="shared" si="64"/>
        <v>0</v>
      </c>
      <c r="H532" s="1703"/>
    </row>
    <row r="533" spans="2:9" s="217" customFormat="1">
      <c r="B533" s="1833"/>
      <c r="C533" s="1724" t="s">
        <v>132</v>
      </c>
      <c r="D533" s="209" t="s">
        <v>66</v>
      </c>
      <c r="E533" s="1525">
        <v>2</v>
      </c>
      <c r="F533" s="1834">
        <v>0</v>
      </c>
      <c r="G533" s="1726">
        <f t="shared" si="64"/>
        <v>0</v>
      </c>
      <c r="H533" s="1703"/>
    </row>
    <row r="534" spans="2:9" s="217" customFormat="1">
      <c r="B534" s="1833"/>
      <c r="C534" s="1724" t="s">
        <v>132</v>
      </c>
      <c r="D534" s="209" t="s">
        <v>66</v>
      </c>
      <c r="E534" s="1525">
        <v>2</v>
      </c>
      <c r="F534" s="1834">
        <v>0</v>
      </c>
      <c r="G534" s="1726">
        <f t="shared" si="64"/>
        <v>0</v>
      </c>
      <c r="H534" s="1703"/>
    </row>
    <row r="535" spans="2:9" s="217" customFormat="1">
      <c r="B535" s="1833"/>
      <c r="C535" s="1724" t="s">
        <v>148</v>
      </c>
      <c r="D535" s="209" t="s">
        <v>66</v>
      </c>
      <c r="E535" s="1525">
        <v>2</v>
      </c>
      <c r="F535" s="1834">
        <v>0</v>
      </c>
      <c r="G535" s="1726">
        <f t="shared" si="64"/>
        <v>0</v>
      </c>
      <c r="H535" s="1703"/>
    </row>
    <row r="536" spans="2:9" s="217" customFormat="1">
      <c r="B536" s="1833"/>
      <c r="C536" s="1724" t="s">
        <v>150</v>
      </c>
      <c r="D536" s="209" t="s">
        <v>66</v>
      </c>
      <c r="E536" s="1525">
        <v>1</v>
      </c>
      <c r="F536" s="1834">
        <v>0</v>
      </c>
      <c r="G536" s="1726">
        <f t="shared" si="64"/>
        <v>0</v>
      </c>
      <c r="H536" s="1703"/>
    </row>
    <row r="537" spans="2:9" s="217" customFormat="1">
      <c r="B537" s="1833"/>
      <c r="C537" s="1724" t="s">
        <v>135</v>
      </c>
      <c r="D537" s="209" t="s">
        <v>66</v>
      </c>
      <c r="E537" s="1525">
        <v>1</v>
      </c>
      <c r="F537" s="1834">
        <v>0</v>
      </c>
      <c r="G537" s="1726">
        <f t="shared" si="64"/>
        <v>0</v>
      </c>
      <c r="H537" s="1703"/>
    </row>
    <row r="538" spans="2:9">
      <c r="B538" s="523"/>
      <c r="C538" s="1753"/>
      <c r="D538" s="1991"/>
      <c r="E538" s="1939"/>
      <c r="F538" s="1940"/>
      <c r="G538" s="1941"/>
      <c r="H538" s="524"/>
      <c r="I538" s="378"/>
    </row>
    <row r="539" spans="2:9">
      <c r="B539" s="1824" t="s">
        <v>545</v>
      </c>
      <c r="C539" s="1825" t="s">
        <v>2183</v>
      </c>
      <c r="D539" s="1836"/>
      <c r="E539" s="1847"/>
      <c r="F539" s="1942"/>
      <c r="G539" s="1943"/>
      <c r="H539" s="524"/>
      <c r="I539" s="378"/>
    </row>
    <row r="540" spans="2:9" s="217" customFormat="1">
      <c r="B540" s="1833"/>
      <c r="C540" s="1845" t="s">
        <v>1608</v>
      </c>
      <c r="D540" s="209" t="s">
        <v>66</v>
      </c>
      <c r="E540" s="1525">
        <v>1</v>
      </c>
      <c r="F540" s="1834">
        <v>0</v>
      </c>
      <c r="G540" s="1726">
        <f t="shared" ref="G540:G553" si="65">E540*F540</f>
        <v>0</v>
      </c>
      <c r="H540" s="1703"/>
    </row>
    <row r="541" spans="2:9" s="217" customFormat="1">
      <c r="B541" s="1833"/>
      <c r="C541" s="1845" t="s">
        <v>2171</v>
      </c>
      <c r="D541" s="209" t="s">
        <v>66</v>
      </c>
      <c r="E541" s="1525">
        <v>1</v>
      </c>
      <c r="F541" s="1834">
        <v>0</v>
      </c>
      <c r="G541" s="1726">
        <f t="shared" ref="G541" si="66">E541*F541</f>
        <v>0</v>
      </c>
      <c r="H541" s="1703"/>
    </row>
    <row r="542" spans="2:9" s="217" customFormat="1">
      <c r="B542" s="1833"/>
      <c r="C542" s="1845" t="s">
        <v>139</v>
      </c>
      <c r="D542" s="209" t="s">
        <v>66</v>
      </c>
      <c r="E542" s="1525">
        <v>1</v>
      </c>
      <c r="F542" s="1834">
        <v>0</v>
      </c>
      <c r="G542" s="1726">
        <f t="shared" si="65"/>
        <v>0</v>
      </c>
      <c r="H542" s="1703"/>
    </row>
    <row r="543" spans="2:9" s="217" customFormat="1">
      <c r="B543" s="1833"/>
      <c r="C543" s="1845" t="s">
        <v>155</v>
      </c>
      <c r="D543" s="209" t="s">
        <v>66</v>
      </c>
      <c r="E543" s="1525">
        <v>1</v>
      </c>
      <c r="F543" s="1834">
        <v>0</v>
      </c>
      <c r="G543" s="1726">
        <f t="shared" ref="G543" si="67">E543*F543</f>
        <v>0</v>
      </c>
      <c r="H543" s="1703"/>
    </row>
    <row r="544" spans="2:9" s="217" customFormat="1">
      <c r="B544" s="1833"/>
      <c r="C544" s="208" t="s">
        <v>2184</v>
      </c>
      <c r="D544" s="209" t="s">
        <v>66</v>
      </c>
      <c r="E544" s="1525">
        <v>1</v>
      </c>
      <c r="F544" s="1834">
        <v>0</v>
      </c>
      <c r="G544" s="1726">
        <f t="shared" si="65"/>
        <v>0</v>
      </c>
      <c r="H544" s="1703"/>
    </row>
    <row r="545" spans="2:9" s="217" customFormat="1">
      <c r="B545" s="1833"/>
      <c r="C545" s="1724" t="s">
        <v>499</v>
      </c>
      <c r="D545" s="209" t="s">
        <v>66</v>
      </c>
      <c r="E545" s="1525">
        <v>2</v>
      </c>
      <c r="F545" s="1834">
        <v>0</v>
      </c>
      <c r="G545" s="1726">
        <f t="shared" si="65"/>
        <v>0</v>
      </c>
      <c r="H545" s="1703"/>
    </row>
    <row r="546" spans="2:9" s="217" customFormat="1">
      <c r="B546" s="1833"/>
      <c r="C546" s="1724" t="s">
        <v>410</v>
      </c>
      <c r="D546" s="209" t="s">
        <v>66</v>
      </c>
      <c r="E546" s="1525">
        <v>2</v>
      </c>
      <c r="F546" s="1834">
        <v>0</v>
      </c>
      <c r="G546" s="1726">
        <f t="shared" ref="G546:G548" si="68">E546*F546</f>
        <v>0</v>
      </c>
      <c r="H546" s="1703"/>
    </row>
    <row r="547" spans="2:9" s="217" customFormat="1">
      <c r="B547" s="1833"/>
      <c r="C547" s="1724" t="s">
        <v>132</v>
      </c>
      <c r="D547" s="209" t="s">
        <v>66</v>
      </c>
      <c r="E547" s="1525">
        <v>1</v>
      </c>
      <c r="F547" s="1834">
        <v>0</v>
      </c>
      <c r="G547" s="1726">
        <f t="shared" si="68"/>
        <v>0</v>
      </c>
      <c r="H547" s="1703"/>
    </row>
    <row r="548" spans="2:9" s="217" customFormat="1">
      <c r="B548" s="1833"/>
      <c r="C548" s="1724" t="s">
        <v>148</v>
      </c>
      <c r="D548" s="209" t="s">
        <v>66</v>
      </c>
      <c r="E548" s="1525">
        <v>1</v>
      </c>
      <c r="F548" s="1834">
        <v>0</v>
      </c>
      <c r="G548" s="1726">
        <f t="shared" si="68"/>
        <v>0</v>
      </c>
      <c r="H548" s="1703"/>
    </row>
    <row r="549" spans="2:9" s="217" customFormat="1">
      <c r="B549" s="1833"/>
      <c r="C549" s="1724" t="s">
        <v>150</v>
      </c>
      <c r="D549" s="209" t="s">
        <v>66</v>
      </c>
      <c r="E549" s="1525">
        <v>2</v>
      </c>
      <c r="F549" s="1834">
        <v>0</v>
      </c>
      <c r="G549" s="1726">
        <f t="shared" si="65"/>
        <v>0</v>
      </c>
      <c r="H549" s="1703"/>
    </row>
    <row r="550" spans="2:9" s="217" customFormat="1">
      <c r="B550" s="1833"/>
      <c r="C550" s="1724" t="s">
        <v>135</v>
      </c>
      <c r="D550" s="209" t="s">
        <v>66</v>
      </c>
      <c r="E550" s="1525">
        <v>2</v>
      </c>
      <c r="F550" s="1834">
        <v>0</v>
      </c>
      <c r="G550" s="1726">
        <f t="shared" si="65"/>
        <v>0</v>
      </c>
      <c r="H550" s="1703"/>
    </row>
    <row r="551" spans="2:9" s="217" customFormat="1" ht="36">
      <c r="B551" s="1833"/>
      <c r="C551" s="1845" t="s">
        <v>2074</v>
      </c>
      <c r="D551" s="209" t="s">
        <v>66</v>
      </c>
      <c r="E551" s="1525">
        <v>2</v>
      </c>
      <c r="F551" s="1834">
        <v>0</v>
      </c>
      <c r="G551" s="1726">
        <f t="shared" si="65"/>
        <v>0</v>
      </c>
      <c r="H551" s="1703"/>
    </row>
    <row r="552" spans="2:9" s="217" customFormat="1">
      <c r="B552" s="1833"/>
      <c r="C552" s="1724" t="s">
        <v>171</v>
      </c>
      <c r="D552" s="209" t="s">
        <v>66</v>
      </c>
      <c r="E552" s="1525">
        <v>2</v>
      </c>
      <c r="F552" s="1834">
        <v>0</v>
      </c>
      <c r="G552" s="1726">
        <f t="shared" si="65"/>
        <v>0</v>
      </c>
      <c r="H552" s="1703"/>
    </row>
    <row r="553" spans="2:9" s="217" customFormat="1">
      <c r="B553" s="1833"/>
      <c r="C553" s="1724" t="s">
        <v>135</v>
      </c>
      <c r="D553" s="209" t="s">
        <v>66</v>
      </c>
      <c r="E553" s="1525">
        <v>2</v>
      </c>
      <c r="F553" s="1834">
        <v>0</v>
      </c>
      <c r="G553" s="1726">
        <f t="shared" si="65"/>
        <v>0</v>
      </c>
      <c r="H553" s="1703"/>
    </row>
    <row r="554" spans="2:9">
      <c r="B554" s="523"/>
      <c r="C554" s="1753"/>
      <c r="D554" s="1991"/>
      <c r="E554" s="1939"/>
      <c r="F554" s="1940"/>
      <c r="G554" s="1941"/>
      <c r="H554" s="524"/>
      <c r="I554" s="378"/>
    </row>
    <row r="555" spans="2:9">
      <c r="B555" s="1824" t="s">
        <v>546</v>
      </c>
      <c r="C555" s="1825" t="s">
        <v>2187</v>
      </c>
      <c r="D555" s="1836"/>
      <c r="E555" s="1847"/>
      <c r="F555" s="1942"/>
      <c r="G555" s="1943"/>
      <c r="H555" s="524"/>
      <c r="I555" s="378"/>
    </row>
    <row r="556" spans="2:9" s="217" customFormat="1">
      <c r="B556" s="1833"/>
      <c r="C556" s="1845" t="s">
        <v>2137</v>
      </c>
      <c r="D556" s="209" t="s">
        <v>66</v>
      </c>
      <c r="E556" s="1525">
        <v>1</v>
      </c>
      <c r="F556" s="1834">
        <v>0</v>
      </c>
      <c r="G556" s="1726">
        <f t="shared" ref="G556:G562" si="69">E556*F556</f>
        <v>0</v>
      </c>
      <c r="H556" s="1703"/>
    </row>
    <row r="557" spans="2:9" s="217" customFormat="1">
      <c r="B557" s="1833"/>
      <c r="C557" s="1845" t="s">
        <v>155</v>
      </c>
      <c r="D557" s="209" t="s">
        <v>66</v>
      </c>
      <c r="E557" s="1525">
        <v>1</v>
      </c>
      <c r="F557" s="1834">
        <v>0</v>
      </c>
      <c r="G557" s="1726">
        <f t="shared" si="69"/>
        <v>0</v>
      </c>
      <c r="H557" s="1703"/>
    </row>
    <row r="558" spans="2:9" s="217" customFormat="1">
      <c r="B558" s="1833"/>
      <c r="C558" s="1724" t="s">
        <v>499</v>
      </c>
      <c r="D558" s="209" t="s">
        <v>66</v>
      </c>
      <c r="E558" s="1525">
        <v>2</v>
      </c>
      <c r="F558" s="1834">
        <v>0</v>
      </c>
      <c r="G558" s="1726">
        <f t="shared" si="69"/>
        <v>0</v>
      </c>
      <c r="H558" s="1703"/>
    </row>
    <row r="559" spans="2:9" s="217" customFormat="1">
      <c r="B559" s="1833"/>
      <c r="C559" s="1724" t="s">
        <v>2185</v>
      </c>
      <c r="D559" s="209" t="s">
        <v>66</v>
      </c>
      <c r="E559" s="1525">
        <v>1</v>
      </c>
      <c r="F559" s="1834">
        <v>0</v>
      </c>
      <c r="G559" s="1726">
        <f t="shared" si="69"/>
        <v>0</v>
      </c>
      <c r="H559" s="1703"/>
    </row>
    <row r="560" spans="2:9" s="217" customFormat="1">
      <c r="B560" s="1833"/>
      <c r="C560" s="1724" t="s">
        <v>2186</v>
      </c>
      <c r="D560" s="209" t="s">
        <v>66</v>
      </c>
      <c r="E560" s="1525">
        <v>1</v>
      </c>
      <c r="F560" s="1834">
        <v>0</v>
      </c>
      <c r="G560" s="1726">
        <f t="shared" si="69"/>
        <v>0</v>
      </c>
      <c r="H560" s="1703"/>
    </row>
    <row r="561" spans="2:10" s="217" customFormat="1">
      <c r="B561" s="1833"/>
      <c r="C561" s="1724" t="s">
        <v>150</v>
      </c>
      <c r="D561" s="209" t="s">
        <v>66</v>
      </c>
      <c r="E561" s="1525">
        <v>1</v>
      </c>
      <c r="F561" s="1834">
        <v>0</v>
      </c>
      <c r="G561" s="1726">
        <f t="shared" si="69"/>
        <v>0</v>
      </c>
      <c r="H561" s="1703"/>
    </row>
    <row r="562" spans="2:10" s="217" customFormat="1">
      <c r="B562" s="1833"/>
      <c r="C562" s="1724" t="s">
        <v>135</v>
      </c>
      <c r="D562" s="209" t="s">
        <v>66</v>
      </c>
      <c r="E562" s="1525">
        <v>1</v>
      </c>
      <c r="F562" s="1834">
        <v>0</v>
      </c>
      <c r="G562" s="1726">
        <f t="shared" si="69"/>
        <v>0</v>
      </c>
      <c r="H562" s="1703"/>
    </row>
    <row r="563" spans="2:10">
      <c r="B563" s="523"/>
      <c r="C563" s="1753"/>
      <c r="D563" s="1991"/>
      <c r="E563" s="1939"/>
      <c r="F563" s="1940"/>
      <c r="G563" s="1941"/>
      <c r="H563" s="524"/>
      <c r="I563" s="378"/>
    </row>
    <row r="564" spans="2:10">
      <c r="B564" s="1824" t="s">
        <v>547</v>
      </c>
      <c r="C564" s="1850" t="s">
        <v>2188</v>
      </c>
      <c r="D564" s="1836"/>
      <c r="E564" s="1847"/>
      <c r="F564" s="1942"/>
      <c r="G564" s="1943"/>
      <c r="H564" s="524"/>
    </row>
    <row r="565" spans="2:10" s="439" customFormat="1">
      <c r="B565" s="1824"/>
      <c r="C565" s="1828" t="s">
        <v>2199</v>
      </c>
      <c r="D565" s="1836" t="s">
        <v>66</v>
      </c>
      <c r="E565" s="1847">
        <v>1</v>
      </c>
      <c r="F565" s="1848">
        <v>0</v>
      </c>
      <c r="G565" s="1849">
        <f t="shared" ref="G565:G585" si="70">E565*F565</f>
        <v>0</v>
      </c>
      <c r="H565" s="524"/>
    </row>
    <row r="566" spans="2:10" s="439" customFormat="1" ht="15" customHeight="1">
      <c r="B566" s="1824"/>
      <c r="C566" s="1826" t="s">
        <v>499</v>
      </c>
      <c r="D566" s="1836" t="s">
        <v>66</v>
      </c>
      <c r="E566" s="1847">
        <v>1</v>
      </c>
      <c r="F566" s="1848">
        <v>0</v>
      </c>
      <c r="G566" s="1849">
        <f t="shared" si="70"/>
        <v>0</v>
      </c>
      <c r="H566" s="524"/>
    </row>
    <row r="567" spans="2:10" s="439" customFormat="1">
      <c r="B567" s="1824"/>
      <c r="C567" s="1828" t="s">
        <v>2200</v>
      </c>
      <c r="D567" s="1836" t="s">
        <v>66</v>
      </c>
      <c r="E567" s="1847">
        <v>1</v>
      </c>
      <c r="F567" s="1848">
        <v>0</v>
      </c>
      <c r="G567" s="1849">
        <f t="shared" ref="G567:G568" si="71">E567*F567</f>
        <v>0</v>
      </c>
      <c r="H567" s="524"/>
    </row>
    <row r="568" spans="2:10" s="439" customFormat="1" ht="15" customHeight="1">
      <c r="B568" s="1824"/>
      <c r="C568" s="1826" t="s">
        <v>216</v>
      </c>
      <c r="D568" s="1836" t="s">
        <v>66</v>
      </c>
      <c r="E568" s="1847">
        <v>1</v>
      </c>
      <c r="F568" s="1848">
        <v>0</v>
      </c>
      <c r="G568" s="1849">
        <f t="shared" si="71"/>
        <v>0</v>
      </c>
      <c r="H568" s="524"/>
    </row>
    <row r="569" spans="2:10" s="439" customFormat="1">
      <c r="B569" s="1824"/>
      <c r="C569" s="1828" t="s">
        <v>2189</v>
      </c>
      <c r="D569" s="1836" t="s">
        <v>66</v>
      </c>
      <c r="E569" s="1847">
        <v>1</v>
      </c>
      <c r="F569" s="1848">
        <v>0</v>
      </c>
      <c r="G569" s="1849">
        <f t="shared" ref="G569" si="72">E569*F569</f>
        <v>0</v>
      </c>
      <c r="H569" s="524"/>
    </row>
    <row r="570" spans="2:10" s="439" customFormat="1" ht="73.5" customHeight="1">
      <c r="B570" s="1824"/>
      <c r="C570" s="1529" t="s">
        <v>2211</v>
      </c>
      <c r="D570" s="1992" t="s">
        <v>66</v>
      </c>
      <c r="E570" s="1847">
        <v>1</v>
      </c>
      <c r="F570" s="1848">
        <v>0</v>
      </c>
      <c r="G570" s="1849">
        <f t="shared" si="70"/>
        <v>0</v>
      </c>
      <c r="H570" s="524"/>
      <c r="I570" s="73"/>
      <c r="J570" s="73"/>
    </row>
    <row r="571" spans="2:10" s="439" customFormat="1" ht="75.75" customHeight="1">
      <c r="B571" s="1824"/>
      <c r="C571" s="1529" t="s">
        <v>2212</v>
      </c>
      <c r="D571" s="1992" t="s">
        <v>66</v>
      </c>
      <c r="E571" s="1847">
        <v>1</v>
      </c>
      <c r="F571" s="1848">
        <v>0</v>
      </c>
      <c r="G571" s="1849">
        <f t="shared" si="70"/>
        <v>0</v>
      </c>
      <c r="H571" s="524"/>
      <c r="I571" s="73"/>
      <c r="J571" s="73"/>
    </row>
    <row r="572" spans="2:10" s="439" customFormat="1" ht="54.75" customHeight="1">
      <c r="B572" s="1824"/>
      <c r="C572" s="1826" t="s">
        <v>2037</v>
      </c>
      <c r="D572" s="1836" t="s">
        <v>66</v>
      </c>
      <c r="E572" s="1847">
        <v>2</v>
      </c>
      <c r="F572" s="1848">
        <v>0</v>
      </c>
      <c r="G572" s="1849">
        <f t="shared" si="70"/>
        <v>0</v>
      </c>
      <c r="H572" s="524"/>
      <c r="I572" s="525"/>
      <c r="J572" s="73"/>
    </row>
    <row r="573" spans="2:10" s="439" customFormat="1" ht="54.75" customHeight="1">
      <c r="B573" s="1824"/>
      <c r="C573" s="1826" t="s">
        <v>2191</v>
      </c>
      <c r="D573" s="1836" t="s">
        <v>66</v>
      </c>
      <c r="E573" s="1847">
        <v>1</v>
      </c>
      <c r="F573" s="1848">
        <v>0</v>
      </c>
      <c r="G573" s="1849">
        <f t="shared" ref="G573:G575" si="73">E573*F573</f>
        <v>0</v>
      </c>
      <c r="H573" s="524"/>
      <c r="I573" s="525"/>
      <c r="J573" s="73"/>
    </row>
    <row r="574" spans="2:10" ht="17.25" customHeight="1">
      <c r="B574" s="1824"/>
      <c r="C574" s="1829" t="s">
        <v>2150</v>
      </c>
      <c r="D574" s="1831" t="s">
        <v>66</v>
      </c>
      <c r="E574" s="1832">
        <v>1</v>
      </c>
      <c r="F574" s="1848">
        <v>0</v>
      </c>
      <c r="G574" s="1849">
        <f t="shared" ref="G574" si="74">E574*F574</f>
        <v>0</v>
      </c>
      <c r="H574" s="524"/>
      <c r="I574" s="378"/>
    </row>
    <row r="575" spans="2:10" ht="18" customHeight="1">
      <c r="B575" s="1824"/>
      <c r="C575" s="1829" t="s">
        <v>510</v>
      </c>
      <c r="D575" s="1831" t="s">
        <v>66</v>
      </c>
      <c r="E575" s="1832">
        <v>1</v>
      </c>
      <c r="F575" s="1848">
        <v>0</v>
      </c>
      <c r="G575" s="1849">
        <f t="shared" si="73"/>
        <v>0</v>
      </c>
      <c r="H575" s="524"/>
      <c r="I575" s="378"/>
    </row>
    <row r="576" spans="2:10" s="217" customFormat="1" ht="23.25" customHeight="1">
      <c r="B576" s="1833"/>
      <c r="C576" s="1845" t="s">
        <v>2128</v>
      </c>
      <c r="D576" s="209" t="s">
        <v>66</v>
      </c>
      <c r="E576" s="1525">
        <v>2</v>
      </c>
      <c r="F576" s="1848">
        <v>0</v>
      </c>
      <c r="G576" s="1849">
        <f t="shared" si="70"/>
        <v>0</v>
      </c>
      <c r="H576" s="1703"/>
    </row>
    <row r="577" spans="2:10" s="217" customFormat="1" ht="24" customHeight="1">
      <c r="B577" s="1833"/>
      <c r="C577" s="1845" t="s">
        <v>2127</v>
      </c>
      <c r="D577" s="209" t="s">
        <v>66</v>
      </c>
      <c r="E577" s="1525">
        <v>1</v>
      </c>
      <c r="F577" s="1848">
        <v>0</v>
      </c>
      <c r="G577" s="1849">
        <f>E577*F577</f>
        <v>0</v>
      </c>
      <c r="H577" s="1703"/>
    </row>
    <row r="578" spans="2:10" s="217" customFormat="1" ht="20.25" customHeight="1">
      <c r="B578" s="1833"/>
      <c r="C578" s="1845" t="s">
        <v>516</v>
      </c>
      <c r="D578" s="209" t="s">
        <v>66</v>
      </c>
      <c r="E578" s="1525">
        <v>2</v>
      </c>
      <c r="F578" s="1848">
        <v>0</v>
      </c>
      <c r="G578" s="1849">
        <f>E578*F578</f>
        <v>0</v>
      </c>
      <c r="H578" s="1703"/>
    </row>
    <row r="579" spans="2:10" s="217" customFormat="1" ht="17.25" customHeight="1">
      <c r="B579" s="1833"/>
      <c r="C579" s="1845" t="s">
        <v>1738</v>
      </c>
      <c r="D579" s="209" t="s">
        <v>66</v>
      </c>
      <c r="E579" s="1525">
        <v>1</v>
      </c>
      <c r="F579" s="1848">
        <v>0</v>
      </c>
      <c r="G579" s="1849">
        <f>E579*F579</f>
        <v>0</v>
      </c>
      <c r="H579" s="1703"/>
    </row>
    <row r="580" spans="2:10" s="439" customFormat="1" ht="19.5" customHeight="1">
      <c r="B580" s="1824"/>
      <c r="C580" s="1846" t="s">
        <v>2190</v>
      </c>
      <c r="D580" s="1836" t="s">
        <v>66</v>
      </c>
      <c r="E580" s="1847">
        <v>1</v>
      </c>
      <c r="F580" s="1848">
        <v>0</v>
      </c>
      <c r="G580" s="1849">
        <f>E580*F580</f>
        <v>0</v>
      </c>
      <c r="H580" s="524"/>
      <c r="I580" s="73"/>
      <c r="J580" s="73"/>
    </row>
    <row r="581" spans="2:10">
      <c r="B581" s="1824"/>
      <c r="C581" s="1829" t="s">
        <v>2193</v>
      </c>
      <c r="D581" s="1831" t="s">
        <v>66</v>
      </c>
      <c r="E581" s="1525">
        <v>1</v>
      </c>
      <c r="F581" s="1848">
        <v>0</v>
      </c>
      <c r="G581" s="1849">
        <f t="shared" ref="G581" si="75">E581*F581</f>
        <v>0</v>
      </c>
      <c r="H581" s="524"/>
      <c r="I581" s="378"/>
    </row>
    <row r="582" spans="2:10">
      <c r="B582" s="1824"/>
      <c r="C582" s="1829" t="s">
        <v>2196</v>
      </c>
      <c r="D582" s="1831" t="s">
        <v>66</v>
      </c>
      <c r="E582" s="1525">
        <v>1</v>
      </c>
      <c r="F582" s="1848">
        <v>0</v>
      </c>
      <c r="G582" s="1849">
        <f t="shared" ref="G582:G583" si="76">E582*F582</f>
        <v>0</v>
      </c>
      <c r="H582" s="524"/>
      <c r="I582" s="378"/>
    </row>
    <row r="583" spans="2:10">
      <c r="B583" s="1824"/>
      <c r="C583" s="1830" t="s">
        <v>518</v>
      </c>
      <c r="D583" s="1831" t="s">
        <v>66</v>
      </c>
      <c r="E583" s="1525">
        <v>2</v>
      </c>
      <c r="F583" s="1848">
        <v>0</v>
      </c>
      <c r="G583" s="1849">
        <f t="shared" si="76"/>
        <v>0</v>
      </c>
      <c r="H583" s="524"/>
      <c r="I583" s="378"/>
    </row>
    <row r="584" spans="2:10" s="439" customFormat="1" ht="18" customHeight="1">
      <c r="B584" s="1824"/>
      <c r="C584" s="1846" t="s">
        <v>2192</v>
      </c>
      <c r="D584" s="1836" t="s">
        <v>66</v>
      </c>
      <c r="E584" s="1525">
        <v>1</v>
      </c>
      <c r="F584" s="1848">
        <v>0</v>
      </c>
      <c r="G584" s="1849">
        <f t="shared" si="70"/>
        <v>0</v>
      </c>
      <c r="H584" s="524"/>
      <c r="I584" s="73"/>
      <c r="J584" s="73"/>
    </row>
    <row r="585" spans="2:10" s="439" customFormat="1" ht="17.25" customHeight="1">
      <c r="B585" s="1824"/>
      <c r="C585" s="1846" t="s">
        <v>2194</v>
      </c>
      <c r="D585" s="1836" t="s">
        <v>66</v>
      </c>
      <c r="E585" s="1525">
        <v>1</v>
      </c>
      <c r="F585" s="1848">
        <v>0</v>
      </c>
      <c r="G585" s="1849">
        <f t="shared" si="70"/>
        <v>0</v>
      </c>
      <c r="H585" s="524"/>
      <c r="I585" s="73"/>
      <c r="J585" s="73"/>
    </row>
    <row r="586" spans="2:10">
      <c r="B586" s="523"/>
      <c r="C586" s="1753"/>
      <c r="D586" s="1991"/>
      <c r="E586" s="1939"/>
      <c r="F586" s="1940"/>
      <c r="G586" s="1941"/>
      <c r="H586" s="524"/>
      <c r="J586" s="378"/>
    </row>
    <row r="587" spans="2:10">
      <c r="B587" s="1824" t="s">
        <v>548</v>
      </c>
      <c r="C587" s="1825" t="s">
        <v>2197</v>
      </c>
      <c r="D587" s="1836"/>
      <c r="E587" s="1847"/>
      <c r="F587" s="1942"/>
      <c r="G587" s="1943"/>
      <c r="H587" s="524"/>
      <c r="I587" s="378"/>
      <c r="J587" s="378"/>
    </row>
    <row r="588" spans="2:10" s="439" customFormat="1">
      <c r="B588" s="1824"/>
      <c r="C588" s="1828" t="s">
        <v>2198</v>
      </c>
      <c r="D588" s="1836" t="s">
        <v>66</v>
      </c>
      <c r="E588" s="1847">
        <v>1</v>
      </c>
      <c r="F588" s="1848">
        <v>0</v>
      </c>
      <c r="G588" s="1849">
        <f t="shared" ref="G588:G593" si="77">E588*F588</f>
        <v>0</v>
      </c>
      <c r="H588" s="524"/>
    </row>
    <row r="589" spans="2:10" s="439" customFormat="1">
      <c r="B589" s="1824"/>
      <c r="C589" s="1828" t="s">
        <v>2189</v>
      </c>
      <c r="D589" s="1836" t="s">
        <v>66</v>
      </c>
      <c r="E589" s="1847">
        <v>2</v>
      </c>
      <c r="F589" s="1848">
        <v>0</v>
      </c>
      <c r="G589" s="1849">
        <f t="shared" si="77"/>
        <v>0</v>
      </c>
      <c r="H589" s="524"/>
    </row>
    <row r="590" spans="2:10" s="439" customFormat="1" ht="77.25" customHeight="1">
      <c r="B590" s="1824"/>
      <c r="C590" s="1529" t="s">
        <v>2211</v>
      </c>
      <c r="D590" s="1992" t="s">
        <v>66</v>
      </c>
      <c r="E590" s="1847">
        <v>1</v>
      </c>
      <c r="F590" s="1848">
        <v>0</v>
      </c>
      <c r="G590" s="1849">
        <f t="shared" si="77"/>
        <v>0</v>
      </c>
      <c r="H590" s="524"/>
      <c r="I590" s="73"/>
      <c r="J590" s="73"/>
    </row>
    <row r="591" spans="2:10" s="439" customFormat="1" ht="54.75" customHeight="1">
      <c r="B591" s="1824"/>
      <c r="C591" s="1826" t="s">
        <v>2037</v>
      </c>
      <c r="D591" s="1836" t="s">
        <v>66</v>
      </c>
      <c r="E591" s="1847">
        <v>2</v>
      </c>
      <c r="F591" s="1848">
        <v>0</v>
      </c>
      <c r="G591" s="1849">
        <f t="shared" si="77"/>
        <v>0</v>
      </c>
      <c r="H591" s="524"/>
      <c r="I591" s="525"/>
      <c r="J591" s="73"/>
    </row>
    <row r="592" spans="2:10" s="439" customFormat="1" ht="54.75" customHeight="1">
      <c r="B592" s="1824"/>
      <c r="C592" s="1826" t="s">
        <v>2195</v>
      </c>
      <c r="D592" s="1836" t="s">
        <v>66</v>
      </c>
      <c r="E592" s="1847">
        <v>1</v>
      </c>
      <c r="F592" s="1848">
        <v>0</v>
      </c>
      <c r="G592" s="1849">
        <f t="shared" si="77"/>
        <v>0</v>
      </c>
      <c r="H592" s="524"/>
      <c r="I592" s="525"/>
      <c r="J592" s="73"/>
    </row>
    <row r="593" spans="2:10" s="217" customFormat="1" ht="23.25" customHeight="1">
      <c r="B593" s="1833"/>
      <c r="C593" s="1845" t="s">
        <v>2128</v>
      </c>
      <c r="D593" s="209" t="s">
        <v>66</v>
      </c>
      <c r="E593" s="1525">
        <v>2</v>
      </c>
      <c r="F593" s="1848">
        <v>0</v>
      </c>
      <c r="G593" s="1849">
        <f t="shared" si="77"/>
        <v>0</v>
      </c>
      <c r="H593" s="1703"/>
    </row>
    <row r="594" spans="2:10" s="217" customFormat="1" ht="24" customHeight="1">
      <c r="B594" s="1833"/>
      <c r="C594" s="1845" t="s">
        <v>2144</v>
      </c>
      <c r="D594" s="209" t="s">
        <v>66</v>
      </c>
      <c r="E594" s="1525">
        <v>1</v>
      </c>
      <c r="F594" s="1848">
        <v>0</v>
      </c>
      <c r="G594" s="1849">
        <f>E594*F594</f>
        <v>0</v>
      </c>
      <c r="H594" s="1703"/>
    </row>
    <row r="595" spans="2:10" s="217" customFormat="1" ht="20.25" customHeight="1">
      <c r="B595" s="1833"/>
      <c r="C595" s="1845" t="s">
        <v>516</v>
      </c>
      <c r="D595" s="209" t="s">
        <v>66</v>
      </c>
      <c r="E595" s="1525">
        <v>1</v>
      </c>
      <c r="F595" s="1848">
        <v>0</v>
      </c>
      <c r="G595" s="1849">
        <f>E595*F595</f>
        <v>0</v>
      </c>
      <c r="H595" s="1703"/>
    </row>
    <row r="596" spans="2:10" s="217" customFormat="1" ht="17.25" customHeight="1">
      <c r="B596" s="1833"/>
      <c r="C596" s="1845" t="s">
        <v>357</v>
      </c>
      <c r="D596" s="209" t="s">
        <v>66</v>
      </c>
      <c r="E596" s="1525">
        <v>1</v>
      </c>
      <c r="F596" s="1848">
        <v>0</v>
      </c>
      <c r="G596" s="1849">
        <f>E596*F596</f>
        <v>0</v>
      </c>
      <c r="H596" s="1703"/>
    </row>
    <row r="597" spans="2:10" s="439" customFormat="1" ht="19.5" customHeight="1">
      <c r="B597" s="1824"/>
      <c r="C597" s="1846" t="s">
        <v>2190</v>
      </c>
      <c r="D597" s="1836" t="s">
        <v>66</v>
      </c>
      <c r="E597" s="1847">
        <v>1</v>
      </c>
      <c r="F597" s="1848">
        <v>0</v>
      </c>
      <c r="G597" s="1849">
        <f>E597*F597</f>
        <v>0</v>
      </c>
      <c r="H597" s="524"/>
      <c r="I597" s="73"/>
      <c r="J597" s="73"/>
    </row>
    <row r="598" spans="2:10">
      <c r="B598" s="1824"/>
      <c r="C598" s="1829" t="s">
        <v>2193</v>
      </c>
      <c r="D598" s="1831" t="s">
        <v>66</v>
      </c>
      <c r="E598" s="1525">
        <v>1</v>
      </c>
      <c r="F598" s="1848">
        <v>0</v>
      </c>
      <c r="G598" s="1849">
        <f t="shared" ref="G598:G602" si="78">E598*F598</f>
        <v>0</v>
      </c>
      <c r="H598" s="524"/>
      <c r="I598" s="378"/>
    </row>
    <row r="599" spans="2:10">
      <c r="B599" s="1824"/>
      <c r="C599" s="1830" t="s">
        <v>518</v>
      </c>
      <c r="D599" s="1831" t="s">
        <v>66</v>
      </c>
      <c r="E599" s="1525">
        <v>1</v>
      </c>
      <c r="F599" s="1848">
        <v>0</v>
      </c>
      <c r="G599" s="1849">
        <f t="shared" si="78"/>
        <v>0</v>
      </c>
      <c r="H599" s="524"/>
      <c r="I599" s="378"/>
    </row>
    <row r="600" spans="2:10" s="217" customFormat="1" ht="18" customHeight="1">
      <c r="B600" s="1833"/>
      <c r="C600" s="1724" t="s">
        <v>132</v>
      </c>
      <c r="D600" s="209" t="s">
        <v>66</v>
      </c>
      <c r="E600" s="1525">
        <v>1</v>
      </c>
      <c r="F600" s="1834">
        <v>0</v>
      </c>
      <c r="G600" s="1726">
        <f t="shared" si="78"/>
        <v>0</v>
      </c>
      <c r="H600" s="1703"/>
    </row>
    <row r="601" spans="2:10" s="217" customFormat="1">
      <c r="B601" s="1833"/>
      <c r="C601" s="1724" t="s">
        <v>148</v>
      </c>
      <c r="D601" s="209" t="s">
        <v>66</v>
      </c>
      <c r="E601" s="1525">
        <v>1</v>
      </c>
      <c r="F601" s="1834">
        <v>0</v>
      </c>
      <c r="G601" s="1726">
        <f t="shared" si="78"/>
        <v>0</v>
      </c>
      <c r="H601" s="1703"/>
    </row>
    <row r="602" spans="2:10" s="179" customFormat="1" ht="18.75" customHeight="1">
      <c r="B602" s="1835"/>
      <c r="C602" s="1724" t="s">
        <v>125</v>
      </c>
      <c r="D602" s="209" t="s">
        <v>66</v>
      </c>
      <c r="E602" s="204">
        <v>2</v>
      </c>
      <c r="F602" s="1725">
        <v>0</v>
      </c>
      <c r="G602" s="1726">
        <f t="shared" si="78"/>
        <v>0</v>
      </c>
      <c r="H602" s="1727"/>
    </row>
    <row r="603" spans="2:10">
      <c r="B603" s="523"/>
      <c r="C603" s="1753"/>
      <c r="D603" s="1991"/>
      <c r="E603" s="1939"/>
      <c r="F603" s="1940"/>
      <c r="G603" s="1941"/>
      <c r="H603" s="524"/>
      <c r="I603" s="378"/>
      <c r="J603" s="378"/>
    </row>
    <row r="604" spans="2:10">
      <c r="B604" s="523" t="s">
        <v>549</v>
      </c>
      <c r="C604" s="1757" t="s">
        <v>169</v>
      </c>
      <c r="D604" s="1993"/>
      <c r="E604" s="1939"/>
      <c r="F604" s="1940"/>
      <c r="G604" s="1941"/>
      <c r="H604" s="524"/>
      <c r="I604" s="378"/>
      <c r="J604" s="378"/>
    </row>
    <row r="605" spans="2:10">
      <c r="B605" s="523"/>
      <c r="C605" s="1757" t="s">
        <v>234</v>
      </c>
      <c r="D605" s="1817"/>
      <c r="E605" s="527"/>
      <c r="F605" s="1575"/>
      <c r="G605" s="1576"/>
      <c r="H605" s="524"/>
      <c r="I605" s="378"/>
      <c r="J605" s="378"/>
    </row>
    <row r="606" spans="2:10" ht="41.25" customHeight="1">
      <c r="B606" s="528"/>
      <c r="C606" s="1755" t="s">
        <v>2202</v>
      </c>
      <c r="D606" s="1817" t="s">
        <v>66</v>
      </c>
      <c r="E606" s="527">
        <v>31</v>
      </c>
      <c r="F606" s="1577">
        <v>0</v>
      </c>
      <c r="G606" s="1578">
        <f>E606*F606</f>
        <v>0</v>
      </c>
      <c r="H606" s="524"/>
      <c r="I606" s="378"/>
      <c r="J606" s="378"/>
    </row>
    <row r="607" spans="2:10">
      <c r="B607" s="523"/>
      <c r="C607" s="526" t="s">
        <v>171</v>
      </c>
      <c r="D607" s="1817" t="s">
        <v>66</v>
      </c>
      <c r="E607" s="527">
        <v>31</v>
      </c>
      <c r="F607" s="1577">
        <v>0</v>
      </c>
      <c r="G607" s="1578">
        <f>E607*F607</f>
        <v>0</v>
      </c>
      <c r="H607" s="524"/>
      <c r="I607" s="378"/>
      <c r="J607" s="378"/>
    </row>
    <row r="608" spans="2:10">
      <c r="B608" s="523"/>
      <c r="C608" s="526" t="s">
        <v>519</v>
      </c>
      <c r="D608" s="1817" t="s">
        <v>66</v>
      </c>
      <c r="E608" s="527">
        <v>31</v>
      </c>
      <c r="F608" s="1577">
        <v>0</v>
      </c>
      <c r="G608" s="1578">
        <f>E608*F608</f>
        <v>0</v>
      </c>
      <c r="H608" s="524"/>
      <c r="I608" s="378"/>
      <c r="J608" s="378"/>
    </row>
    <row r="609" spans="2:10">
      <c r="B609" s="523"/>
      <c r="C609" s="1757" t="s">
        <v>170</v>
      </c>
      <c r="D609" s="1817"/>
      <c r="E609" s="527"/>
      <c r="F609" s="1940"/>
      <c r="G609" s="1941"/>
      <c r="H609" s="524"/>
      <c r="I609" s="378"/>
      <c r="J609" s="378"/>
    </row>
    <row r="610" spans="2:10" ht="38.25">
      <c r="B610" s="523"/>
      <c r="C610" s="1755" t="s">
        <v>2203</v>
      </c>
      <c r="D610" s="1817" t="s">
        <v>66</v>
      </c>
      <c r="E610" s="527">
        <v>9</v>
      </c>
      <c r="F610" s="1577">
        <v>0</v>
      </c>
      <c r="G610" s="1578">
        <f>E610*F610</f>
        <v>0</v>
      </c>
      <c r="H610" s="524"/>
      <c r="I610" s="378"/>
      <c r="J610" s="378"/>
    </row>
    <row r="611" spans="2:10">
      <c r="B611" s="523"/>
      <c r="C611" s="526" t="s">
        <v>171</v>
      </c>
      <c r="D611" s="1817" t="s">
        <v>66</v>
      </c>
      <c r="E611" s="527">
        <v>9</v>
      </c>
      <c r="F611" s="1577">
        <v>0</v>
      </c>
      <c r="G611" s="1578">
        <f>E611*F611</f>
        <v>0</v>
      </c>
      <c r="H611" s="524"/>
      <c r="I611" s="378"/>
      <c r="J611" s="378"/>
    </row>
    <row r="612" spans="2:10">
      <c r="B612" s="523"/>
      <c r="C612" s="526" t="s">
        <v>519</v>
      </c>
      <c r="D612" s="1817" t="s">
        <v>66</v>
      </c>
      <c r="E612" s="527">
        <v>9</v>
      </c>
      <c r="F612" s="1577">
        <v>0</v>
      </c>
      <c r="G612" s="1578">
        <f>E612*F612</f>
        <v>0</v>
      </c>
      <c r="H612" s="524"/>
      <c r="I612" s="378"/>
      <c r="J612" s="378"/>
    </row>
    <row r="613" spans="2:10">
      <c r="B613" s="523"/>
      <c r="C613" s="1753"/>
      <c r="D613" s="1991"/>
      <c r="E613" s="1939"/>
      <c r="F613" s="1940"/>
      <c r="G613" s="1941"/>
      <c r="H613" s="524"/>
      <c r="I613" s="378"/>
      <c r="J613" s="378"/>
    </row>
    <row r="614" spans="2:10">
      <c r="B614" s="528" t="s">
        <v>136</v>
      </c>
      <c r="C614" s="1757" t="s">
        <v>173</v>
      </c>
      <c r="D614" s="406"/>
      <c r="E614" s="530"/>
      <c r="F614" s="1579"/>
      <c r="G614" s="1580"/>
      <c r="H614" s="524"/>
      <c r="I614" s="378"/>
      <c r="J614" s="378"/>
    </row>
    <row r="615" spans="2:10" ht="63.75">
      <c r="B615" s="531"/>
      <c r="C615" s="1755" t="s">
        <v>174</v>
      </c>
      <c r="D615" s="1817" t="s">
        <v>66</v>
      </c>
      <c r="E615" s="527">
        <v>40</v>
      </c>
      <c r="F615" s="1577">
        <v>0</v>
      </c>
      <c r="G615" s="1578">
        <f>E615*F615</f>
        <v>0</v>
      </c>
      <c r="H615" s="524"/>
      <c r="I615" s="378"/>
      <c r="J615" s="378"/>
    </row>
    <row r="616" spans="2:10">
      <c r="B616" s="532"/>
      <c r="C616" s="1758"/>
      <c r="D616" s="1994"/>
      <c r="E616" s="1946"/>
      <c r="F616" s="1947"/>
      <c r="G616" s="1948"/>
      <c r="H616" s="441"/>
      <c r="I616" s="378"/>
    </row>
    <row r="617" spans="2:10">
      <c r="B617" s="533" t="s">
        <v>47</v>
      </c>
      <c r="C617" s="534" t="s">
        <v>175</v>
      </c>
      <c r="D617" s="535"/>
      <c r="E617" s="536"/>
      <c r="F617" s="537"/>
      <c r="G617" s="485">
        <f>SUM(G147:G615)</f>
        <v>0</v>
      </c>
      <c r="H617" s="441"/>
      <c r="I617" s="378"/>
    </row>
    <row r="618" spans="2:10">
      <c r="B618" s="538"/>
      <c r="C618" s="1734"/>
      <c r="D618" s="1982"/>
      <c r="E618" s="1906"/>
      <c r="F618" s="399"/>
      <c r="G618" s="387"/>
      <c r="H618" s="441"/>
      <c r="I618" s="378"/>
    </row>
    <row r="623" spans="2:10" ht="57.75" customHeight="1">
      <c r="B623" s="2450" t="s">
        <v>550</v>
      </c>
      <c r="C623" s="2451"/>
      <c r="D623" s="2451"/>
      <c r="E623" s="2451"/>
      <c r="F623" s="2451"/>
      <c r="G623" s="2452"/>
      <c r="H623" s="441"/>
      <c r="I623" s="378"/>
    </row>
    <row r="624" spans="2:10" ht="15">
      <c r="B624" s="2453" t="s">
        <v>551</v>
      </c>
      <c r="C624" s="2454"/>
      <c r="D624" s="2454"/>
      <c r="E624" s="2454"/>
      <c r="F624" s="2454"/>
      <c r="G624" s="2455"/>
      <c r="H624" s="441"/>
      <c r="I624" s="378"/>
    </row>
    <row r="625" spans="2:9" ht="50.25" customHeight="1">
      <c r="B625" s="2456" t="s">
        <v>552</v>
      </c>
      <c r="C625" s="2457"/>
      <c r="D625" s="2457"/>
      <c r="E625" s="2457"/>
      <c r="F625" s="2457"/>
      <c r="G625" s="2458"/>
      <c r="H625" s="441"/>
      <c r="I625" s="378"/>
    </row>
    <row r="626" spans="2:9" ht="34.5" customHeight="1">
      <c r="B626" s="2456" t="s">
        <v>553</v>
      </c>
      <c r="C626" s="2457"/>
      <c r="D626" s="2457"/>
      <c r="E626" s="2457"/>
      <c r="F626" s="2457"/>
      <c r="G626" s="2458"/>
      <c r="H626" s="441"/>
      <c r="I626" s="378"/>
    </row>
    <row r="627" spans="2:9" ht="39" customHeight="1">
      <c r="B627" s="2456" t="s">
        <v>554</v>
      </c>
      <c r="C627" s="2457"/>
      <c r="D627" s="2457"/>
      <c r="E627" s="2457"/>
      <c r="F627" s="2457"/>
      <c r="G627" s="2458"/>
      <c r="H627" s="441"/>
    </row>
    <row r="628" spans="2:9" ht="34.5" customHeight="1">
      <c r="B628" s="2456" t="s">
        <v>555</v>
      </c>
      <c r="C628" s="2457"/>
      <c r="D628" s="2457"/>
      <c r="E628" s="2457"/>
      <c r="F628" s="2457"/>
      <c r="G628" s="2458"/>
      <c r="H628" s="441"/>
    </row>
    <row r="629" spans="2:9" ht="51" customHeight="1">
      <c r="B629" s="2442" t="s">
        <v>556</v>
      </c>
      <c r="C629" s="2443"/>
      <c r="D629" s="2443"/>
      <c r="E629" s="2443"/>
      <c r="F629" s="2443"/>
      <c r="G629" s="2444"/>
      <c r="H629" s="441"/>
    </row>
    <row r="630" spans="2:9" ht="18" customHeight="1">
      <c r="B630" s="2439" t="s">
        <v>557</v>
      </c>
      <c r="C630" s="2440"/>
      <c r="D630" s="2440"/>
      <c r="E630" s="2440"/>
      <c r="F630" s="2440"/>
      <c r="G630" s="2441"/>
      <c r="H630" s="441"/>
    </row>
    <row r="631" spans="2:9">
      <c r="B631" s="468"/>
      <c r="C631" s="1739"/>
      <c r="D631" s="1983"/>
      <c r="E631" s="1925"/>
      <c r="F631" s="459"/>
      <c r="G631" s="1912"/>
      <c r="H631" s="441"/>
      <c r="I631" s="378"/>
    </row>
    <row r="632" spans="2:9" ht="18">
      <c r="B632" s="1854"/>
      <c r="C632" s="1855"/>
      <c r="D632" s="1995"/>
      <c r="E632" s="1949"/>
      <c r="F632" s="1950"/>
      <c r="G632" s="1951"/>
      <c r="H632" s="441"/>
    </row>
    <row r="633" spans="2:9" ht="15.75">
      <c r="B633" s="2461" t="s">
        <v>558</v>
      </c>
      <c r="C633" s="2461"/>
      <c r="D633" s="2461"/>
      <c r="E633" s="2461"/>
      <c r="F633" s="2461"/>
      <c r="G633" s="2461"/>
      <c r="H633" s="441"/>
    </row>
    <row r="634" spans="2:9" ht="18">
      <c r="B634" s="1854"/>
      <c r="C634" s="1855"/>
      <c r="D634" s="1995"/>
      <c r="E634" s="1949"/>
      <c r="F634" s="1950"/>
      <c r="G634" s="1951"/>
      <c r="H634" s="441"/>
    </row>
    <row r="635" spans="2:9">
      <c r="B635" s="540" t="s">
        <v>50</v>
      </c>
      <c r="C635" s="1759" t="s">
        <v>559</v>
      </c>
      <c r="D635" s="1996" t="s">
        <v>560</v>
      </c>
      <c r="E635" s="1952" t="s">
        <v>561</v>
      </c>
      <c r="F635" s="1953" t="s">
        <v>562</v>
      </c>
      <c r="G635" s="1954" t="s">
        <v>563</v>
      </c>
      <c r="H635" s="441"/>
    </row>
    <row r="636" spans="2:9" ht="14.25">
      <c r="B636" s="1857"/>
      <c r="C636" s="1858"/>
      <c r="D636" s="1997"/>
      <c r="E636" s="1955"/>
      <c r="F636" s="1956"/>
      <c r="G636" s="1957"/>
      <c r="H636" s="441"/>
    </row>
    <row r="637" spans="2:9" ht="29.25">
      <c r="B637" s="1859" t="s">
        <v>564</v>
      </c>
      <c r="C637" s="1860" t="s">
        <v>565</v>
      </c>
      <c r="D637" s="1958"/>
      <c r="E637" s="1958"/>
      <c r="F637" s="1959"/>
      <c r="G637" s="1959"/>
      <c r="H637" s="441"/>
    </row>
    <row r="638" spans="2:9" ht="114">
      <c r="B638" s="1859"/>
      <c r="C638" s="1860" t="s">
        <v>566</v>
      </c>
      <c r="D638" s="1960" t="s">
        <v>60</v>
      </c>
      <c r="E638" s="1960">
        <v>1</v>
      </c>
      <c r="F638" s="1904">
        <v>0</v>
      </c>
      <c r="G638" s="1905">
        <f>E638*F638</f>
        <v>0</v>
      </c>
      <c r="H638" s="441"/>
    </row>
    <row r="639" spans="2:9" ht="14.25">
      <c r="B639" s="1859"/>
      <c r="C639" s="1860"/>
      <c r="D639" s="1960"/>
      <c r="E639" s="1960"/>
      <c r="F639" s="1867"/>
      <c r="G639" s="1868" t="str">
        <f t="shared" ref="G639:G649" si="79">IF(F639=0," ",E639*F639)</f>
        <v xml:space="preserve"> </v>
      </c>
      <c r="H639" s="441"/>
    </row>
    <row r="640" spans="2:9" ht="14.25">
      <c r="B640" s="1859"/>
      <c r="C640" s="1861" t="s">
        <v>567</v>
      </c>
      <c r="D640" s="1960"/>
      <c r="E640" s="1960"/>
      <c r="F640" s="1867"/>
      <c r="G640" s="1868" t="str">
        <f t="shared" si="79"/>
        <v xml:space="preserve"> </v>
      </c>
      <c r="H640" s="441"/>
    </row>
    <row r="641" spans="2:8" ht="85.5">
      <c r="B641" s="1859" t="s">
        <v>568</v>
      </c>
      <c r="C641" s="1860" t="s">
        <v>569</v>
      </c>
      <c r="D641" s="1869" t="s">
        <v>66</v>
      </c>
      <c r="E641" s="1869">
        <v>1</v>
      </c>
      <c r="F641" s="1904">
        <v>0</v>
      </c>
      <c r="G641" s="1905">
        <f t="shared" ref="G641:G648" si="80">E641*F641</f>
        <v>0</v>
      </c>
      <c r="H641" s="441"/>
    </row>
    <row r="642" spans="2:8" ht="12.75" customHeight="1">
      <c r="B642" s="1862" t="s">
        <v>568</v>
      </c>
      <c r="C642" s="1863" t="s">
        <v>570</v>
      </c>
      <c r="D642" s="1869" t="s">
        <v>66</v>
      </c>
      <c r="E642" s="1866">
        <v>1</v>
      </c>
      <c r="F642" s="1904">
        <v>0</v>
      </c>
      <c r="G642" s="1905">
        <f t="shared" si="80"/>
        <v>0</v>
      </c>
      <c r="H642" s="441"/>
    </row>
    <row r="643" spans="2:8" ht="28.5">
      <c r="B643" s="1862" t="s">
        <v>568</v>
      </c>
      <c r="C643" s="1860" t="s">
        <v>571</v>
      </c>
      <c r="D643" s="1869" t="s">
        <v>66</v>
      </c>
      <c r="E643" s="1866">
        <v>1</v>
      </c>
      <c r="F643" s="1904">
        <v>0</v>
      </c>
      <c r="G643" s="1905">
        <f t="shared" si="80"/>
        <v>0</v>
      </c>
      <c r="H643" s="441"/>
    </row>
    <row r="644" spans="2:8" ht="57">
      <c r="B644" s="1862" t="s">
        <v>568</v>
      </c>
      <c r="C644" s="1863" t="s">
        <v>572</v>
      </c>
      <c r="D644" s="1869" t="s">
        <v>66</v>
      </c>
      <c r="E644" s="1866">
        <v>1</v>
      </c>
      <c r="F644" s="1904">
        <v>0</v>
      </c>
      <c r="G644" s="1905">
        <f t="shared" si="80"/>
        <v>0</v>
      </c>
      <c r="H644" s="441"/>
    </row>
    <row r="645" spans="2:8" ht="85.5">
      <c r="B645" s="1859" t="s">
        <v>568</v>
      </c>
      <c r="C645" s="1860" t="s">
        <v>573</v>
      </c>
      <c r="D645" s="1869" t="s">
        <v>66</v>
      </c>
      <c r="E645" s="1869">
        <v>1</v>
      </c>
      <c r="F645" s="1904">
        <v>0</v>
      </c>
      <c r="G645" s="1905">
        <f t="shared" si="80"/>
        <v>0</v>
      </c>
      <c r="H645" s="441"/>
    </row>
    <row r="646" spans="2:8" ht="71.25">
      <c r="B646" s="1864" t="s">
        <v>568</v>
      </c>
      <c r="C646" s="1863" t="s">
        <v>574</v>
      </c>
      <c r="D646" s="1869" t="s">
        <v>66</v>
      </c>
      <c r="E646" s="1866">
        <v>1</v>
      </c>
      <c r="F646" s="1904">
        <v>0</v>
      </c>
      <c r="G646" s="1905">
        <f t="shared" si="80"/>
        <v>0</v>
      </c>
      <c r="H646" s="441"/>
    </row>
    <row r="647" spans="2:8" ht="42.75">
      <c r="B647" s="1864" t="s">
        <v>568</v>
      </c>
      <c r="C647" s="1863" t="s">
        <v>575</v>
      </c>
      <c r="D647" s="1869" t="s">
        <v>66</v>
      </c>
      <c r="E647" s="1866">
        <v>1</v>
      </c>
      <c r="F647" s="1904">
        <v>0</v>
      </c>
      <c r="G647" s="1905">
        <f t="shared" si="80"/>
        <v>0</v>
      </c>
      <c r="H647" s="441"/>
    </row>
    <row r="648" spans="2:8" ht="42.75">
      <c r="B648" s="1864" t="s">
        <v>568</v>
      </c>
      <c r="C648" s="1863" t="s">
        <v>576</v>
      </c>
      <c r="D648" s="1869" t="s">
        <v>66</v>
      </c>
      <c r="E648" s="1866">
        <v>1</v>
      </c>
      <c r="F648" s="1904">
        <v>0</v>
      </c>
      <c r="G648" s="1905">
        <f t="shared" si="80"/>
        <v>0</v>
      </c>
      <c r="H648" s="441"/>
    </row>
    <row r="649" spans="2:8" ht="14.25">
      <c r="B649" s="1857"/>
      <c r="C649" s="1858"/>
      <c r="D649" s="1997"/>
      <c r="E649" s="1955"/>
      <c r="F649" s="1961"/>
      <c r="G649" s="1868" t="str">
        <f t="shared" si="79"/>
        <v xml:space="preserve"> </v>
      </c>
      <c r="H649" s="441"/>
    </row>
    <row r="650" spans="2:8" s="546" customFormat="1" ht="168">
      <c r="B650" s="1865" t="s">
        <v>568</v>
      </c>
      <c r="C650" s="1779" t="s">
        <v>577</v>
      </c>
      <c r="D650" s="1866" t="s">
        <v>252</v>
      </c>
      <c r="E650" s="1866">
        <v>1</v>
      </c>
      <c r="F650" s="1904">
        <v>0</v>
      </c>
      <c r="G650" s="1905">
        <f t="shared" ref="G650:G713" si="81">E650*F650</f>
        <v>0</v>
      </c>
      <c r="H650" s="543"/>
    </row>
    <row r="651" spans="2:8" ht="12.75" customHeight="1">
      <c r="B651" s="1862" t="s">
        <v>568</v>
      </c>
      <c r="C651" s="1863" t="s">
        <v>578</v>
      </c>
      <c r="D651" s="1869" t="s">
        <v>66</v>
      </c>
      <c r="E651" s="1866">
        <v>3</v>
      </c>
      <c r="F651" s="1904">
        <v>0</v>
      </c>
      <c r="G651" s="1905">
        <f t="shared" si="81"/>
        <v>0</v>
      </c>
      <c r="H651" s="441"/>
    </row>
    <row r="652" spans="2:8" ht="12.75" customHeight="1">
      <c r="B652" s="1862"/>
      <c r="C652" s="1863"/>
      <c r="D652" s="1869"/>
      <c r="E652" s="1866"/>
      <c r="F652" s="1904"/>
      <c r="G652" s="1905"/>
      <c r="H652" s="441"/>
    </row>
    <row r="653" spans="2:8" ht="42.75">
      <c r="B653" s="1862" t="s">
        <v>568</v>
      </c>
      <c r="C653" s="1863" t="s">
        <v>579</v>
      </c>
      <c r="D653" s="1869" t="s">
        <v>66</v>
      </c>
      <c r="E653" s="1866">
        <v>1</v>
      </c>
      <c r="F653" s="1904">
        <v>0</v>
      </c>
      <c r="G653" s="1905">
        <f t="shared" si="81"/>
        <v>0</v>
      </c>
      <c r="H653" s="441"/>
    </row>
    <row r="654" spans="2:8" ht="42.75">
      <c r="B654" s="1862" t="s">
        <v>568</v>
      </c>
      <c r="C654" s="1863" t="s">
        <v>580</v>
      </c>
      <c r="D654" s="1869" t="s">
        <v>66</v>
      </c>
      <c r="E654" s="1866">
        <v>1</v>
      </c>
      <c r="F654" s="1904">
        <v>0</v>
      </c>
      <c r="G654" s="1905">
        <f t="shared" si="81"/>
        <v>0</v>
      </c>
      <c r="H654" s="441"/>
    </row>
    <row r="655" spans="2:8" ht="42.75">
      <c r="B655" s="1862" t="s">
        <v>568</v>
      </c>
      <c r="C655" s="1863" t="s">
        <v>581</v>
      </c>
      <c r="D655" s="1869" t="s">
        <v>66</v>
      </c>
      <c r="E655" s="1866">
        <v>1</v>
      </c>
      <c r="F655" s="1904">
        <v>0</v>
      </c>
      <c r="G655" s="1905">
        <f t="shared" si="81"/>
        <v>0</v>
      </c>
      <c r="H655" s="441"/>
    </row>
    <row r="656" spans="2:8" ht="71.25">
      <c r="B656" s="1862" t="s">
        <v>568</v>
      </c>
      <c r="C656" s="1863" t="s">
        <v>582</v>
      </c>
      <c r="D656" s="1869" t="s">
        <v>66</v>
      </c>
      <c r="E656" s="1866">
        <v>1</v>
      </c>
      <c r="F656" s="1904">
        <v>0</v>
      </c>
      <c r="G656" s="1905">
        <f t="shared" si="81"/>
        <v>0</v>
      </c>
      <c r="H656" s="441"/>
    </row>
    <row r="657" spans="2:9" ht="42.75">
      <c r="B657" s="1862" t="s">
        <v>568</v>
      </c>
      <c r="C657" s="1863" t="s">
        <v>583</v>
      </c>
      <c r="D657" s="1869" t="s">
        <v>66</v>
      </c>
      <c r="E657" s="1866">
        <v>1</v>
      </c>
      <c r="F657" s="1904">
        <v>0</v>
      </c>
      <c r="G657" s="1905">
        <f t="shared" si="81"/>
        <v>0</v>
      </c>
      <c r="H657" s="441"/>
      <c r="I657" s="439"/>
    </row>
    <row r="658" spans="2:9" ht="42.75">
      <c r="B658" s="1862" t="s">
        <v>568</v>
      </c>
      <c r="C658" s="1863" t="s">
        <v>584</v>
      </c>
      <c r="D658" s="1869" t="s">
        <v>66</v>
      </c>
      <c r="E658" s="1866">
        <v>1</v>
      </c>
      <c r="F658" s="1904">
        <v>0</v>
      </c>
      <c r="G658" s="1905">
        <f t="shared" si="81"/>
        <v>0</v>
      </c>
      <c r="H658" s="441"/>
      <c r="I658" s="439"/>
    </row>
    <row r="659" spans="2:9" ht="28.5">
      <c r="B659" s="1862" t="s">
        <v>568</v>
      </c>
      <c r="C659" s="1863" t="s">
        <v>585</v>
      </c>
      <c r="D659" s="1869" t="s">
        <v>66</v>
      </c>
      <c r="E659" s="1866">
        <v>1</v>
      </c>
      <c r="F659" s="1904">
        <v>0</v>
      </c>
      <c r="G659" s="1905">
        <f t="shared" si="81"/>
        <v>0</v>
      </c>
      <c r="H659" s="441"/>
      <c r="I659" s="439"/>
    </row>
    <row r="660" spans="2:9" ht="28.5">
      <c r="B660" s="1862" t="s">
        <v>568</v>
      </c>
      <c r="C660" s="1863" t="s">
        <v>586</v>
      </c>
      <c r="D660" s="1869" t="s">
        <v>66</v>
      </c>
      <c r="E660" s="1866">
        <v>1</v>
      </c>
      <c r="F660" s="1904">
        <v>0</v>
      </c>
      <c r="G660" s="1905">
        <f t="shared" si="81"/>
        <v>0</v>
      </c>
      <c r="H660" s="441"/>
      <c r="I660" s="439"/>
    </row>
    <row r="661" spans="2:9" ht="28.5">
      <c r="B661" s="1862" t="s">
        <v>568</v>
      </c>
      <c r="C661" s="1863" t="s">
        <v>587</v>
      </c>
      <c r="D661" s="1869" t="s">
        <v>66</v>
      </c>
      <c r="E661" s="1866">
        <v>1</v>
      </c>
      <c r="F661" s="1904">
        <v>0</v>
      </c>
      <c r="G661" s="1905">
        <f t="shared" si="81"/>
        <v>0</v>
      </c>
      <c r="H661" s="441"/>
      <c r="I661" s="439"/>
    </row>
    <row r="662" spans="2:9" ht="28.5">
      <c r="B662" s="1862" t="s">
        <v>568</v>
      </c>
      <c r="C662" s="1863" t="s">
        <v>588</v>
      </c>
      <c r="D662" s="1869" t="s">
        <v>66</v>
      </c>
      <c r="E662" s="1866">
        <v>1</v>
      </c>
      <c r="F662" s="1904">
        <v>0</v>
      </c>
      <c r="G662" s="1905">
        <f t="shared" si="81"/>
        <v>0</v>
      </c>
      <c r="H662" s="441"/>
      <c r="I662" s="439"/>
    </row>
    <row r="663" spans="2:9" ht="42.75">
      <c r="B663" s="1862" t="s">
        <v>568</v>
      </c>
      <c r="C663" s="1863" t="s">
        <v>589</v>
      </c>
      <c r="D663" s="1869" t="s">
        <v>66</v>
      </c>
      <c r="E663" s="1866">
        <v>1</v>
      </c>
      <c r="F663" s="1904">
        <v>0</v>
      </c>
      <c r="G663" s="1905">
        <f t="shared" si="81"/>
        <v>0</v>
      </c>
      <c r="H663" s="441"/>
      <c r="I663" s="439"/>
    </row>
    <row r="664" spans="2:9" ht="42.75">
      <c r="B664" s="1862" t="s">
        <v>568</v>
      </c>
      <c r="C664" s="1863" t="s">
        <v>590</v>
      </c>
      <c r="D664" s="1869" t="s">
        <v>66</v>
      </c>
      <c r="E664" s="1866">
        <v>1</v>
      </c>
      <c r="F664" s="1904">
        <v>0</v>
      </c>
      <c r="G664" s="1905">
        <f t="shared" si="81"/>
        <v>0</v>
      </c>
      <c r="H664" s="441"/>
      <c r="I664" s="439"/>
    </row>
    <row r="665" spans="2:9" ht="28.5">
      <c r="B665" s="1862" t="s">
        <v>568</v>
      </c>
      <c r="C665" s="1863" t="s">
        <v>591</v>
      </c>
      <c r="D665" s="1869" t="s">
        <v>66</v>
      </c>
      <c r="E665" s="1866">
        <v>1</v>
      </c>
      <c r="F665" s="1904">
        <v>0</v>
      </c>
      <c r="G665" s="1905">
        <f t="shared" si="81"/>
        <v>0</v>
      </c>
      <c r="H665" s="441"/>
      <c r="I665" s="439"/>
    </row>
    <row r="666" spans="2:9" ht="14.25">
      <c r="B666" s="1857"/>
      <c r="C666" s="1858"/>
      <c r="D666" s="1997"/>
      <c r="E666" s="1955"/>
      <c r="F666" s="1904">
        <v>0</v>
      </c>
      <c r="G666" s="1905">
        <f t="shared" si="81"/>
        <v>0</v>
      </c>
      <c r="H666" s="441"/>
      <c r="I666" s="439"/>
    </row>
    <row r="667" spans="2:9" ht="28.5">
      <c r="B667" s="1862" t="s">
        <v>568</v>
      </c>
      <c r="C667" s="1863" t="s">
        <v>592</v>
      </c>
      <c r="D667" s="1869" t="s">
        <v>66</v>
      </c>
      <c r="E667" s="1866">
        <v>1</v>
      </c>
      <c r="F667" s="1904">
        <v>0</v>
      </c>
      <c r="G667" s="1905">
        <f t="shared" si="81"/>
        <v>0</v>
      </c>
      <c r="H667" s="441"/>
      <c r="I667" s="439"/>
    </row>
    <row r="668" spans="2:9" ht="42.75">
      <c r="B668" s="1862" t="s">
        <v>568</v>
      </c>
      <c r="C668" s="1863" t="s">
        <v>593</v>
      </c>
      <c r="D668" s="1869" t="s">
        <v>66</v>
      </c>
      <c r="E668" s="1866">
        <v>1</v>
      </c>
      <c r="F668" s="1904">
        <v>0</v>
      </c>
      <c r="G668" s="1905">
        <f t="shared" si="81"/>
        <v>0</v>
      </c>
      <c r="H668" s="441"/>
      <c r="I668" s="439"/>
    </row>
    <row r="669" spans="2:9" ht="28.5">
      <c r="B669" s="1862" t="s">
        <v>568</v>
      </c>
      <c r="C669" s="1863" t="s">
        <v>594</v>
      </c>
      <c r="D669" s="1869" t="s">
        <v>66</v>
      </c>
      <c r="E669" s="1866">
        <v>1</v>
      </c>
      <c r="F669" s="1904">
        <v>0</v>
      </c>
      <c r="G669" s="1905">
        <f t="shared" si="81"/>
        <v>0</v>
      </c>
      <c r="H669" s="441"/>
      <c r="I669" s="542"/>
    </row>
    <row r="670" spans="2:9" ht="42.75">
      <c r="B670" s="1864" t="s">
        <v>568</v>
      </c>
      <c r="C670" s="1863" t="s">
        <v>595</v>
      </c>
      <c r="D670" s="1869" t="s">
        <v>66</v>
      </c>
      <c r="E670" s="1866">
        <v>5</v>
      </c>
      <c r="F670" s="1904">
        <v>0</v>
      </c>
      <c r="G670" s="1905">
        <f t="shared" si="81"/>
        <v>0</v>
      </c>
      <c r="H670" s="441"/>
      <c r="I670" s="542"/>
    </row>
    <row r="671" spans="2:9" ht="28.5">
      <c r="B671" s="1864" t="s">
        <v>568</v>
      </c>
      <c r="C671" s="1863" t="s">
        <v>596</v>
      </c>
      <c r="D671" s="1869" t="s">
        <v>66</v>
      </c>
      <c r="E671" s="1866">
        <v>4</v>
      </c>
      <c r="F671" s="1904">
        <v>0</v>
      </c>
      <c r="G671" s="1905">
        <f t="shared" si="81"/>
        <v>0</v>
      </c>
      <c r="H671" s="441"/>
      <c r="I671" s="439"/>
    </row>
    <row r="672" spans="2:9" ht="28.5">
      <c r="B672" s="1864" t="s">
        <v>568</v>
      </c>
      <c r="C672" s="1863" t="s">
        <v>597</v>
      </c>
      <c r="D672" s="1869" t="s">
        <v>66</v>
      </c>
      <c r="E672" s="1866">
        <v>7</v>
      </c>
      <c r="F672" s="1904">
        <v>0</v>
      </c>
      <c r="G672" s="1905">
        <f t="shared" si="81"/>
        <v>0</v>
      </c>
      <c r="H672" s="441"/>
      <c r="I672" s="439"/>
    </row>
    <row r="673" spans="2:12" ht="28.5">
      <c r="B673" s="1862" t="s">
        <v>568</v>
      </c>
      <c r="C673" s="1863" t="s">
        <v>598</v>
      </c>
      <c r="D673" s="1869" t="s">
        <v>66</v>
      </c>
      <c r="E673" s="1866">
        <v>16</v>
      </c>
      <c r="F673" s="1904">
        <v>0</v>
      </c>
      <c r="G673" s="1905">
        <f t="shared" si="81"/>
        <v>0</v>
      </c>
      <c r="H673" s="441"/>
      <c r="I673" s="439"/>
    </row>
    <row r="674" spans="2:12" ht="28.5">
      <c r="B674" s="1862" t="s">
        <v>568</v>
      </c>
      <c r="C674" s="1863" t="s">
        <v>599</v>
      </c>
      <c r="D674" s="1869" t="s">
        <v>66</v>
      </c>
      <c r="E674" s="1866">
        <v>8</v>
      </c>
      <c r="F674" s="1904">
        <v>0</v>
      </c>
      <c r="G674" s="1905">
        <f t="shared" si="81"/>
        <v>0</v>
      </c>
      <c r="H674" s="441"/>
      <c r="I674" s="439"/>
    </row>
    <row r="675" spans="2:12" ht="42.75">
      <c r="B675" s="1862" t="s">
        <v>568</v>
      </c>
      <c r="C675" s="1863" t="s">
        <v>600</v>
      </c>
      <c r="D675" s="1869" t="s">
        <v>66</v>
      </c>
      <c r="E675" s="1866">
        <v>3</v>
      </c>
      <c r="F675" s="1904">
        <v>0</v>
      </c>
      <c r="G675" s="1905">
        <f t="shared" si="81"/>
        <v>0</v>
      </c>
      <c r="H675" s="441"/>
      <c r="I675" s="439"/>
    </row>
    <row r="676" spans="2:12" ht="42.75">
      <c r="B676" s="1862" t="s">
        <v>568</v>
      </c>
      <c r="C676" s="1863" t="s">
        <v>601</v>
      </c>
      <c r="D676" s="1869" t="s">
        <v>66</v>
      </c>
      <c r="E676" s="1866">
        <v>1</v>
      </c>
      <c r="F676" s="1904">
        <v>0</v>
      </c>
      <c r="G676" s="1905">
        <f t="shared" si="81"/>
        <v>0</v>
      </c>
      <c r="H676" s="441"/>
      <c r="I676" s="439"/>
      <c r="J676" s="439"/>
    </row>
    <row r="677" spans="2:12" ht="42.75">
      <c r="B677" s="1862" t="s">
        <v>568</v>
      </c>
      <c r="C677" s="1863" t="s">
        <v>602</v>
      </c>
      <c r="D677" s="1869" t="s">
        <v>66</v>
      </c>
      <c r="E677" s="1866">
        <v>4</v>
      </c>
      <c r="F677" s="1904">
        <v>0</v>
      </c>
      <c r="G677" s="1905">
        <f t="shared" si="81"/>
        <v>0</v>
      </c>
      <c r="H677" s="441"/>
      <c r="I677" s="439"/>
      <c r="J677" s="439"/>
    </row>
    <row r="678" spans="2:12" ht="42.75">
      <c r="B678" s="1862" t="s">
        <v>568</v>
      </c>
      <c r="C678" s="1863" t="s">
        <v>603</v>
      </c>
      <c r="D678" s="1869" t="s">
        <v>66</v>
      </c>
      <c r="E678" s="1866">
        <v>1</v>
      </c>
      <c r="F678" s="1904">
        <v>0</v>
      </c>
      <c r="G678" s="1905">
        <f t="shared" si="81"/>
        <v>0</v>
      </c>
      <c r="H678" s="441"/>
      <c r="I678" s="439"/>
      <c r="J678" s="439"/>
    </row>
    <row r="679" spans="2:12" ht="42.75">
      <c r="B679" s="1862" t="s">
        <v>568</v>
      </c>
      <c r="C679" s="1863" t="s">
        <v>604</v>
      </c>
      <c r="D679" s="1869" t="s">
        <v>66</v>
      </c>
      <c r="E679" s="1866">
        <v>1</v>
      </c>
      <c r="F679" s="1904">
        <v>0</v>
      </c>
      <c r="G679" s="1905">
        <f t="shared" si="81"/>
        <v>0</v>
      </c>
      <c r="H679" s="441"/>
      <c r="I679" s="439"/>
      <c r="J679" s="439"/>
    </row>
    <row r="680" spans="2:12" ht="42.75">
      <c r="B680" s="1862" t="s">
        <v>568</v>
      </c>
      <c r="C680" s="1863" t="s">
        <v>605</v>
      </c>
      <c r="D680" s="1869" t="s">
        <v>66</v>
      </c>
      <c r="E680" s="1866">
        <v>1</v>
      </c>
      <c r="F680" s="1904">
        <v>0</v>
      </c>
      <c r="G680" s="1905">
        <f t="shared" si="81"/>
        <v>0</v>
      </c>
      <c r="H680" s="441"/>
      <c r="I680" s="439"/>
      <c r="J680" s="439"/>
    </row>
    <row r="681" spans="2:12" ht="57">
      <c r="B681" s="1862" t="s">
        <v>568</v>
      </c>
      <c r="C681" s="1863" t="s">
        <v>606</v>
      </c>
      <c r="D681" s="1869" t="s">
        <v>66</v>
      </c>
      <c r="E681" s="1866">
        <v>3</v>
      </c>
      <c r="F681" s="1904">
        <v>0</v>
      </c>
      <c r="G681" s="1905">
        <f t="shared" si="81"/>
        <v>0</v>
      </c>
      <c r="H681" s="441"/>
      <c r="I681" s="439"/>
      <c r="J681" s="439"/>
    </row>
    <row r="682" spans="2:12" ht="57">
      <c r="B682" s="1862" t="s">
        <v>568</v>
      </c>
      <c r="C682" s="1863" t="s">
        <v>607</v>
      </c>
      <c r="D682" s="1869" t="s">
        <v>66</v>
      </c>
      <c r="E682" s="1866">
        <v>1</v>
      </c>
      <c r="F682" s="1904">
        <v>0</v>
      </c>
      <c r="G682" s="1905">
        <f t="shared" si="81"/>
        <v>0</v>
      </c>
      <c r="H682" s="441"/>
      <c r="I682" s="439"/>
      <c r="J682" s="439"/>
      <c r="K682" s="439"/>
      <c r="L682" s="439"/>
    </row>
    <row r="683" spans="2:12" s="439" customFormat="1" ht="42.75">
      <c r="B683" s="1862" t="s">
        <v>568</v>
      </c>
      <c r="C683" s="1863" t="s">
        <v>608</v>
      </c>
      <c r="D683" s="1869" t="s">
        <v>66</v>
      </c>
      <c r="E683" s="1866">
        <v>1</v>
      </c>
      <c r="F683" s="1904">
        <v>0</v>
      </c>
      <c r="G683" s="1905">
        <f t="shared" si="81"/>
        <v>0</v>
      </c>
      <c r="H683" s="441"/>
    </row>
    <row r="684" spans="2:12" s="439" customFormat="1" ht="42.75">
      <c r="B684" s="1862" t="s">
        <v>568</v>
      </c>
      <c r="C684" s="1863" t="s">
        <v>609</v>
      </c>
      <c r="D684" s="1869" t="s">
        <v>66</v>
      </c>
      <c r="E684" s="1866">
        <v>2</v>
      </c>
      <c r="F684" s="1904">
        <v>0</v>
      </c>
      <c r="G684" s="1905">
        <f t="shared" si="81"/>
        <v>0</v>
      </c>
      <c r="H684" s="441"/>
    </row>
    <row r="685" spans="2:12" s="439" customFormat="1" ht="42.75">
      <c r="B685" s="1862" t="s">
        <v>568</v>
      </c>
      <c r="C685" s="1863" t="s">
        <v>610</v>
      </c>
      <c r="D685" s="1869" t="s">
        <v>66</v>
      </c>
      <c r="E685" s="1866">
        <v>1</v>
      </c>
      <c r="F685" s="1904">
        <v>0</v>
      </c>
      <c r="G685" s="1905">
        <f t="shared" si="81"/>
        <v>0</v>
      </c>
      <c r="H685" s="441"/>
    </row>
    <row r="686" spans="2:12" s="439" customFormat="1" ht="57">
      <c r="B686" s="1862" t="s">
        <v>568</v>
      </c>
      <c r="C686" s="1863" t="s">
        <v>611</v>
      </c>
      <c r="D686" s="1869" t="s">
        <v>66</v>
      </c>
      <c r="E686" s="1866">
        <v>1</v>
      </c>
      <c r="F686" s="1904">
        <v>0</v>
      </c>
      <c r="G686" s="1905">
        <f t="shared" si="81"/>
        <v>0</v>
      </c>
      <c r="H686" s="441"/>
    </row>
    <row r="687" spans="2:12" s="439" customFormat="1" ht="42.75">
      <c r="B687" s="1862" t="s">
        <v>568</v>
      </c>
      <c r="C687" s="1863" t="s">
        <v>612</v>
      </c>
      <c r="D687" s="1869" t="s">
        <v>66</v>
      </c>
      <c r="E687" s="1866">
        <v>3</v>
      </c>
      <c r="F687" s="1904">
        <v>0</v>
      </c>
      <c r="G687" s="1905">
        <f t="shared" si="81"/>
        <v>0</v>
      </c>
      <c r="H687" s="441"/>
    </row>
    <row r="688" spans="2:12" s="439" customFormat="1" ht="14.25">
      <c r="B688" s="1857"/>
      <c r="C688" s="1858"/>
      <c r="D688" s="1997"/>
      <c r="E688" s="1955"/>
      <c r="F688" s="1904">
        <v>0</v>
      </c>
      <c r="G688" s="1905">
        <f t="shared" si="81"/>
        <v>0</v>
      </c>
      <c r="H688" s="441"/>
      <c r="J688" s="542"/>
    </row>
    <row r="689" spans="2:12" s="439" customFormat="1" ht="42.75">
      <c r="B689" s="1862" t="s">
        <v>568</v>
      </c>
      <c r="C689" s="1863" t="s">
        <v>613</v>
      </c>
      <c r="D689" s="1869" t="s">
        <v>66</v>
      </c>
      <c r="E689" s="1866">
        <v>1</v>
      </c>
      <c r="F689" s="1904">
        <v>0</v>
      </c>
      <c r="G689" s="1905">
        <f t="shared" si="81"/>
        <v>0</v>
      </c>
      <c r="H689" s="441"/>
      <c r="J689" s="542"/>
    </row>
    <row r="690" spans="2:12" s="439" customFormat="1" ht="42.75">
      <c r="B690" s="1862" t="s">
        <v>568</v>
      </c>
      <c r="C690" s="1863" t="s">
        <v>614</v>
      </c>
      <c r="D690" s="1869" t="s">
        <v>66</v>
      </c>
      <c r="E690" s="1866">
        <v>12</v>
      </c>
      <c r="F690" s="1904">
        <v>0</v>
      </c>
      <c r="G690" s="1905">
        <f t="shared" si="81"/>
        <v>0</v>
      </c>
      <c r="H690" s="441"/>
    </row>
    <row r="691" spans="2:12" s="439" customFormat="1" ht="42.75">
      <c r="B691" s="1862" t="s">
        <v>568</v>
      </c>
      <c r="C691" s="1863" t="s">
        <v>615</v>
      </c>
      <c r="D691" s="1869" t="s">
        <v>66</v>
      </c>
      <c r="E691" s="1866">
        <v>18</v>
      </c>
      <c r="F691" s="1904">
        <v>0</v>
      </c>
      <c r="G691" s="1905">
        <f t="shared" si="81"/>
        <v>0</v>
      </c>
      <c r="H691" s="441"/>
    </row>
    <row r="692" spans="2:12" s="439" customFormat="1" ht="42.75">
      <c r="B692" s="1862" t="s">
        <v>568</v>
      </c>
      <c r="C692" s="1863" t="s">
        <v>616</v>
      </c>
      <c r="D692" s="1869" t="s">
        <v>66</v>
      </c>
      <c r="E692" s="1866">
        <v>2</v>
      </c>
      <c r="F692" s="1904">
        <v>0</v>
      </c>
      <c r="G692" s="1905">
        <f t="shared" si="81"/>
        <v>0</v>
      </c>
      <c r="H692" s="441"/>
    </row>
    <row r="693" spans="2:12" s="439" customFormat="1" ht="42.75">
      <c r="B693" s="1862" t="s">
        <v>568</v>
      </c>
      <c r="C693" s="1863" t="s">
        <v>617</v>
      </c>
      <c r="D693" s="1869" t="s">
        <v>66</v>
      </c>
      <c r="E693" s="1866">
        <v>4</v>
      </c>
      <c r="F693" s="1904">
        <v>0</v>
      </c>
      <c r="G693" s="1905">
        <f t="shared" si="81"/>
        <v>0</v>
      </c>
      <c r="H693" s="441"/>
    </row>
    <row r="694" spans="2:12" s="439" customFormat="1" ht="28.5">
      <c r="B694" s="1862" t="s">
        <v>568</v>
      </c>
      <c r="C694" s="1863" t="s">
        <v>618</v>
      </c>
      <c r="D694" s="1869" t="s">
        <v>66</v>
      </c>
      <c r="E694" s="1866">
        <v>1</v>
      </c>
      <c r="F694" s="1904">
        <v>0</v>
      </c>
      <c r="G694" s="1905">
        <f t="shared" si="81"/>
        <v>0</v>
      </c>
      <c r="H694" s="441"/>
      <c r="K694" s="542"/>
      <c r="L694" s="542"/>
    </row>
    <row r="695" spans="2:12" s="542" customFormat="1" ht="28.5">
      <c r="B695" s="1862" t="s">
        <v>568</v>
      </c>
      <c r="C695" s="1863" t="s">
        <v>619</v>
      </c>
      <c r="D695" s="1869" t="s">
        <v>66</v>
      </c>
      <c r="E695" s="1866">
        <v>10</v>
      </c>
      <c r="F695" s="1904">
        <v>0</v>
      </c>
      <c r="G695" s="1905">
        <f t="shared" si="81"/>
        <v>0</v>
      </c>
      <c r="H695" s="441"/>
      <c r="I695" s="439"/>
      <c r="J695" s="439"/>
    </row>
    <row r="696" spans="2:12" s="542" customFormat="1" ht="28.5">
      <c r="B696" s="1862" t="s">
        <v>568</v>
      </c>
      <c r="C696" s="1863" t="s">
        <v>620</v>
      </c>
      <c r="D696" s="1869" t="s">
        <v>66</v>
      </c>
      <c r="E696" s="1866">
        <v>5</v>
      </c>
      <c r="F696" s="1904">
        <v>0</v>
      </c>
      <c r="G696" s="1905">
        <f t="shared" si="81"/>
        <v>0</v>
      </c>
      <c r="H696" s="441"/>
      <c r="I696" s="439"/>
      <c r="J696" s="439"/>
      <c r="K696" s="439"/>
      <c r="L696" s="439"/>
    </row>
    <row r="697" spans="2:12" s="439" customFormat="1" ht="28.5">
      <c r="B697" s="1862" t="s">
        <v>568</v>
      </c>
      <c r="C697" s="1863" t="s">
        <v>621</v>
      </c>
      <c r="D697" s="1869" t="s">
        <v>66</v>
      </c>
      <c r="E697" s="1866">
        <v>1</v>
      </c>
      <c r="F697" s="1904">
        <v>0</v>
      </c>
      <c r="G697" s="1905">
        <f t="shared" si="81"/>
        <v>0</v>
      </c>
      <c r="H697" s="441"/>
    </row>
    <row r="698" spans="2:12" s="439" customFormat="1" ht="28.5">
      <c r="B698" s="1862" t="s">
        <v>568</v>
      </c>
      <c r="C698" s="1863" t="s">
        <v>622</v>
      </c>
      <c r="D698" s="1869" t="s">
        <v>66</v>
      </c>
      <c r="E698" s="1866">
        <v>1</v>
      </c>
      <c r="F698" s="1904">
        <v>0</v>
      </c>
      <c r="G698" s="1905">
        <f t="shared" si="81"/>
        <v>0</v>
      </c>
      <c r="H698" s="441"/>
    </row>
    <row r="699" spans="2:12" s="439" customFormat="1" ht="28.5">
      <c r="B699" s="1862" t="s">
        <v>568</v>
      </c>
      <c r="C699" s="1863" t="s">
        <v>623</v>
      </c>
      <c r="D699" s="1869" t="s">
        <v>66</v>
      </c>
      <c r="E699" s="1866">
        <v>1</v>
      </c>
      <c r="F699" s="1904">
        <v>0</v>
      </c>
      <c r="G699" s="1905">
        <f t="shared" si="81"/>
        <v>0</v>
      </c>
      <c r="H699" s="441"/>
    </row>
    <row r="700" spans="2:12" s="439" customFormat="1" ht="42.75">
      <c r="B700" s="1862" t="s">
        <v>568</v>
      </c>
      <c r="C700" s="1863" t="s">
        <v>624</v>
      </c>
      <c r="D700" s="1869" t="s">
        <v>66</v>
      </c>
      <c r="E700" s="1866">
        <v>1</v>
      </c>
      <c r="F700" s="1904">
        <v>0</v>
      </c>
      <c r="G700" s="1905">
        <f t="shared" si="81"/>
        <v>0</v>
      </c>
      <c r="H700" s="441"/>
    </row>
    <row r="701" spans="2:12" s="439" customFormat="1" ht="43.5" customHeight="1">
      <c r="B701" s="1862" t="s">
        <v>568</v>
      </c>
      <c r="C701" s="1863" t="s">
        <v>625</v>
      </c>
      <c r="D701" s="1869" t="s">
        <v>66</v>
      </c>
      <c r="E701" s="1866">
        <v>1</v>
      </c>
      <c r="F701" s="1904">
        <v>0</v>
      </c>
      <c r="G701" s="1905">
        <f t="shared" si="81"/>
        <v>0</v>
      </c>
      <c r="H701" s="441"/>
    </row>
    <row r="702" spans="2:12" s="439" customFormat="1" ht="28.5">
      <c r="B702" s="1862" t="s">
        <v>568</v>
      </c>
      <c r="C702" s="1863" t="s">
        <v>626</v>
      </c>
      <c r="D702" s="1869" t="s">
        <v>66</v>
      </c>
      <c r="E702" s="1866">
        <v>1</v>
      </c>
      <c r="F702" s="1904">
        <v>0</v>
      </c>
      <c r="G702" s="1905">
        <f t="shared" si="81"/>
        <v>0</v>
      </c>
      <c r="H702" s="441"/>
    </row>
    <row r="703" spans="2:12" s="439" customFormat="1" ht="28.5">
      <c r="B703" s="1862" t="s">
        <v>568</v>
      </c>
      <c r="C703" s="1863" t="s">
        <v>627</v>
      </c>
      <c r="D703" s="1869" t="s">
        <v>66</v>
      </c>
      <c r="E703" s="1866">
        <v>19</v>
      </c>
      <c r="F703" s="1904">
        <v>0</v>
      </c>
      <c r="G703" s="1905">
        <f t="shared" si="81"/>
        <v>0</v>
      </c>
      <c r="H703" s="441"/>
    </row>
    <row r="704" spans="2:12" s="439" customFormat="1" ht="42.75">
      <c r="B704" s="1870" t="s">
        <v>568</v>
      </c>
      <c r="C704" s="1860" t="s">
        <v>628</v>
      </c>
      <c r="D704" s="1869" t="s">
        <v>66</v>
      </c>
      <c r="E704" s="1869">
        <v>19</v>
      </c>
      <c r="F704" s="1904">
        <v>0</v>
      </c>
      <c r="G704" s="1905">
        <f t="shared" si="81"/>
        <v>0</v>
      </c>
      <c r="H704" s="441"/>
    </row>
    <row r="705" spans="2:8" s="439" customFormat="1" ht="42.75">
      <c r="B705" s="1859" t="s">
        <v>568</v>
      </c>
      <c r="C705" s="1860" t="s">
        <v>629</v>
      </c>
      <c r="D705" s="1869" t="s">
        <v>66</v>
      </c>
      <c r="E705" s="1869">
        <v>19</v>
      </c>
      <c r="F705" s="1904">
        <v>0</v>
      </c>
      <c r="G705" s="1905">
        <f t="shared" si="81"/>
        <v>0</v>
      </c>
      <c r="H705" s="441"/>
    </row>
    <row r="706" spans="2:8" s="439" customFormat="1" ht="42.75">
      <c r="B706" s="1859" t="s">
        <v>568</v>
      </c>
      <c r="C706" s="1860" t="s">
        <v>630</v>
      </c>
      <c r="D706" s="1869" t="s">
        <v>66</v>
      </c>
      <c r="E706" s="1869">
        <v>2</v>
      </c>
      <c r="F706" s="1904">
        <v>0</v>
      </c>
      <c r="G706" s="1905">
        <f t="shared" si="81"/>
        <v>0</v>
      </c>
      <c r="H706" s="441"/>
    </row>
    <row r="707" spans="2:8" s="439" customFormat="1" ht="42.75">
      <c r="B707" s="1870" t="s">
        <v>568</v>
      </c>
      <c r="C707" s="1860" t="s">
        <v>631</v>
      </c>
      <c r="D707" s="1869" t="s">
        <v>66</v>
      </c>
      <c r="E707" s="1869">
        <v>37</v>
      </c>
      <c r="F707" s="1904">
        <v>0</v>
      </c>
      <c r="G707" s="1905">
        <f t="shared" si="81"/>
        <v>0</v>
      </c>
      <c r="H707" s="441"/>
    </row>
    <row r="708" spans="2:8" s="439" customFormat="1" ht="42.75">
      <c r="B708" s="1859" t="s">
        <v>568</v>
      </c>
      <c r="C708" s="1860" t="s">
        <v>632</v>
      </c>
      <c r="D708" s="1869" t="s">
        <v>66</v>
      </c>
      <c r="E708" s="1869">
        <v>1</v>
      </c>
      <c r="F708" s="1904">
        <v>0</v>
      </c>
      <c r="G708" s="1905">
        <f t="shared" si="81"/>
        <v>0</v>
      </c>
      <c r="H708" s="441"/>
    </row>
    <row r="709" spans="2:8" s="439" customFormat="1" ht="28.5">
      <c r="B709" s="1871" t="s">
        <v>568</v>
      </c>
      <c r="C709" s="1860" t="s">
        <v>633</v>
      </c>
      <c r="D709" s="1869" t="s">
        <v>66</v>
      </c>
      <c r="E709" s="1869">
        <v>38</v>
      </c>
      <c r="F709" s="1904">
        <v>0</v>
      </c>
      <c r="G709" s="1905">
        <f t="shared" si="81"/>
        <v>0</v>
      </c>
      <c r="H709" s="441"/>
    </row>
    <row r="710" spans="2:8" s="439" customFormat="1" ht="28.5">
      <c r="B710" s="1871" t="s">
        <v>568</v>
      </c>
      <c r="C710" s="1860" t="s">
        <v>634</v>
      </c>
      <c r="D710" s="1869" t="s">
        <v>66</v>
      </c>
      <c r="E710" s="1869">
        <v>38</v>
      </c>
      <c r="F710" s="1904">
        <v>0</v>
      </c>
      <c r="G710" s="1905">
        <f t="shared" si="81"/>
        <v>0</v>
      </c>
      <c r="H710" s="441"/>
    </row>
    <row r="711" spans="2:8" s="439" customFormat="1" ht="168.75" customHeight="1">
      <c r="B711" s="1871"/>
      <c r="C711" s="1872" t="s">
        <v>635</v>
      </c>
      <c r="D711" s="1869" t="s">
        <v>252</v>
      </c>
      <c r="E711" s="1869">
        <v>1</v>
      </c>
      <c r="F711" s="1904">
        <v>0</v>
      </c>
      <c r="G711" s="1905">
        <f t="shared" si="81"/>
        <v>0</v>
      </c>
      <c r="H711" s="547"/>
    </row>
    <row r="712" spans="2:8" s="439" customFormat="1" ht="28.5">
      <c r="B712" s="1857"/>
      <c r="C712" s="1858" t="s">
        <v>636</v>
      </c>
      <c r="D712" s="1869" t="s">
        <v>252</v>
      </c>
      <c r="E712" s="1869">
        <v>1</v>
      </c>
      <c r="F712" s="1904">
        <v>0</v>
      </c>
      <c r="G712" s="1905">
        <f t="shared" si="81"/>
        <v>0</v>
      </c>
      <c r="H712" s="441"/>
    </row>
    <row r="713" spans="2:8" s="439" customFormat="1" ht="28.5">
      <c r="B713" s="1862" t="s">
        <v>568</v>
      </c>
      <c r="C713" s="1863" t="s">
        <v>637</v>
      </c>
      <c r="D713" s="1866" t="s">
        <v>66</v>
      </c>
      <c r="E713" s="1866">
        <v>37</v>
      </c>
      <c r="F713" s="1904">
        <v>0</v>
      </c>
      <c r="G713" s="1905">
        <f t="shared" si="81"/>
        <v>0</v>
      </c>
      <c r="H713" s="441"/>
    </row>
    <row r="714" spans="2:8" s="439" customFormat="1" ht="28.5">
      <c r="B714" s="1862" t="s">
        <v>568</v>
      </c>
      <c r="C714" s="1863" t="s">
        <v>638</v>
      </c>
      <c r="D714" s="1866" t="s">
        <v>66</v>
      </c>
      <c r="E714" s="1866">
        <v>1</v>
      </c>
      <c r="F714" s="1904">
        <v>0</v>
      </c>
      <c r="G714" s="1905">
        <f t="shared" ref="G714:G776" si="82">E714*F714</f>
        <v>0</v>
      </c>
      <c r="H714" s="441"/>
    </row>
    <row r="715" spans="2:8" s="439" customFormat="1" ht="42.75">
      <c r="B715" s="1870" t="s">
        <v>568</v>
      </c>
      <c r="C715" s="1860" t="s">
        <v>639</v>
      </c>
      <c r="D715" s="1869" t="s">
        <v>66</v>
      </c>
      <c r="E715" s="1869">
        <v>6</v>
      </c>
      <c r="F715" s="1904">
        <v>0</v>
      </c>
      <c r="G715" s="1905">
        <f t="shared" si="82"/>
        <v>0</v>
      </c>
      <c r="H715" s="441"/>
    </row>
    <row r="716" spans="2:8" s="439" customFormat="1" ht="14.25">
      <c r="B716" s="1862" t="s">
        <v>568</v>
      </c>
      <c r="C716" s="1863" t="s">
        <v>640</v>
      </c>
      <c r="D716" s="1866" t="s">
        <v>60</v>
      </c>
      <c r="E716" s="1866">
        <v>1</v>
      </c>
      <c r="F716" s="1904">
        <v>0</v>
      </c>
      <c r="G716" s="1905">
        <f t="shared" si="82"/>
        <v>0</v>
      </c>
      <c r="H716" s="441"/>
    </row>
    <row r="717" spans="2:8" s="439" customFormat="1" ht="28.5">
      <c r="B717" s="1862" t="s">
        <v>568</v>
      </c>
      <c r="C717" s="1863" t="s">
        <v>641</v>
      </c>
      <c r="D717" s="1866" t="s">
        <v>60</v>
      </c>
      <c r="E717" s="1866">
        <v>1</v>
      </c>
      <c r="F717" s="1904">
        <v>0</v>
      </c>
      <c r="G717" s="1905">
        <f t="shared" si="82"/>
        <v>0</v>
      </c>
      <c r="H717" s="441"/>
    </row>
    <row r="718" spans="2:8" s="439" customFormat="1" ht="57">
      <c r="B718" s="1862" t="s">
        <v>568</v>
      </c>
      <c r="C718" s="1863" t="s">
        <v>642</v>
      </c>
      <c r="D718" s="1866" t="s">
        <v>60</v>
      </c>
      <c r="E718" s="1866">
        <v>1</v>
      </c>
      <c r="F718" s="1904">
        <v>0</v>
      </c>
      <c r="G718" s="1905">
        <f t="shared" si="82"/>
        <v>0</v>
      </c>
      <c r="H718" s="441"/>
    </row>
    <row r="719" spans="2:8" s="439" customFormat="1" ht="71.25">
      <c r="B719" s="1862" t="s">
        <v>568</v>
      </c>
      <c r="C719" s="1863" t="s">
        <v>643</v>
      </c>
      <c r="D719" s="1866" t="s">
        <v>60</v>
      </c>
      <c r="E719" s="1866">
        <v>1</v>
      </c>
      <c r="F719" s="1904">
        <v>0</v>
      </c>
      <c r="G719" s="1905">
        <f t="shared" si="82"/>
        <v>0</v>
      </c>
      <c r="H719" s="441"/>
    </row>
    <row r="720" spans="2:8" s="439" customFormat="1" ht="14.25">
      <c r="B720" s="1862"/>
      <c r="C720" s="1863"/>
      <c r="D720" s="1874"/>
      <c r="E720" s="1874"/>
      <c r="F720" s="1904">
        <v>0</v>
      </c>
      <c r="G720" s="1905">
        <f t="shared" si="82"/>
        <v>0</v>
      </c>
      <c r="H720" s="441"/>
    </row>
    <row r="721" spans="2:8" s="439" customFormat="1" ht="57">
      <c r="B721" s="1862" t="s">
        <v>644</v>
      </c>
      <c r="C721" s="1863" t="s">
        <v>645</v>
      </c>
      <c r="D721" s="1874" t="s">
        <v>60</v>
      </c>
      <c r="E721" s="1874">
        <v>1</v>
      </c>
      <c r="F721" s="1904">
        <v>0</v>
      </c>
      <c r="G721" s="1905">
        <f t="shared" si="82"/>
        <v>0</v>
      </c>
      <c r="H721" s="441"/>
    </row>
    <row r="722" spans="2:8" s="439" customFormat="1" ht="42.75">
      <c r="B722" s="1862" t="s">
        <v>568</v>
      </c>
      <c r="C722" s="1863" t="s">
        <v>646</v>
      </c>
      <c r="D722" s="1874"/>
      <c r="E722" s="1874"/>
      <c r="F722" s="1904">
        <v>0</v>
      </c>
      <c r="G722" s="1905">
        <f t="shared" si="82"/>
        <v>0</v>
      </c>
      <c r="H722" s="441"/>
    </row>
    <row r="723" spans="2:8" s="439" customFormat="1" ht="14.25">
      <c r="B723" s="1862"/>
      <c r="C723" s="1863"/>
      <c r="D723" s="1874"/>
      <c r="E723" s="1874"/>
      <c r="F723" s="1904"/>
      <c r="G723" s="1905"/>
      <c r="H723" s="441"/>
    </row>
    <row r="724" spans="2:8" s="439" customFormat="1" ht="71.25">
      <c r="B724" s="1862" t="s">
        <v>647</v>
      </c>
      <c r="C724" s="1863" t="s">
        <v>648</v>
      </c>
      <c r="D724" s="1962"/>
      <c r="E724" s="1962"/>
      <c r="F724" s="1904"/>
      <c r="G724" s="1905"/>
      <c r="H724" s="441"/>
    </row>
    <row r="725" spans="2:8" s="545" customFormat="1" ht="189" customHeight="1">
      <c r="B725" s="1873"/>
      <c r="C725" s="2462" t="s">
        <v>649</v>
      </c>
      <c r="D725" s="1874" t="s">
        <v>60</v>
      </c>
      <c r="E725" s="1874">
        <v>1</v>
      </c>
      <c r="F725" s="1904">
        <v>0</v>
      </c>
      <c r="G725" s="1905">
        <f t="shared" si="82"/>
        <v>0</v>
      </c>
      <c r="H725" s="2459"/>
    </row>
    <row r="726" spans="2:8" s="439" customFormat="1" ht="15" hidden="1">
      <c r="B726" s="1875"/>
      <c r="C726" s="2462"/>
      <c r="D726" s="1874"/>
      <c r="E726" s="1874"/>
      <c r="F726" s="1904">
        <v>0</v>
      </c>
      <c r="G726" s="1905">
        <f t="shared" si="82"/>
        <v>0</v>
      </c>
      <c r="H726" s="2460"/>
    </row>
    <row r="727" spans="2:8" s="439" customFormat="1" ht="15" hidden="1">
      <c r="B727" s="1875"/>
      <c r="C727" s="2462"/>
      <c r="D727" s="1874"/>
      <c r="E727" s="1874"/>
      <c r="F727" s="1904">
        <v>0</v>
      </c>
      <c r="G727" s="1905">
        <f t="shared" si="82"/>
        <v>0</v>
      </c>
      <c r="H727" s="2460"/>
    </row>
    <row r="728" spans="2:8" s="439" customFormat="1" ht="15" hidden="1">
      <c r="B728" s="1875"/>
      <c r="C728" s="2462"/>
      <c r="D728" s="1874"/>
      <c r="E728" s="1874"/>
      <c r="F728" s="1904">
        <v>0</v>
      </c>
      <c r="G728" s="1905">
        <f t="shared" si="82"/>
        <v>0</v>
      </c>
      <c r="H728" s="2460"/>
    </row>
    <row r="729" spans="2:8" s="439" customFormat="1" ht="15" hidden="1">
      <c r="B729" s="1875"/>
      <c r="C729" s="2462"/>
      <c r="D729" s="1874"/>
      <c r="E729" s="1874"/>
      <c r="F729" s="1904">
        <v>0</v>
      </c>
      <c r="G729" s="1905">
        <f t="shared" si="82"/>
        <v>0</v>
      </c>
      <c r="H729" s="2460"/>
    </row>
    <row r="730" spans="2:8" s="439" customFormat="1" ht="39" hidden="1" customHeight="1" thickBot="1">
      <c r="B730" s="1875"/>
      <c r="C730" s="2462"/>
      <c r="D730" s="1874"/>
      <c r="E730" s="1874"/>
      <c r="F730" s="1904">
        <v>0</v>
      </c>
      <c r="G730" s="1905">
        <f t="shared" si="82"/>
        <v>0</v>
      </c>
      <c r="H730" s="2460"/>
    </row>
    <row r="731" spans="2:8" s="439" customFormat="1" ht="14.25">
      <c r="B731" s="1857"/>
      <c r="C731" s="1858"/>
      <c r="D731" s="1997"/>
      <c r="E731" s="1955"/>
      <c r="F731" s="1904"/>
      <c r="G731" s="1905"/>
      <c r="H731" s="441"/>
    </row>
    <row r="732" spans="2:8" s="439" customFormat="1" ht="30">
      <c r="B732" s="1862">
        <v>4</v>
      </c>
      <c r="C732" s="1876" t="s">
        <v>650</v>
      </c>
      <c r="D732" s="1962"/>
      <c r="E732" s="1962"/>
      <c r="F732" s="1904"/>
      <c r="G732" s="1905"/>
      <c r="H732" s="441"/>
    </row>
    <row r="733" spans="2:8" s="439" customFormat="1" ht="65.25" customHeight="1">
      <c r="B733" s="1862" t="s">
        <v>568</v>
      </c>
      <c r="C733" s="1877" t="s">
        <v>651</v>
      </c>
      <c r="D733" s="1874" t="s">
        <v>252</v>
      </c>
      <c r="E733" s="1874">
        <v>1</v>
      </c>
      <c r="F733" s="1904">
        <v>0</v>
      </c>
      <c r="G733" s="1905">
        <f t="shared" si="82"/>
        <v>0</v>
      </c>
      <c r="H733" s="548"/>
    </row>
    <row r="734" spans="2:8" s="439" customFormat="1" ht="64.5" customHeight="1">
      <c r="B734" s="1862" t="s">
        <v>568</v>
      </c>
      <c r="C734" s="1877" t="s">
        <v>652</v>
      </c>
      <c r="D734" s="1874" t="s">
        <v>252</v>
      </c>
      <c r="E734" s="1874">
        <v>1</v>
      </c>
      <c r="F734" s="1904">
        <v>0</v>
      </c>
      <c r="G734" s="1905">
        <f t="shared" si="82"/>
        <v>0</v>
      </c>
      <c r="H734" s="548"/>
    </row>
    <row r="735" spans="2:8" s="439" customFormat="1" ht="99" customHeight="1">
      <c r="B735" s="1862" t="s">
        <v>568</v>
      </c>
      <c r="C735" s="1877" t="s">
        <v>653</v>
      </c>
      <c r="D735" s="1874" t="s">
        <v>252</v>
      </c>
      <c r="E735" s="1874">
        <v>1</v>
      </c>
      <c r="F735" s="1904">
        <v>0</v>
      </c>
      <c r="G735" s="1905">
        <f t="shared" si="82"/>
        <v>0</v>
      </c>
      <c r="H735" s="548"/>
    </row>
    <row r="736" spans="2:8" s="439" customFormat="1" ht="312" customHeight="1">
      <c r="B736" s="1857"/>
      <c r="C736" s="1858" t="s">
        <v>654</v>
      </c>
      <c r="D736" s="1874" t="s">
        <v>252</v>
      </c>
      <c r="E736" s="1874">
        <v>1</v>
      </c>
      <c r="F736" s="1904">
        <v>0</v>
      </c>
      <c r="G736" s="1905">
        <f t="shared" si="82"/>
        <v>0</v>
      </c>
      <c r="H736" s="441"/>
    </row>
    <row r="737" spans="2:8" s="545" customFormat="1" ht="113.25" customHeight="1">
      <c r="B737" s="1878"/>
      <c r="C737" s="1858" t="s">
        <v>655</v>
      </c>
      <c r="D737" s="1874" t="s">
        <v>252</v>
      </c>
      <c r="E737" s="1874">
        <v>1</v>
      </c>
      <c r="F737" s="1904">
        <v>0</v>
      </c>
      <c r="G737" s="1905">
        <f t="shared" si="82"/>
        <v>0</v>
      </c>
      <c r="H737" s="549"/>
    </row>
    <row r="738" spans="2:8" s="545" customFormat="1" ht="113.25" customHeight="1">
      <c r="B738" s="1878"/>
      <c r="C738" s="1863" t="s">
        <v>656</v>
      </c>
      <c r="D738" s="1874" t="s">
        <v>657</v>
      </c>
      <c r="E738" s="1874">
        <v>1</v>
      </c>
      <c r="F738" s="1904">
        <v>0</v>
      </c>
      <c r="G738" s="1905">
        <f t="shared" si="82"/>
        <v>0</v>
      </c>
      <c r="H738" s="549"/>
    </row>
    <row r="739" spans="2:8" s="439" customFormat="1" ht="285">
      <c r="B739" s="1862"/>
      <c r="C739" s="1880" t="s">
        <v>658</v>
      </c>
      <c r="D739" s="1874"/>
      <c r="E739" s="1874"/>
      <c r="F739" s="1904">
        <v>0</v>
      </c>
      <c r="G739" s="1905">
        <f t="shared" si="82"/>
        <v>0</v>
      </c>
      <c r="H739" s="441"/>
    </row>
    <row r="740" spans="2:8" s="439" customFormat="1" ht="42.75" customHeight="1">
      <c r="B740" s="1862"/>
      <c r="C740" s="1863" t="s">
        <v>659</v>
      </c>
      <c r="D740" s="1874"/>
      <c r="E740" s="1874"/>
      <c r="F740" s="1904">
        <v>0</v>
      </c>
      <c r="G740" s="1905">
        <f t="shared" si="82"/>
        <v>0</v>
      </c>
      <c r="H740" s="547"/>
    </row>
    <row r="741" spans="2:8" s="545" customFormat="1" ht="331.5">
      <c r="B741" s="1862">
        <v>5</v>
      </c>
      <c r="C741" s="1881" t="s">
        <v>660</v>
      </c>
      <c r="D741" s="1874" t="s">
        <v>60</v>
      </c>
      <c r="E741" s="1874">
        <v>1</v>
      </c>
      <c r="F741" s="1904">
        <v>0</v>
      </c>
      <c r="G741" s="1905">
        <f t="shared" si="82"/>
        <v>0</v>
      </c>
      <c r="H741" s="1853"/>
    </row>
    <row r="742" spans="2:8" s="439" customFormat="1" ht="14.25">
      <c r="B742" s="1862"/>
      <c r="C742" s="1863"/>
      <c r="D742" s="1874"/>
      <c r="E742" s="1874"/>
      <c r="F742" s="1904">
        <v>0</v>
      </c>
      <c r="G742" s="1905">
        <f t="shared" si="82"/>
        <v>0</v>
      </c>
      <c r="H742" s="441"/>
    </row>
    <row r="743" spans="2:8" s="439" customFormat="1" ht="14.25">
      <c r="B743" s="1862"/>
      <c r="C743" s="1863"/>
      <c r="D743" s="1874"/>
      <c r="E743" s="1874"/>
      <c r="F743" s="1904">
        <v>0</v>
      </c>
      <c r="G743" s="1905">
        <f t="shared" si="82"/>
        <v>0</v>
      </c>
      <c r="H743" s="441"/>
    </row>
    <row r="744" spans="2:8" s="439" customFormat="1" ht="114">
      <c r="B744" s="1862">
        <v>6</v>
      </c>
      <c r="C744" s="1863" t="s">
        <v>661</v>
      </c>
      <c r="D744" s="1874" t="s">
        <v>66</v>
      </c>
      <c r="E744" s="1874">
        <v>1</v>
      </c>
      <c r="F744" s="1904">
        <v>0</v>
      </c>
      <c r="G744" s="1905">
        <f t="shared" si="82"/>
        <v>0</v>
      </c>
      <c r="H744" s="441"/>
    </row>
    <row r="745" spans="2:8" s="439" customFormat="1" ht="14.25">
      <c r="B745" s="1862"/>
      <c r="C745" s="1863"/>
      <c r="D745" s="1874"/>
      <c r="E745" s="1874"/>
      <c r="F745" s="1904"/>
      <c r="G745" s="1905"/>
      <c r="H745" s="441"/>
    </row>
    <row r="746" spans="2:8" s="439" customFormat="1" ht="57">
      <c r="B746" s="1862">
        <v>7</v>
      </c>
      <c r="C746" s="1863" t="s">
        <v>662</v>
      </c>
      <c r="D746" s="1874" t="s">
        <v>397</v>
      </c>
      <c r="E746" s="1874">
        <v>3</v>
      </c>
      <c r="F746" s="1904">
        <v>0</v>
      </c>
      <c r="G746" s="1905">
        <f t="shared" si="82"/>
        <v>0</v>
      </c>
      <c r="H746" s="441"/>
    </row>
    <row r="747" spans="2:8" s="439" customFormat="1" ht="14.25">
      <c r="B747" s="1862"/>
      <c r="C747" s="1863"/>
      <c r="D747" s="1874"/>
      <c r="E747" s="1874"/>
      <c r="F747" s="1904"/>
      <c r="G747" s="1905"/>
      <c r="H747" s="441"/>
    </row>
    <row r="748" spans="2:8" s="439" customFormat="1" ht="57">
      <c r="B748" s="1862">
        <v>8</v>
      </c>
      <c r="C748" s="1863" t="s">
        <v>663</v>
      </c>
      <c r="D748" s="1874" t="s">
        <v>397</v>
      </c>
      <c r="E748" s="1874">
        <v>2</v>
      </c>
      <c r="F748" s="1904">
        <v>0</v>
      </c>
      <c r="G748" s="1905">
        <f t="shared" si="82"/>
        <v>0</v>
      </c>
      <c r="H748" s="441"/>
    </row>
    <row r="749" spans="2:8" s="439" customFormat="1" ht="14.25">
      <c r="B749" s="1862"/>
      <c r="C749" s="1863"/>
      <c r="D749" s="1874"/>
      <c r="E749" s="1874"/>
      <c r="F749" s="1904"/>
      <c r="G749" s="1905"/>
      <c r="H749" s="441"/>
    </row>
    <row r="750" spans="2:8" s="439" customFormat="1" ht="57">
      <c r="B750" s="1862">
        <v>9</v>
      </c>
      <c r="C750" s="1863" t="s">
        <v>663</v>
      </c>
      <c r="D750" s="1874" t="s">
        <v>397</v>
      </c>
      <c r="E750" s="1874">
        <v>2</v>
      </c>
      <c r="F750" s="1904">
        <v>0</v>
      </c>
      <c r="G750" s="1905">
        <f t="shared" si="82"/>
        <v>0</v>
      </c>
      <c r="H750" s="441"/>
    </row>
    <row r="751" spans="2:8" s="439" customFormat="1" ht="14.25">
      <c r="B751" s="1862"/>
      <c r="C751" s="1863"/>
      <c r="D751" s="1874"/>
      <c r="E751" s="1874"/>
      <c r="F751" s="1904"/>
      <c r="G751" s="1905"/>
      <c r="H751" s="441"/>
    </row>
    <row r="752" spans="2:8" s="439" customFormat="1" ht="57">
      <c r="B752" s="1862">
        <v>10</v>
      </c>
      <c r="C752" s="1863" t="s">
        <v>664</v>
      </c>
      <c r="D752" s="1874" t="s">
        <v>397</v>
      </c>
      <c r="E752" s="1874">
        <v>31</v>
      </c>
      <c r="F752" s="1904">
        <v>0</v>
      </c>
      <c r="G752" s="1905">
        <f t="shared" si="82"/>
        <v>0</v>
      </c>
      <c r="H752" s="441"/>
    </row>
    <row r="753" spans="2:8" s="439" customFormat="1" ht="14.25">
      <c r="B753" s="1862"/>
      <c r="C753" s="1863"/>
      <c r="D753" s="1874"/>
      <c r="E753" s="1874"/>
      <c r="F753" s="1904"/>
      <c r="G753" s="1905"/>
      <c r="H753" s="441"/>
    </row>
    <row r="754" spans="2:8" s="439" customFormat="1" ht="28.5">
      <c r="B754" s="1862">
        <v>11</v>
      </c>
      <c r="C754" s="1863" t="s">
        <v>665</v>
      </c>
      <c r="D754" s="1874" t="s">
        <v>397</v>
      </c>
      <c r="E754" s="1874">
        <v>58</v>
      </c>
      <c r="F754" s="1904">
        <v>0</v>
      </c>
      <c r="G754" s="1905">
        <f t="shared" si="82"/>
        <v>0</v>
      </c>
      <c r="H754" s="441"/>
    </row>
    <row r="755" spans="2:8" s="439" customFormat="1" ht="14.25">
      <c r="B755" s="1862"/>
      <c r="C755" s="1863"/>
      <c r="D755" s="1874"/>
      <c r="E755" s="1874"/>
      <c r="F755" s="1904"/>
      <c r="G755" s="1905"/>
      <c r="H755" s="441"/>
    </row>
    <row r="756" spans="2:8" s="439" customFormat="1" ht="57">
      <c r="B756" s="1862">
        <v>12</v>
      </c>
      <c r="C756" s="1863" t="s">
        <v>666</v>
      </c>
      <c r="D756" s="1874" t="s">
        <v>66</v>
      </c>
      <c r="E756" s="1874">
        <v>1</v>
      </c>
      <c r="F756" s="1904">
        <v>0</v>
      </c>
      <c r="G756" s="1905">
        <f t="shared" si="82"/>
        <v>0</v>
      </c>
      <c r="H756" s="441"/>
    </row>
    <row r="757" spans="2:8" s="439" customFormat="1" ht="14.25">
      <c r="B757" s="1862"/>
      <c r="C757" s="1863"/>
      <c r="D757" s="1874"/>
      <c r="E757" s="1874"/>
      <c r="F757" s="1904"/>
      <c r="G757" s="1905"/>
      <c r="H757" s="441"/>
    </row>
    <row r="758" spans="2:8" s="439" customFormat="1" ht="28.5">
      <c r="B758" s="1862">
        <v>13</v>
      </c>
      <c r="C758" s="1863" t="s">
        <v>667</v>
      </c>
      <c r="D758" s="1874" t="s">
        <v>66</v>
      </c>
      <c r="E758" s="1874">
        <v>1</v>
      </c>
      <c r="F758" s="1904">
        <v>0</v>
      </c>
      <c r="G758" s="1905">
        <f t="shared" si="82"/>
        <v>0</v>
      </c>
      <c r="H758" s="441"/>
    </row>
    <row r="759" spans="2:8" s="439" customFormat="1" ht="14.25">
      <c r="B759" s="1862"/>
      <c r="C759" s="1863"/>
      <c r="D759" s="1874"/>
      <c r="E759" s="1874"/>
      <c r="F759" s="1904"/>
      <c r="G759" s="1905"/>
      <c r="H759" s="441"/>
    </row>
    <row r="760" spans="2:8" s="439" customFormat="1" ht="28.5">
      <c r="B760" s="1862">
        <v>14</v>
      </c>
      <c r="C760" s="1863" t="s">
        <v>668</v>
      </c>
      <c r="D760" s="1874"/>
      <c r="E760" s="1874"/>
      <c r="F760" s="1904"/>
      <c r="G760" s="1905"/>
      <c r="H760" s="441"/>
    </row>
    <row r="761" spans="2:8" s="439" customFormat="1" ht="14.25">
      <c r="B761" s="1883" t="s">
        <v>669</v>
      </c>
      <c r="C761" s="1863" t="s">
        <v>670</v>
      </c>
      <c r="D761" s="1874" t="s">
        <v>66</v>
      </c>
      <c r="E761" s="1874">
        <v>2</v>
      </c>
      <c r="F761" s="1904">
        <v>0</v>
      </c>
      <c r="G761" s="1905">
        <f t="shared" si="82"/>
        <v>0</v>
      </c>
      <c r="H761" s="441"/>
    </row>
    <row r="762" spans="2:8" s="439" customFormat="1" ht="14.25">
      <c r="B762" s="1857"/>
      <c r="C762" s="1858"/>
      <c r="D762" s="1997"/>
      <c r="E762" s="1955"/>
      <c r="F762" s="1904"/>
      <c r="G762" s="1905"/>
      <c r="H762" s="441"/>
    </row>
    <row r="763" spans="2:8" s="439" customFormat="1" ht="14.25">
      <c r="B763" s="1857"/>
      <c r="C763" s="1858"/>
      <c r="D763" s="1997"/>
      <c r="E763" s="1955"/>
      <c r="F763" s="1904"/>
      <c r="G763" s="1905"/>
      <c r="H763" s="441"/>
    </row>
    <row r="764" spans="2:8" s="439" customFormat="1" ht="28.5">
      <c r="B764" s="1862">
        <v>15</v>
      </c>
      <c r="C764" s="1863" t="s">
        <v>671</v>
      </c>
      <c r="D764" s="1874"/>
      <c r="E764" s="1874"/>
      <c r="F764" s="1904"/>
      <c r="G764" s="1905"/>
      <c r="H764" s="441"/>
    </row>
    <row r="765" spans="2:8" s="439" customFormat="1" ht="85.5">
      <c r="B765" s="1883" t="s">
        <v>669</v>
      </c>
      <c r="C765" s="1863" t="s">
        <v>672</v>
      </c>
      <c r="D765" s="1874" t="s">
        <v>66</v>
      </c>
      <c r="E765" s="1874">
        <v>1</v>
      </c>
      <c r="F765" s="1904">
        <v>0</v>
      </c>
      <c r="G765" s="1905">
        <f t="shared" si="82"/>
        <v>0</v>
      </c>
      <c r="H765" s="441"/>
    </row>
    <row r="766" spans="2:8" s="439" customFormat="1" ht="85.5">
      <c r="B766" s="1883" t="s">
        <v>669</v>
      </c>
      <c r="C766" s="1863" t="s">
        <v>673</v>
      </c>
      <c r="D766" s="1874" t="s">
        <v>66</v>
      </c>
      <c r="E766" s="1874">
        <v>1</v>
      </c>
      <c r="F766" s="1904">
        <v>0</v>
      </c>
      <c r="G766" s="1905">
        <f t="shared" si="82"/>
        <v>0</v>
      </c>
      <c r="H766" s="441"/>
    </row>
    <row r="767" spans="2:8" s="439" customFormat="1" ht="57">
      <c r="B767" s="1883" t="s">
        <v>669</v>
      </c>
      <c r="C767" s="1863" t="s">
        <v>674</v>
      </c>
      <c r="D767" s="1874" t="s">
        <v>66</v>
      </c>
      <c r="E767" s="1874">
        <v>1</v>
      </c>
      <c r="F767" s="1904">
        <v>0</v>
      </c>
      <c r="G767" s="1905">
        <f t="shared" si="82"/>
        <v>0</v>
      </c>
      <c r="H767" s="441"/>
    </row>
    <row r="768" spans="2:8" s="439" customFormat="1" ht="14.25">
      <c r="B768" s="1862"/>
      <c r="C768" s="1863"/>
      <c r="D768" s="1874"/>
      <c r="E768" s="1874"/>
      <c r="F768" s="1904"/>
      <c r="G768" s="1905"/>
      <c r="H768" s="441"/>
    </row>
    <row r="769" spans="2:8" s="439" customFormat="1" ht="14.25">
      <c r="B769" s="1862">
        <v>16</v>
      </c>
      <c r="C769" s="1863" t="s">
        <v>675</v>
      </c>
      <c r="D769" s="1874" t="s">
        <v>60</v>
      </c>
      <c r="E769" s="1874">
        <v>8</v>
      </c>
      <c r="F769" s="1904">
        <v>0</v>
      </c>
      <c r="G769" s="1905">
        <f t="shared" si="82"/>
        <v>0</v>
      </c>
      <c r="H769" s="441"/>
    </row>
    <row r="770" spans="2:8" s="439" customFormat="1" ht="14.25">
      <c r="B770" s="1862"/>
      <c r="C770" s="1863"/>
      <c r="D770" s="1874"/>
      <c r="E770" s="1874"/>
      <c r="F770" s="1904"/>
      <c r="G770" s="1905"/>
      <c r="H770" s="441"/>
    </row>
    <row r="771" spans="2:8" s="439" customFormat="1" ht="14.25">
      <c r="B771" s="1862">
        <v>17</v>
      </c>
      <c r="C771" s="1863" t="s">
        <v>676</v>
      </c>
      <c r="D771" s="1874" t="s">
        <v>60</v>
      </c>
      <c r="E771" s="1874">
        <v>1</v>
      </c>
      <c r="F771" s="1904">
        <v>0</v>
      </c>
      <c r="G771" s="1905">
        <f t="shared" si="82"/>
        <v>0</v>
      </c>
      <c r="H771" s="441"/>
    </row>
    <row r="772" spans="2:8" s="439" customFormat="1" ht="14.25">
      <c r="B772" s="1862"/>
      <c r="C772" s="1863"/>
      <c r="D772" s="1874"/>
      <c r="E772" s="1874"/>
      <c r="F772" s="1904"/>
      <c r="G772" s="1905"/>
      <c r="H772" s="441"/>
    </row>
    <row r="773" spans="2:8" s="439" customFormat="1" ht="42.75">
      <c r="B773" s="1862">
        <v>18</v>
      </c>
      <c r="C773" s="1863" t="s">
        <v>677</v>
      </c>
      <c r="D773" s="1874" t="s">
        <v>60</v>
      </c>
      <c r="E773" s="1874">
        <v>1</v>
      </c>
      <c r="F773" s="1904">
        <v>0</v>
      </c>
      <c r="G773" s="1905">
        <f t="shared" si="82"/>
        <v>0</v>
      </c>
      <c r="H773" s="441"/>
    </row>
    <row r="774" spans="2:8" s="439" customFormat="1" ht="14.25">
      <c r="B774" s="1862"/>
      <c r="C774" s="1863"/>
      <c r="D774" s="1874"/>
      <c r="E774" s="1874"/>
      <c r="F774" s="1904"/>
      <c r="G774" s="1905"/>
      <c r="H774" s="441"/>
    </row>
    <row r="775" spans="2:8" s="439" customFormat="1" ht="42.75">
      <c r="B775" s="1862">
        <v>19</v>
      </c>
      <c r="C775" s="1863" t="s">
        <v>678</v>
      </c>
      <c r="D775" s="1874"/>
      <c r="E775" s="1874"/>
      <c r="F775" s="1904"/>
      <c r="G775" s="1905"/>
      <c r="H775" s="441"/>
    </row>
    <row r="776" spans="2:8" s="439" customFormat="1" ht="16.5">
      <c r="B776" s="1883" t="s">
        <v>669</v>
      </c>
      <c r="C776" s="1863" t="s">
        <v>679</v>
      </c>
      <c r="D776" s="1874" t="s">
        <v>397</v>
      </c>
      <c r="E776" s="1874">
        <v>10</v>
      </c>
      <c r="F776" s="1904">
        <v>0</v>
      </c>
      <c r="G776" s="1905">
        <f t="shared" si="82"/>
        <v>0</v>
      </c>
      <c r="H776" s="441"/>
    </row>
    <row r="777" spans="2:8" s="439" customFormat="1" ht="16.5">
      <c r="B777" s="1883" t="s">
        <v>669</v>
      </c>
      <c r="C777" s="1863" t="s">
        <v>680</v>
      </c>
      <c r="D777" s="1874" t="s">
        <v>397</v>
      </c>
      <c r="E777" s="1874">
        <v>45</v>
      </c>
      <c r="F777" s="1904">
        <v>0</v>
      </c>
      <c r="G777" s="1905">
        <f t="shared" ref="G777:G840" si="83">E777*F777</f>
        <v>0</v>
      </c>
      <c r="H777" s="441"/>
    </row>
    <row r="778" spans="2:8" s="439" customFormat="1" ht="16.5">
      <c r="B778" s="1883" t="s">
        <v>669</v>
      </c>
      <c r="C778" s="1863" t="s">
        <v>681</v>
      </c>
      <c r="D778" s="1874" t="s">
        <v>397</v>
      </c>
      <c r="E778" s="1874">
        <v>25</v>
      </c>
      <c r="F778" s="1904">
        <v>0</v>
      </c>
      <c r="G778" s="1905">
        <f t="shared" si="83"/>
        <v>0</v>
      </c>
      <c r="H778" s="441"/>
    </row>
    <row r="779" spans="2:8" s="439" customFormat="1" ht="16.5">
      <c r="B779" s="1883" t="s">
        <v>669</v>
      </c>
      <c r="C779" s="1863" t="s">
        <v>682</v>
      </c>
      <c r="D779" s="1874" t="s">
        <v>397</v>
      </c>
      <c r="E779" s="1874">
        <v>15</v>
      </c>
      <c r="F779" s="1904">
        <v>0</v>
      </c>
      <c r="G779" s="1905">
        <f t="shared" si="83"/>
        <v>0</v>
      </c>
      <c r="H779" s="441"/>
    </row>
    <row r="780" spans="2:8" s="439" customFormat="1" ht="16.5">
      <c r="B780" s="1883" t="s">
        <v>669</v>
      </c>
      <c r="C780" s="1863" t="s">
        <v>683</v>
      </c>
      <c r="D780" s="1874" t="s">
        <v>397</v>
      </c>
      <c r="E780" s="1874">
        <v>15</v>
      </c>
      <c r="F780" s="1904">
        <v>0</v>
      </c>
      <c r="G780" s="1905">
        <f t="shared" si="83"/>
        <v>0</v>
      </c>
      <c r="H780" s="441"/>
    </row>
    <row r="781" spans="2:8" s="439" customFormat="1" ht="16.5">
      <c r="B781" s="1883" t="s">
        <v>669</v>
      </c>
      <c r="C781" s="1863" t="s">
        <v>684</v>
      </c>
      <c r="D781" s="1874" t="s">
        <v>397</v>
      </c>
      <c r="E781" s="1874">
        <v>45</v>
      </c>
      <c r="F781" s="1904">
        <v>0</v>
      </c>
      <c r="G781" s="1905">
        <f t="shared" si="83"/>
        <v>0</v>
      </c>
      <c r="H781" s="441"/>
    </row>
    <row r="782" spans="2:8" s="439" customFormat="1" ht="16.5">
      <c r="B782" s="1883" t="s">
        <v>669</v>
      </c>
      <c r="C782" s="1863" t="s">
        <v>685</v>
      </c>
      <c r="D782" s="1874" t="s">
        <v>397</v>
      </c>
      <c r="E782" s="1874">
        <v>90</v>
      </c>
      <c r="F782" s="1904">
        <v>0</v>
      </c>
      <c r="G782" s="1905">
        <f t="shared" si="83"/>
        <v>0</v>
      </c>
      <c r="H782" s="441"/>
    </row>
    <row r="783" spans="2:8" s="439" customFormat="1" ht="16.5">
      <c r="B783" s="1883" t="s">
        <v>669</v>
      </c>
      <c r="C783" s="1863" t="s">
        <v>686</v>
      </c>
      <c r="D783" s="1874" t="s">
        <v>397</v>
      </c>
      <c r="E783" s="1874">
        <v>45</v>
      </c>
      <c r="F783" s="1904">
        <v>0</v>
      </c>
      <c r="G783" s="1905">
        <f t="shared" si="83"/>
        <v>0</v>
      </c>
      <c r="H783" s="441"/>
    </row>
    <row r="784" spans="2:8" s="439" customFormat="1" ht="30.75">
      <c r="B784" s="1883" t="s">
        <v>669</v>
      </c>
      <c r="C784" s="1863" t="s">
        <v>687</v>
      </c>
      <c r="D784" s="1874" t="s">
        <v>397</v>
      </c>
      <c r="E784" s="1874">
        <v>20</v>
      </c>
      <c r="F784" s="1904">
        <v>0</v>
      </c>
      <c r="G784" s="1905">
        <f t="shared" si="83"/>
        <v>0</v>
      </c>
      <c r="H784" s="441"/>
    </row>
    <row r="785" spans="2:8" s="439" customFormat="1" ht="30.75">
      <c r="B785" s="1883" t="s">
        <v>669</v>
      </c>
      <c r="C785" s="1863" t="s">
        <v>688</v>
      </c>
      <c r="D785" s="1874" t="s">
        <v>397</v>
      </c>
      <c r="E785" s="1874">
        <v>15</v>
      </c>
      <c r="F785" s="1904">
        <v>0</v>
      </c>
      <c r="G785" s="1905">
        <f t="shared" si="83"/>
        <v>0</v>
      </c>
      <c r="H785" s="441"/>
    </row>
    <row r="786" spans="2:8" s="439" customFormat="1" ht="30.75">
      <c r="B786" s="1883" t="s">
        <v>669</v>
      </c>
      <c r="C786" s="1863" t="s">
        <v>689</v>
      </c>
      <c r="D786" s="1874" t="s">
        <v>397</v>
      </c>
      <c r="E786" s="1874">
        <v>30</v>
      </c>
      <c r="F786" s="1904">
        <v>0</v>
      </c>
      <c r="G786" s="1905">
        <f t="shared" si="83"/>
        <v>0</v>
      </c>
      <c r="H786" s="441"/>
    </row>
    <row r="787" spans="2:8" s="439" customFormat="1" ht="14.25">
      <c r="B787" s="1862"/>
      <c r="C787" s="1863"/>
      <c r="D787" s="1874"/>
      <c r="E787" s="1874"/>
      <c r="F787" s="1904"/>
      <c r="G787" s="1905"/>
      <c r="H787" s="441"/>
    </row>
    <row r="788" spans="2:8" s="439" customFormat="1" ht="28.5">
      <c r="B788" s="1862">
        <v>20</v>
      </c>
      <c r="C788" s="1863" t="s">
        <v>690</v>
      </c>
      <c r="D788" s="1874"/>
      <c r="E788" s="1874"/>
      <c r="F788" s="1904"/>
      <c r="G788" s="1905"/>
      <c r="H788" s="441"/>
    </row>
    <row r="789" spans="2:8" s="439" customFormat="1" ht="85.5">
      <c r="B789" s="1883" t="s">
        <v>669</v>
      </c>
      <c r="C789" s="1884" t="s">
        <v>691</v>
      </c>
      <c r="D789" s="1963" t="s">
        <v>74</v>
      </c>
      <c r="E789" s="1963">
        <v>8.77</v>
      </c>
      <c r="F789" s="1904">
        <v>0</v>
      </c>
      <c r="G789" s="1905">
        <f t="shared" si="83"/>
        <v>0</v>
      </c>
      <c r="H789" s="441"/>
    </row>
    <row r="790" spans="2:8" s="439" customFormat="1" ht="42.75">
      <c r="B790" s="1883" t="s">
        <v>669</v>
      </c>
      <c r="C790" s="1863" t="s">
        <v>692</v>
      </c>
      <c r="D790" s="1963" t="s">
        <v>74</v>
      </c>
      <c r="E790" s="1963">
        <v>2.25</v>
      </c>
      <c r="F790" s="1904">
        <v>0</v>
      </c>
      <c r="G790" s="1905">
        <f t="shared" si="83"/>
        <v>0</v>
      </c>
      <c r="H790" s="441"/>
    </row>
    <row r="791" spans="2:8" s="439" customFormat="1" ht="14.25">
      <c r="B791" s="1862"/>
      <c r="C791" s="1863"/>
      <c r="D791" s="1874"/>
      <c r="E791" s="1874"/>
      <c r="F791" s="1904"/>
      <c r="G791" s="1905"/>
      <c r="H791" s="441"/>
    </row>
    <row r="792" spans="2:8" s="439" customFormat="1" ht="14.25">
      <c r="B792" s="1857"/>
      <c r="C792" s="1858"/>
      <c r="D792" s="1997"/>
      <c r="E792" s="1955"/>
      <c r="F792" s="1904"/>
      <c r="G792" s="1905"/>
      <c r="H792" s="441"/>
    </row>
    <row r="793" spans="2:8" s="439" customFormat="1" ht="42.75">
      <c r="B793" s="1862">
        <v>21</v>
      </c>
      <c r="C793" s="1863" t="s">
        <v>693</v>
      </c>
      <c r="D793" s="1874" t="s">
        <v>397</v>
      </c>
      <c r="E793" s="1874">
        <v>45</v>
      </c>
      <c r="F793" s="1904">
        <v>0</v>
      </c>
      <c r="G793" s="1905">
        <f t="shared" si="83"/>
        <v>0</v>
      </c>
      <c r="H793" s="441"/>
    </row>
    <row r="794" spans="2:8" s="439" customFormat="1" ht="14.25">
      <c r="B794" s="1862"/>
      <c r="C794" s="1863"/>
      <c r="D794" s="1874"/>
      <c r="E794" s="1874"/>
      <c r="F794" s="1904"/>
      <c r="G794" s="1905"/>
      <c r="H794" s="441"/>
    </row>
    <row r="795" spans="2:8" s="439" customFormat="1" ht="57">
      <c r="B795" s="1862">
        <v>22</v>
      </c>
      <c r="C795" s="1863" t="s">
        <v>694</v>
      </c>
      <c r="D795" s="1874" t="s">
        <v>397</v>
      </c>
      <c r="E795" s="1874">
        <v>15</v>
      </c>
      <c r="F795" s="1904">
        <v>0</v>
      </c>
      <c r="G795" s="1905">
        <f t="shared" si="83"/>
        <v>0</v>
      </c>
      <c r="H795" s="441"/>
    </row>
    <row r="796" spans="2:8" s="439" customFormat="1" ht="14.25">
      <c r="B796" s="1862"/>
      <c r="C796" s="1863"/>
      <c r="D796" s="1874"/>
      <c r="E796" s="1874"/>
      <c r="F796" s="1904"/>
      <c r="G796" s="1905"/>
      <c r="H796" s="441"/>
    </row>
    <row r="797" spans="2:8" s="439" customFormat="1" ht="28.5">
      <c r="B797" s="1862">
        <v>23</v>
      </c>
      <c r="C797" s="1863" t="s">
        <v>695</v>
      </c>
      <c r="D797" s="1874" t="s">
        <v>66</v>
      </c>
      <c r="E797" s="1874">
        <v>4</v>
      </c>
      <c r="F797" s="1904">
        <v>0</v>
      </c>
      <c r="G797" s="1905">
        <f t="shared" si="83"/>
        <v>0</v>
      </c>
      <c r="H797" s="441"/>
    </row>
    <row r="798" spans="2:8" s="439" customFormat="1" ht="14.25">
      <c r="B798" s="1862"/>
      <c r="C798" s="1863"/>
      <c r="D798" s="1874"/>
      <c r="E798" s="1874"/>
      <c r="F798" s="1904"/>
      <c r="G798" s="1905"/>
      <c r="H798" s="441"/>
    </row>
    <row r="799" spans="2:8" s="439" customFormat="1" ht="28.5">
      <c r="B799" s="1862">
        <v>24</v>
      </c>
      <c r="C799" s="1863" t="s">
        <v>696</v>
      </c>
      <c r="D799" s="1874" t="s">
        <v>252</v>
      </c>
      <c r="E799" s="1874">
        <v>6</v>
      </c>
      <c r="F799" s="1904">
        <v>0</v>
      </c>
      <c r="G799" s="1905">
        <f t="shared" si="83"/>
        <v>0</v>
      </c>
      <c r="H799" s="441"/>
    </row>
    <row r="800" spans="2:8" s="439" customFormat="1" ht="14.25">
      <c r="B800" s="1862"/>
      <c r="C800" s="1863"/>
      <c r="D800" s="1874"/>
      <c r="E800" s="1874"/>
      <c r="F800" s="1904"/>
      <c r="G800" s="1905"/>
      <c r="H800" s="441"/>
    </row>
    <row r="801" spans="2:8" s="439" customFormat="1" ht="28.5">
      <c r="B801" s="1862">
        <v>25</v>
      </c>
      <c r="C801" s="1863" t="s">
        <v>697</v>
      </c>
      <c r="D801" s="1874" t="s">
        <v>252</v>
      </c>
      <c r="E801" s="1874">
        <v>3</v>
      </c>
      <c r="F801" s="1904">
        <v>0</v>
      </c>
      <c r="G801" s="1905">
        <f t="shared" si="83"/>
        <v>0</v>
      </c>
      <c r="H801" s="441"/>
    </row>
    <row r="802" spans="2:8" s="439" customFormat="1" ht="14.25">
      <c r="B802" s="1862"/>
      <c r="C802" s="1863"/>
      <c r="D802" s="1874"/>
      <c r="E802" s="1874"/>
      <c r="F802" s="1904"/>
      <c r="G802" s="1905"/>
      <c r="H802" s="441"/>
    </row>
    <row r="803" spans="2:8" s="439" customFormat="1" ht="29.25">
      <c r="B803" s="1862">
        <v>26</v>
      </c>
      <c r="C803" s="1863" t="s">
        <v>698</v>
      </c>
      <c r="D803" s="1874" t="s">
        <v>252</v>
      </c>
      <c r="E803" s="1874">
        <v>5</v>
      </c>
      <c r="F803" s="1904">
        <v>0</v>
      </c>
      <c r="G803" s="1905">
        <f t="shared" si="83"/>
        <v>0</v>
      </c>
      <c r="H803" s="441"/>
    </row>
    <row r="804" spans="2:8" s="439" customFormat="1" ht="14.25">
      <c r="B804" s="1862"/>
      <c r="C804" s="1863"/>
      <c r="D804" s="1874"/>
      <c r="E804" s="1874"/>
      <c r="F804" s="1904"/>
      <c r="G804" s="1905"/>
      <c r="H804" s="441"/>
    </row>
    <row r="805" spans="2:8" s="439" customFormat="1" ht="14.25">
      <c r="B805" s="1862">
        <v>27</v>
      </c>
      <c r="C805" s="1863" t="s">
        <v>699</v>
      </c>
      <c r="D805" s="1874" t="s">
        <v>252</v>
      </c>
      <c r="E805" s="1874">
        <v>4</v>
      </c>
      <c r="F805" s="1904">
        <v>0</v>
      </c>
      <c r="G805" s="1905">
        <f t="shared" si="83"/>
        <v>0</v>
      </c>
      <c r="H805" s="441"/>
    </row>
    <row r="806" spans="2:8" s="439" customFormat="1" ht="14.25">
      <c r="B806" s="1862"/>
      <c r="C806" s="1863"/>
      <c r="D806" s="1874"/>
      <c r="E806" s="1874"/>
      <c r="F806" s="1904"/>
      <c r="G806" s="1905"/>
      <c r="H806" s="441"/>
    </row>
    <row r="807" spans="2:8" s="439" customFormat="1" ht="42.75">
      <c r="B807" s="1862">
        <v>28</v>
      </c>
      <c r="C807" s="1863" t="s">
        <v>700</v>
      </c>
      <c r="D807" s="1874" t="s">
        <v>252</v>
      </c>
      <c r="E807" s="1874">
        <v>3</v>
      </c>
      <c r="F807" s="1904">
        <v>0</v>
      </c>
      <c r="G807" s="1905">
        <f t="shared" si="83"/>
        <v>0</v>
      </c>
      <c r="H807" s="441"/>
    </row>
    <row r="808" spans="2:8" s="439" customFormat="1" ht="14.25">
      <c r="B808" s="1862"/>
      <c r="C808" s="1863"/>
      <c r="D808" s="1874"/>
      <c r="E808" s="1874"/>
      <c r="F808" s="1904"/>
      <c r="G808" s="1905"/>
      <c r="H808" s="441"/>
    </row>
    <row r="809" spans="2:8" s="439" customFormat="1" ht="28.5">
      <c r="B809" s="1862">
        <v>29</v>
      </c>
      <c r="C809" s="1863" t="s">
        <v>701</v>
      </c>
      <c r="D809" s="1874" t="s">
        <v>702</v>
      </c>
      <c r="E809" s="1874">
        <v>2</v>
      </c>
      <c r="F809" s="1904">
        <v>0</v>
      </c>
      <c r="G809" s="1905">
        <f t="shared" si="83"/>
        <v>0</v>
      </c>
      <c r="H809" s="441"/>
    </row>
    <row r="810" spans="2:8" s="439" customFormat="1" ht="14.25">
      <c r="B810" s="1862"/>
      <c r="C810" s="1863"/>
      <c r="D810" s="1874"/>
      <c r="E810" s="1874"/>
      <c r="F810" s="1904"/>
      <c r="G810" s="1905"/>
      <c r="H810" s="441"/>
    </row>
    <row r="811" spans="2:8" s="439" customFormat="1" ht="14.25">
      <c r="B811" s="1862">
        <v>30</v>
      </c>
      <c r="C811" s="1863" t="s">
        <v>703</v>
      </c>
      <c r="D811" s="1874" t="s">
        <v>397</v>
      </c>
      <c r="E811" s="1874">
        <v>45</v>
      </c>
      <c r="F811" s="1904">
        <v>0</v>
      </c>
      <c r="G811" s="1905">
        <f t="shared" si="83"/>
        <v>0</v>
      </c>
      <c r="H811" s="441"/>
    </row>
    <row r="812" spans="2:8" s="439" customFormat="1" ht="14.25">
      <c r="B812" s="1862"/>
      <c r="C812" s="1863"/>
      <c r="D812" s="1874"/>
      <c r="E812" s="1874"/>
      <c r="F812" s="1904"/>
      <c r="G812" s="1905"/>
      <c r="H812" s="441"/>
    </row>
    <row r="813" spans="2:8" s="439" customFormat="1" ht="14.25">
      <c r="B813" s="1862">
        <v>31</v>
      </c>
      <c r="C813" s="1863" t="s">
        <v>704</v>
      </c>
      <c r="D813" s="1874" t="s">
        <v>397</v>
      </c>
      <c r="E813" s="1874">
        <v>15</v>
      </c>
      <c r="F813" s="1904">
        <v>0</v>
      </c>
      <c r="G813" s="1905">
        <f t="shared" si="83"/>
        <v>0</v>
      </c>
      <c r="H813" s="441"/>
    </row>
    <row r="814" spans="2:8" s="439" customFormat="1" ht="14.25">
      <c r="B814" s="1862"/>
      <c r="C814" s="1863"/>
      <c r="D814" s="1874"/>
      <c r="E814" s="1874"/>
      <c r="F814" s="1904"/>
      <c r="G814" s="1905"/>
      <c r="H814" s="441"/>
    </row>
    <row r="815" spans="2:8" s="439" customFormat="1" ht="14.25">
      <c r="B815" s="1862">
        <v>32</v>
      </c>
      <c r="C815" s="1863" t="s">
        <v>705</v>
      </c>
      <c r="D815" s="1874" t="s">
        <v>252</v>
      </c>
      <c r="E815" s="1874">
        <v>3</v>
      </c>
      <c r="F815" s="1904">
        <v>0</v>
      </c>
      <c r="G815" s="1905">
        <f t="shared" si="83"/>
        <v>0</v>
      </c>
      <c r="H815" s="441"/>
    </row>
    <row r="816" spans="2:8" s="439" customFormat="1" ht="14.25">
      <c r="B816" s="1862"/>
      <c r="C816" s="1863"/>
      <c r="D816" s="1874"/>
      <c r="E816" s="1874"/>
      <c r="F816" s="1904"/>
      <c r="G816" s="1905"/>
      <c r="H816" s="441"/>
    </row>
    <row r="817" spans="2:8" s="439" customFormat="1" ht="71.25">
      <c r="B817" s="1862">
        <v>33</v>
      </c>
      <c r="C817" s="1863" t="s">
        <v>706</v>
      </c>
      <c r="D817" s="1874" t="s">
        <v>66</v>
      </c>
      <c r="E817" s="1874">
        <v>1</v>
      </c>
      <c r="F817" s="1904">
        <v>0</v>
      </c>
      <c r="G817" s="1905">
        <f t="shared" si="83"/>
        <v>0</v>
      </c>
      <c r="H817" s="441"/>
    </row>
    <row r="818" spans="2:8" s="439" customFormat="1" ht="14.25">
      <c r="B818" s="1862"/>
      <c r="C818" s="1863"/>
      <c r="D818" s="1874"/>
      <c r="E818" s="1874"/>
      <c r="F818" s="1904"/>
      <c r="G818" s="1905"/>
      <c r="H818" s="441"/>
    </row>
    <row r="819" spans="2:8" s="545" customFormat="1" ht="63.75">
      <c r="B819" s="1862">
        <v>34</v>
      </c>
      <c r="C819" s="1881" t="s">
        <v>707</v>
      </c>
      <c r="D819" s="1874" t="s">
        <v>66</v>
      </c>
      <c r="E819" s="1874">
        <v>1</v>
      </c>
      <c r="F819" s="1904">
        <v>0</v>
      </c>
      <c r="G819" s="1905">
        <f t="shared" si="83"/>
        <v>0</v>
      </c>
      <c r="H819" s="551"/>
    </row>
    <row r="820" spans="2:8" s="439" customFormat="1" ht="14.25">
      <c r="B820" s="1862"/>
      <c r="C820" s="1885"/>
      <c r="D820" s="1874"/>
      <c r="E820" s="1874"/>
      <c r="F820" s="1904"/>
      <c r="G820" s="1905"/>
      <c r="H820" s="441"/>
    </row>
    <row r="821" spans="2:8" s="545" customFormat="1" ht="63.75">
      <c r="B821" s="1862">
        <v>35</v>
      </c>
      <c r="C821" s="1881" t="s">
        <v>707</v>
      </c>
      <c r="D821" s="1874" t="s">
        <v>66</v>
      </c>
      <c r="E821" s="1874">
        <v>1</v>
      </c>
      <c r="F821" s="1904">
        <v>0</v>
      </c>
      <c r="G821" s="1905">
        <f t="shared" si="83"/>
        <v>0</v>
      </c>
      <c r="H821" s="551"/>
    </row>
    <row r="822" spans="2:8" s="439" customFormat="1" ht="14.25">
      <c r="B822" s="1862"/>
      <c r="C822" s="1885"/>
      <c r="D822" s="1874"/>
      <c r="E822" s="1874"/>
      <c r="F822" s="1904"/>
      <c r="G822" s="1905"/>
      <c r="H822" s="441"/>
    </row>
    <row r="823" spans="2:8" s="545" customFormat="1" ht="76.5">
      <c r="B823" s="1862">
        <v>36</v>
      </c>
      <c r="C823" s="1886" t="s">
        <v>708</v>
      </c>
      <c r="D823" s="1874" t="s">
        <v>252</v>
      </c>
      <c r="E823" s="1874">
        <v>2</v>
      </c>
      <c r="F823" s="1904">
        <v>0</v>
      </c>
      <c r="G823" s="1905">
        <f t="shared" si="83"/>
        <v>0</v>
      </c>
      <c r="H823" s="552"/>
    </row>
    <row r="824" spans="2:8" s="439" customFormat="1" ht="14.25">
      <c r="B824" s="1857"/>
      <c r="C824" s="1858"/>
      <c r="D824" s="1997"/>
      <c r="E824" s="1955"/>
      <c r="F824" s="1904"/>
      <c r="G824" s="1905"/>
      <c r="H824" s="441"/>
    </row>
    <row r="825" spans="2:8" s="439" customFormat="1" ht="14.25">
      <c r="B825" s="1862"/>
      <c r="C825" s="1863"/>
      <c r="D825" s="1874"/>
      <c r="E825" s="1874"/>
      <c r="F825" s="1904"/>
      <c r="G825" s="1905"/>
      <c r="H825" s="441"/>
    </row>
    <row r="826" spans="2:8" s="439" customFormat="1" ht="59.25">
      <c r="B826" s="1862">
        <v>38</v>
      </c>
      <c r="C826" s="1863" t="s">
        <v>709</v>
      </c>
      <c r="D826" s="1874" t="s">
        <v>60</v>
      </c>
      <c r="E826" s="1874">
        <v>3</v>
      </c>
      <c r="F826" s="1904">
        <v>0</v>
      </c>
      <c r="G826" s="1905">
        <f t="shared" si="83"/>
        <v>0</v>
      </c>
      <c r="H826" s="441"/>
    </row>
    <row r="827" spans="2:8" s="439" customFormat="1" ht="14.25">
      <c r="B827" s="1862"/>
      <c r="C827" s="1863"/>
      <c r="D827" s="1874"/>
      <c r="E827" s="1874"/>
      <c r="F827" s="1904"/>
      <c r="G827" s="1905"/>
      <c r="H827" s="441"/>
    </row>
    <row r="828" spans="2:8" s="439" customFormat="1" ht="42.75">
      <c r="B828" s="1862">
        <v>39</v>
      </c>
      <c r="C828" s="1863" t="s">
        <v>710</v>
      </c>
      <c r="D828" s="1962"/>
      <c r="E828" s="1962"/>
      <c r="F828" s="1904"/>
      <c r="G828" s="1905"/>
      <c r="H828" s="441"/>
    </row>
    <row r="829" spans="2:8" s="439" customFormat="1" ht="28.5">
      <c r="B829" s="1887" t="s">
        <v>711</v>
      </c>
      <c r="C829" s="1888" t="s">
        <v>712</v>
      </c>
      <c r="D829" s="1866" t="s">
        <v>252</v>
      </c>
      <c r="E829" s="1866">
        <v>1</v>
      </c>
      <c r="F829" s="1904">
        <v>0</v>
      </c>
      <c r="G829" s="1905">
        <f t="shared" si="83"/>
        <v>0</v>
      </c>
      <c r="H829" s="441"/>
    </row>
    <row r="830" spans="2:8" s="439" customFormat="1" ht="28.5">
      <c r="B830" s="1887" t="s">
        <v>711</v>
      </c>
      <c r="C830" s="1888" t="s">
        <v>713</v>
      </c>
      <c r="D830" s="1866" t="s">
        <v>252</v>
      </c>
      <c r="E830" s="1866">
        <v>2</v>
      </c>
      <c r="F830" s="1904">
        <v>0</v>
      </c>
      <c r="G830" s="1905">
        <f t="shared" si="83"/>
        <v>0</v>
      </c>
      <c r="H830" s="441"/>
    </row>
    <row r="831" spans="2:8" s="439" customFormat="1" ht="28.5">
      <c r="B831" s="1887" t="s">
        <v>711</v>
      </c>
      <c r="C831" s="1888" t="s">
        <v>714</v>
      </c>
      <c r="D831" s="1866" t="s">
        <v>252</v>
      </c>
      <c r="E831" s="1866">
        <v>1</v>
      </c>
      <c r="F831" s="1904">
        <v>0</v>
      </c>
      <c r="G831" s="1905">
        <f t="shared" si="83"/>
        <v>0</v>
      </c>
      <c r="H831" s="441"/>
    </row>
    <row r="832" spans="2:8" s="439" customFormat="1" ht="14.25">
      <c r="B832" s="1862"/>
      <c r="C832" s="1863"/>
      <c r="D832" s="1874"/>
      <c r="E832" s="1874"/>
      <c r="F832" s="1904"/>
      <c r="G832" s="1905"/>
      <c r="H832" s="441"/>
    </row>
    <row r="833" spans="2:8" s="439" customFormat="1" ht="76.5">
      <c r="B833" s="1862">
        <v>40</v>
      </c>
      <c r="C833" s="1889" t="s">
        <v>715</v>
      </c>
      <c r="D833" s="1874" t="s">
        <v>60</v>
      </c>
      <c r="E833" s="1874">
        <v>1</v>
      </c>
      <c r="F833" s="1904">
        <v>0</v>
      </c>
      <c r="G833" s="1905">
        <f t="shared" si="83"/>
        <v>0</v>
      </c>
      <c r="H833" s="553"/>
    </row>
    <row r="834" spans="2:8" s="439" customFormat="1" ht="129.75" customHeight="1">
      <c r="B834" s="1862">
        <v>41</v>
      </c>
      <c r="C834" s="1890" t="s">
        <v>716</v>
      </c>
      <c r="D834" s="1874" t="s">
        <v>60</v>
      </c>
      <c r="E834" s="1874">
        <v>1</v>
      </c>
      <c r="F834" s="1904">
        <v>0</v>
      </c>
      <c r="G834" s="1905">
        <f t="shared" si="83"/>
        <v>0</v>
      </c>
      <c r="H834" s="554"/>
    </row>
    <row r="835" spans="2:8" s="439" customFormat="1" ht="123" customHeight="1">
      <c r="B835" s="1862">
        <v>42</v>
      </c>
      <c r="C835" s="1891" t="s">
        <v>717</v>
      </c>
      <c r="D835" s="1874" t="s">
        <v>60</v>
      </c>
      <c r="E835" s="1874">
        <v>1</v>
      </c>
      <c r="F835" s="1904">
        <v>0</v>
      </c>
      <c r="G835" s="1905">
        <f t="shared" si="83"/>
        <v>0</v>
      </c>
      <c r="H835" s="555"/>
    </row>
    <row r="836" spans="2:8" s="439" customFormat="1" ht="81.75" customHeight="1">
      <c r="B836" s="1862">
        <v>43</v>
      </c>
      <c r="C836" s="1890" t="s">
        <v>718</v>
      </c>
      <c r="D836" s="1874" t="s">
        <v>60</v>
      </c>
      <c r="E836" s="1874">
        <v>1</v>
      </c>
      <c r="F836" s="1904">
        <v>0</v>
      </c>
      <c r="G836" s="1905">
        <f t="shared" si="83"/>
        <v>0</v>
      </c>
      <c r="H836" s="554"/>
    </row>
    <row r="837" spans="2:8" s="439" customFormat="1" ht="83.25" customHeight="1">
      <c r="B837" s="1862">
        <v>44</v>
      </c>
      <c r="C837" s="1892" t="s">
        <v>719</v>
      </c>
      <c r="D837" s="1874" t="s">
        <v>60</v>
      </c>
      <c r="E837" s="1874">
        <v>1</v>
      </c>
      <c r="F837" s="1904">
        <v>0</v>
      </c>
      <c r="G837" s="1905">
        <f t="shared" si="83"/>
        <v>0</v>
      </c>
      <c r="H837" s="554"/>
    </row>
    <row r="838" spans="2:8" s="439" customFormat="1" ht="68.25" customHeight="1">
      <c r="B838" s="1862">
        <v>45</v>
      </c>
      <c r="C838" s="1892" t="s">
        <v>720</v>
      </c>
      <c r="D838" s="1874" t="s">
        <v>60</v>
      </c>
      <c r="E838" s="1874">
        <v>1</v>
      </c>
      <c r="F838" s="1904">
        <v>0</v>
      </c>
      <c r="G838" s="1905">
        <f t="shared" si="83"/>
        <v>0</v>
      </c>
      <c r="H838" s="554"/>
    </row>
    <row r="839" spans="2:8" s="439" customFormat="1" ht="14.25">
      <c r="B839" s="1862"/>
      <c r="C839" s="1863"/>
      <c r="D839" s="1874"/>
      <c r="E839" s="1874"/>
      <c r="F839" s="1904"/>
      <c r="G839" s="1905"/>
      <c r="H839" s="441"/>
    </row>
    <row r="840" spans="2:8" s="439" customFormat="1" ht="14.25">
      <c r="B840" s="1862">
        <v>46</v>
      </c>
      <c r="C840" s="1863" t="s">
        <v>721</v>
      </c>
      <c r="D840" s="1874" t="s">
        <v>60</v>
      </c>
      <c r="E840" s="1874">
        <v>1</v>
      </c>
      <c r="F840" s="1904">
        <v>0</v>
      </c>
      <c r="G840" s="1905">
        <f t="shared" si="83"/>
        <v>0</v>
      </c>
      <c r="H840" s="441"/>
    </row>
    <row r="841" spans="2:8" s="439" customFormat="1" ht="14.25">
      <c r="B841" s="1862"/>
      <c r="C841" s="1863"/>
      <c r="D841" s="1874"/>
      <c r="E841" s="1874"/>
      <c r="F841" s="1904"/>
      <c r="G841" s="1905"/>
      <c r="H841" s="441"/>
    </row>
    <row r="842" spans="2:8" s="439" customFormat="1" ht="14.25">
      <c r="B842" s="1862">
        <v>47</v>
      </c>
      <c r="C842" s="1863" t="s">
        <v>722</v>
      </c>
      <c r="D842" s="1874" t="s">
        <v>60</v>
      </c>
      <c r="E842" s="1874">
        <v>1</v>
      </c>
      <c r="F842" s="1904">
        <v>0</v>
      </c>
      <c r="G842" s="1905">
        <f t="shared" ref="G842" si="84">E842*F842</f>
        <v>0</v>
      </c>
      <c r="H842" s="441"/>
    </row>
    <row r="843" spans="2:8" s="439" customFormat="1" ht="14.25">
      <c r="B843" s="1862"/>
      <c r="C843" s="1863"/>
      <c r="D843" s="1874"/>
      <c r="E843" s="1874"/>
      <c r="F843" s="1879"/>
      <c r="G843" s="1867"/>
      <c r="H843" s="441"/>
    </row>
    <row r="844" spans="2:8" s="439" customFormat="1" ht="14.25">
      <c r="B844" s="1894"/>
      <c r="C844" s="1895"/>
      <c r="D844" s="1965"/>
      <c r="E844" s="1965"/>
      <c r="F844" s="1966"/>
      <c r="G844" s="1967"/>
      <c r="H844" s="441"/>
    </row>
    <row r="845" spans="2:8" s="439" customFormat="1" ht="18">
      <c r="B845" s="1854"/>
      <c r="C845" s="1855"/>
      <c r="D845" s="1995"/>
      <c r="E845" s="1949"/>
      <c r="F845" s="1950"/>
      <c r="G845" s="1951"/>
      <c r="H845" s="441"/>
    </row>
    <row r="846" spans="2:8" s="439" customFormat="1" ht="15.75">
      <c r="B846" s="2463" t="s">
        <v>2210</v>
      </c>
      <c r="C846" s="2464"/>
      <c r="D846" s="2464"/>
      <c r="E846" s="2464"/>
      <c r="F846" s="2465"/>
      <c r="G846" s="2025"/>
      <c r="H846" s="441"/>
    </row>
    <row r="847" spans="2:8" s="439" customFormat="1" ht="14.25">
      <c r="B847" s="1857"/>
      <c r="C847" s="1858"/>
      <c r="D847" s="1997"/>
      <c r="E847" s="1955"/>
      <c r="F847" s="1956"/>
      <c r="G847" s="1957"/>
      <c r="H847" s="441"/>
    </row>
    <row r="848" spans="2:8" s="439" customFormat="1" ht="29.25">
      <c r="B848" s="1859" t="s">
        <v>564</v>
      </c>
      <c r="C848" s="1860" t="s">
        <v>723</v>
      </c>
      <c r="D848" s="1958"/>
      <c r="E848" s="1958"/>
      <c r="F848" s="1968"/>
      <c r="G848" s="1968"/>
      <c r="H848" s="441"/>
    </row>
    <row r="849" spans="2:8" s="439" customFormat="1" ht="114">
      <c r="B849" s="1859"/>
      <c r="C849" s="1860" t="s">
        <v>566</v>
      </c>
      <c r="D849" s="1958" t="s">
        <v>60</v>
      </c>
      <c r="E849" s="1958">
        <v>1</v>
      </c>
      <c r="F849" s="1904">
        <v>0</v>
      </c>
      <c r="G849" s="1905">
        <f t="shared" ref="G849:G912" si="85">E849*F849</f>
        <v>0</v>
      </c>
      <c r="H849" s="441"/>
    </row>
    <row r="850" spans="2:8" s="439" customFormat="1" ht="14.25">
      <c r="B850" s="1859"/>
      <c r="C850" s="1860"/>
      <c r="D850" s="1960"/>
      <c r="E850" s="1960"/>
      <c r="F850" s="1904"/>
      <c r="G850" s="1905"/>
      <c r="H850" s="441"/>
    </row>
    <row r="851" spans="2:8" s="439" customFormat="1" ht="14.25">
      <c r="B851" s="1859"/>
      <c r="C851" s="1861" t="s">
        <v>567</v>
      </c>
      <c r="D851" s="1960"/>
      <c r="E851" s="1960"/>
      <c r="F851" s="1904"/>
      <c r="G851" s="1905"/>
      <c r="H851" s="441"/>
    </row>
    <row r="852" spans="2:8" s="439" customFormat="1" ht="85.5">
      <c r="B852" s="1859" t="s">
        <v>568</v>
      </c>
      <c r="C852" s="1860" t="s">
        <v>569</v>
      </c>
      <c r="D852" s="1869" t="s">
        <v>66</v>
      </c>
      <c r="E852" s="1869">
        <v>1</v>
      </c>
      <c r="F852" s="1904">
        <v>0</v>
      </c>
      <c r="G852" s="1905">
        <f t="shared" si="85"/>
        <v>0</v>
      </c>
      <c r="H852" s="441"/>
    </row>
    <row r="853" spans="2:8" s="439" customFormat="1" ht="71.25">
      <c r="B853" s="1862" t="s">
        <v>568</v>
      </c>
      <c r="C853" s="1863" t="s">
        <v>570</v>
      </c>
      <c r="D853" s="1869" t="s">
        <v>66</v>
      </c>
      <c r="E853" s="1866">
        <v>1</v>
      </c>
      <c r="F853" s="1904">
        <v>0</v>
      </c>
      <c r="G853" s="1905">
        <f t="shared" si="85"/>
        <v>0</v>
      </c>
      <c r="H853" s="441"/>
    </row>
    <row r="854" spans="2:8" s="439" customFormat="1" ht="28.5">
      <c r="B854" s="1862" t="s">
        <v>568</v>
      </c>
      <c r="C854" s="1860" t="s">
        <v>571</v>
      </c>
      <c r="D854" s="1869" t="s">
        <v>66</v>
      </c>
      <c r="E854" s="1866">
        <v>1</v>
      </c>
      <c r="F854" s="1904">
        <v>0</v>
      </c>
      <c r="G854" s="1905">
        <f t="shared" si="85"/>
        <v>0</v>
      </c>
      <c r="H854" s="441"/>
    </row>
    <row r="855" spans="2:8" s="439" customFormat="1" ht="57">
      <c r="B855" s="1862" t="s">
        <v>568</v>
      </c>
      <c r="C855" s="1863" t="s">
        <v>572</v>
      </c>
      <c r="D855" s="1869" t="s">
        <v>66</v>
      </c>
      <c r="E855" s="1866">
        <v>1</v>
      </c>
      <c r="F855" s="1904">
        <v>0</v>
      </c>
      <c r="G855" s="1905">
        <f t="shared" si="85"/>
        <v>0</v>
      </c>
      <c r="H855" s="441"/>
    </row>
    <row r="856" spans="2:8" s="439" customFormat="1" ht="85.5">
      <c r="B856" s="1859" t="s">
        <v>568</v>
      </c>
      <c r="C856" s="1860" t="s">
        <v>573</v>
      </c>
      <c r="D856" s="1869" t="s">
        <v>66</v>
      </c>
      <c r="E856" s="1869">
        <v>1</v>
      </c>
      <c r="F856" s="1904">
        <v>0</v>
      </c>
      <c r="G856" s="1905">
        <f t="shared" si="85"/>
        <v>0</v>
      </c>
      <c r="H856" s="441"/>
    </row>
    <row r="857" spans="2:8" s="439" customFormat="1" ht="71.25">
      <c r="B857" s="1864" t="s">
        <v>568</v>
      </c>
      <c r="C857" s="1863" t="s">
        <v>574</v>
      </c>
      <c r="D857" s="1869" t="s">
        <v>66</v>
      </c>
      <c r="E857" s="1866">
        <v>1</v>
      </c>
      <c r="F857" s="1904">
        <v>0</v>
      </c>
      <c r="G857" s="1905">
        <f t="shared" si="85"/>
        <v>0</v>
      </c>
      <c r="H857" s="441"/>
    </row>
    <row r="858" spans="2:8" s="439" customFormat="1" ht="42.75">
      <c r="B858" s="1864" t="s">
        <v>568</v>
      </c>
      <c r="C858" s="1863" t="s">
        <v>575</v>
      </c>
      <c r="D858" s="1869" t="s">
        <v>66</v>
      </c>
      <c r="E858" s="1866">
        <v>1</v>
      </c>
      <c r="F858" s="1904">
        <v>0</v>
      </c>
      <c r="G858" s="1905">
        <f t="shared" si="85"/>
        <v>0</v>
      </c>
      <c r="H858" s="441"/>
    </row>
    <row r="859" spans="2:8" s="439" customFormat="1" ht="42.75">
      <c r="B859" s="1864" t="s">
        <v>568</v>
      </c>
      <c r="C859" s="1863" t="s">
        <v>576</v>
      </c>
      <c r="D859" s="1869" t="s">
        <v>66</v>
      </c>
      <c r="E859" s="1866">
        <v>1</v>
      </c>
      <c r="F859" s="1904">
        <v>0</v>
      </c>
      <c r="G859" s="1905">
        <f t="shared" si="85"/>
        <v>0</v>
      </c>
      <c r="H859" s="441"/>
    </row>
    <row r="860" spans="2:8" s="439" customFormat="1" ht="14.25">
      <c r="B860" s="1857"/>
      <c r="C860" s="1858"/>
      <c r="D860" s="1997"/>
      <c r="E860" s="1955"/>
      <c r="F860" s="1904"/>
      <c r="G860" s="1905"/>
      <c r="H860" s="441"/>
    </row>
    <row r="861" spans="2:8" s="439" customFormat="1" ht="14.25">
      <c r="B861" s="1857"/>
      <c r="C861" s="1858"/>
      <c r="D861" s="1997"/>
      <c r="E861" s="1955"/>
      <c r="F861" s="1904"/>
      <c r="G861" s="1905"/>
      <c r="H861" s="441"/>
    </row>
    <row r="862" spans="2:8" s="545" customFormat="1" ht="168">
      <c r="B862" s="1865" t="s">
        <v>568</v>
      </c>
      <c r="C862" s="1779" t="s">
        <v>724</v>
      </c>
      <c r="D862" s="1866" t="s">
        <v>252</v>
      </c>
      <c r="E862" s="1866">
        <v>1</v>
      </c>
      <c r="F862" s="1904">
        <v>0</v>
      </c>
      <c r="G862" s="1905">
        <f t="shared" si="85"/>
        <v>0</v>
      </c>
      <c r="H862" s="543"/>
    </row>
    <row r="863" spans="2:8" s="439" customFormat="1" ht="42.75">
      <c r="B863" s="1862" t="s">
        <v>568</v>
      </c>
      <c r="C863" s="1863" t="s">
        <v>578</v>
      </c>
      <c r="D863" s="1869" t="s">
        <v>66</v>
      </c>
      <c r="E863" s="1866">
        <v>3</v>
      </c>
      <c r="F863" s="1904">
        <v>0</v>
      </c>
      <c r="G863" s="1905">
        <f t="shared" si="85"/>
        <v>0</v>
      </c>
      <c r="H863" s="441"/>
    </row>
    <row r="864" spans="2:8" s="439" customFormat="1" ht="42.75">
      <c r="B864" s="1862" t="s">
        <v>568</v>
      </c>
      <c r="C864" s="1863" t="s">
        <v>579</v>
      </c>
      <c r="D864" s="1869" t="s">
        <v>66</v>
      </c>
      <c r="E864" s="1866">
        <v>1</v>
      </c>
      <c r="F864" s="1904">
        <v>0</v>
      </c>
      <c r="G864" s="1905">
        <f t="shared" si="85"/>
        <v>0</v>
      </c>
      <c r="H864" s="441"/>
    </row>
    <row r="865" spans="2:8" s="439" customFormat="1" ht="42.75">
      <c r="B865" s="1862" t="s">
        <v>568</v>
      </c>
      <c r="C865" s="1863" t="s">
        <v>580</v>
      </c>
      <c r="D865" s="1869" t="s">
        <v>66</v>
      </c>
      <c r="E865" s="1866">
        <v>1</v>
      </c>
      <c r="F865" s="1904">
        <v>0</v>
      </c>
      <c r="G865" s="1905">
        <f t="shared" si="85"/>
        <v>0</v>
      </c>
      <c r="H865" s="441"/>
    </row>
    <row r="866" spans="2:8" s="439" customFormat="1" ht="42.75">
      <c r="B866" s="1862" t="s">
        <v>568</v>
      </c>
      <c r="C866" s="1863" t="s">
        <v>581</v>
      </c>
      <c r="D866" s="1869" t="s">
        <v>66</v>
      </c>
      <c r="E866" s="1866">
        <v>1</v>
      </c>
      <c r="F866" s="1904">
        <v>0</v>
      </c>
      <c r="G866" s="1905">
        <f t="shared" si="85"/>
        <v>0</v>
      </c>
      <c r="H866" s="441"/>
    </row>
    <row r="867" spans="2:8" s="439" customFormat="1" ht="71.25">
      <c r="B867" s="1862" t="s">
        <v>568</v>
      </c>
      <c r="C867" s="1863" t="s">
        <v>582</v>
      </c>
      <c r="D867" s="1869" t="s">
        <v>66</v>
      </c>
      <c r="E867" s="1866">
        <v>1</v>
      </c>
      <c r="F867" s="1904">
        <v>0</v>
      </c>
      <c r="G867" s="1905">
        <f t="shared" si="85"/>
        <v>0</v>
      </c>
      <c r="H867" s="441"/>
    </row>
    <row r="868" spans="2:8" s="439" customFormat="1" ht="42.75">
      <c r="B868" s="1862" t="s">
        <v>568</v>
      </c>
      <c r="C868" s="1863" t="s">
        <v>583</v>
      </c>
      <c r="D868" s="1869" t="s">
        <v>66</v>
      </c>
      <c r="E868" s="1866">
        <v>1</v>
      </c>
      <c r="F868" s="1904">
        <v>0</v>
      </c>
      <c r="G868" s="1905">
        <f t="shared" si="85"/>
        <v>0</v>
      </c>
      <c r="H868" s="441"/>
    </row>
    <row r="869" spans="2:8" s="439" customFormat="1" ht="42.75">
      <c r="B869" s="1862" t="s">
        <v>568</v>
      </c>
      <c r="C869" s="1863" t="s">
        <v>584</v>
      </c>
      <c r="D869" s="1869" t="s">
        <v>66</v>
      </c>
      <c r="E869" s="1866">
        <v>1</v>
      </c>
      <c r="F869" s="1904">
        <v>0</v>
      </c>
      <c r="G869" s="1905">
        <f t="shared" si="85"/>
        <v>0</v>
      </c>
      <c r="H869" s="441"/>
    </row>
    <row r="870" spans="2:8" s="439" customFormat="1" ht="28.5">
      <c r="B870" s="1862" t="s">
        <v>568</v>
      </c>
      <c r="C870" s="1863" t="s">
        <v>585</v>
      </c>
      <c r="D870" s="1869" t="s">
        <v>66</v>
      </c>
      <c r="E870" s="1866">
        <v>1</v>
      </c>
      <c r="F870" s="1904">
        <v>0</v>
      </c>
      <c r="G870" s="1905">
        <f t="shared" si="85"/>
        <v>0</v>
      </c>
      <c r="H870" s="441"/>
    </row>
    <row r="871" spans="2:8" s="439" customFormat="1" ht="28.5">
      <c r="B871" s="1862" t="s">
        <v>568</v>
      </c>
      <c r="C871" s="1863" t="s">
        <v>586</v>
      </c>
      <c r="D871" s="1869" t="s">
        <v>66</v>
      </c>
      <c r="E871" s="1866">
        <v>1</v>
      </c>
      <c r="F871" s="1904">
        <v>0</v>
      </c>
      <c r="G871" s="1905">
        <f t="shared" si="85"/>
        <v>0</v>
      </c>
      <c r="H871" s="441"/>
    </row>
    <row r="872" spans="2:8" s="439" customFormat="1" ht="28.5">
      <c r="B872" s="1862" t="s">
        <v>568</v>
      </c>
      <c r="C872" s="1863" t="s">
        <v>587</v>
      </c>
      <c r="D872" s="1869" t="s">
        <v>66</v>
      </c>
      <c r="E872" s="1866">
        <v>1</v>
      </c>
      <c r="F872" s="1904">
        <v>0</v>
      </c>
      <c r="G872" s="1905">
        <f t="shared" si="85"/>
        <v>0</v>
      </c>
      <c r="H872" s="441"/>
    </row>
    <row r="873" spans="2:8" s="439" customFormat="1" ht="28.5">
      <c r="B873" s="1862" t="s">
        <v>568</v>
      </c>
      <c r="C873" s="1863" t="s">
        <v>588</v>
      </c>
      <c r="D873" s="1869" t="s">
        <v>66</v>
      </c>
      <c r="E873" s="1866">
        <v>1</v>
      </c>
      <c r="F873" s="1904">
        <v>0</v>
      </c>
      <c r="G873" s="1905">
        <f t="shared" si="85"/>
        <v>0</v>
      </c>
      <c r="H873" s="441"/>
    </row>
    <row r="874" spans="2:8" s="439" customFormat="1" ht="42.75">
      <c r="B874" s="1862" t="s">
        <v>568</v>
      </c>
      <c r="C874" s="1863" t="s">
        <v>589</v>
      </c>
      <c r="D874" s="1869" t="s">
        <v>66</v>
      </c>
      <c r="E874" s="1866">
        <v>1</v>
      </c>
      <c r="F874" s="1904">
        <v>0</v>
      </c>
      <c r="G874" s="1905">
        <f t="shared" si="85"/>
        <v>0</v>
      </c>
      <c r="H874" s="441"/>
    </row>
    <row r="875" spans="2:8" s="439" customFormat="1" ht="42.75">
      <c r="B875" s="1862" t="s">
        <v>568</v>
      </c>
      <c r="C875" s="1863" t="s">
        <v>590</v>
      </c>
      <c r="D875" s="1869" t="s">
        <v>66</v>
      </c>
      <c r="E875" s="1866">
        <v>1</v>
      </c>
      <c r="F875" s="1904">
        <v>0</v>
      </c>
      <c r="G875" s="1905">
        <f t="shared" si="85"/>
        <v>0</v>
      </c>
      <c r="H875" s="441"/>
    </row>
    <row r="876" spans="2:8" s="439" customFormat="1" ht="14.25">
      <c r="B876" s="1857"/>
      <c r="C876" s="1858"/>
      <c r="D876" s="1997"/>
      <c r="E876" s="1955"/>
      <c r="F876" s="1904">
        <v>0</v>
      </c>
      <c r="G876" s="1905">
        <f t="shared" si="85"/>
        <v>0</v>
      </c>
      <c r="H876" s="441"/>
    </row>
    <row r="877" spans="2:8" s="439" customFormat="1" ht="28.5">
      <c r="B877" s="1862" t="s">
        <v>568</v>
      </c>
      <c r="C877" s="1863" t="s">
        <v>591</v>
      </c>
      <c r="D877" s="1869" t="s">
        <v>66</v>
      </c>
      <c r="E877" s="1866">
        <v>1</v>
      </c>
      <c r="F877" s="1904">
        <v>0</v>
      </c>
      <c r="G877" s="1905">
        <f t="shared" si="85"/>
        <v>0</v>
      </c>
      <c r="H877" s="441"/>
    </row>
    <row r="878" spans="2:8" s="439" customFormat="1" ht="28.5">
      <c r="B878" s="1862" t="s">
        <v>568</v>
      </c>
      <c r="C878" s="1863" t="s">
        <v>592</v>
      </c>
      <c r="D878" s="1869" t="s">
        <v>66</v>
      </c>
      <c r="E878" s="1866">
        <v>1</v>
      </c>
      <c r="F878" s="1904">
        <v>0</v>
      </c>
      <c r="G878" s="1905">
        <f t="shared" si="85"/>
        <v>0</v>
      </c>
      <c r="H878" s="441"/>
    </row>
    <row r="879" spans="2:8" s="439" customFormat="1" ht="42.75">
      <c r="B879" s="1862" t="s">
        <v>568</v>
      </c>
      <c r="C879" s="1863" t="s">
        <v>593</v>
      </c>
      <c r="D879" s="1869" t="s">
        <v>66</v>
      </c>
      <c r="E879" s="1866">
        <v>1</v>
      </c>
      <c r="F879" s="1904">
        <v>0</v>
      </c>
      <c r="G879" s="1905">
        <f t="shared" si="85"/>
        <v>0</v>
      </c>
      <c r="H879" s="441"/>
    </row>
    <row r="880" spans="2:8" s="439" customFormat="1" ht="28.5">
      <c r="B880" s="1862" t="s">
        <v>568</v>
      </c>
      <c r="C880" s="1863" t="s">
        <v>594</v>
      </c>
      <c r="D880" s="1869" t="s">
        <v>66</v>
      </c>
      <c r="E880" s="1866">
        <v>1</v>
      </c>
      <c r="F880" s="1904">
        <v>0</v>
      </c>
      <c r="G880" s="1905">
        <f t="shared" si="85"/>
        <v>0</v>
      </c>
      <c r="H880" s="441"/>
    </row>
    <row r="881" spans="2:8" s="439" customFormat="1" ht="42.75">
      <c r="B881" s="1864" t="s">
        <v>568</v>
      </c>
      <c r="C881" s="1863" t="s">
        <v>595</v>
      </c>
      <c r="D881" s="1869" t="s">
        <v>66</v>
      </c>
      <c r="E881" s="1866">
        <v>5</v>
      </c>
      <c r="F881" s="1904">
        <v>0</v>
      </c>
      <c r="G881" s="1905">
        <f t="shared" si="85"/>
        <v>0</v>
      </c>
      <c r="H881" s="441"/>
    </row>
    <row r="882" spans="2:8" s="439" customFormat="1" ht="28.5">
      <c r="B882" s="1864" t="s">
        <v>568</v>
      </c>
      <c r="C882" s="1863" t="s">
        <v>596</v>
      </c>
      <c r="D882" s="1869" t="s">
        <v>66</v>
      </c>
      <c r="E882" s="1866">
        <v>4</v>
      </c>
      <c r="F882" s="1904">
        <v>0</v>
      </c>
      <c r="G882" s="1905">
        <f t="shared" si="85"/>
        <v>0</v>
      </c>
      <c r="H882" s="441"/>
    </row>
    <row r="883" spans="2:8" s="439" customFormat="1" ht="28.5">
      <c r="B883" s="1864" t="s">
        <v>568</v>
      </c>
      <c r="C883" s="1863" t="s">
        <v>597</v>
      </c>
      <c r="D883" s="1869" t="s">
        <v>66</v>
      </c>
      <c r="E883" s="1866">
        <v>11</v>
      </c>
      <c r="F883" s="1904">
        <v>0</v>
      </c>
      <c r="G883" s="1905">
        <f t="shared" si="85"/>
        <v>0</v>
      </c>
      <c r="H883" s="441"/>
    </row>
    <row r="884" spans="2:8" s="439" customFormat="1" ht="28.5">
      <c r="B884" s="1862" t="s">
        <v>568</v>
      </c>
      <c r="C884" s="1863" t="s">
        <v>598</v>
      </c>
      <c r="D884" s="1869" t="s">
        <v>66</v>
      </c>
      <c r="E884" s="1866">
        <v>20</v>
      </c>
      <c r="F884" s="1904">
        <v>0</v>
      </c>
      <c r="G884" s="1905">
        <f t="shared" si="85"/>
        <v>0</v>
      </c>
      <c r="H884" s="441"/>
    </row>
    <row r="885" spans="2:8" s="439" customFormat="1" ht="28.5">
      <c r="B885" s="1862" t="s">
        <v>568</v>
      </c>
      <c r="C885" s="1863" t="s">
        <v>599</v>
      </c>
      <c r="D885" s="1869" t="s">
        <v>66</v>
      </c>
      <c r="E885" s="1866">
        <v>10</v>
      </c>
      <c r="F885" s="1904">
        <v>0</v>
      </c>
      <c r="G885" s="1905">
        <f t="shared" si="85"/>
        <v>0</v>
      </c>
      <c r="H885" s="441"/>
    </row>
    <row r="886" spans="2:8" s="439" customFormat="1" ht="42.75">
      <c r="B886" s="1862" t="s">
        <v>568</v>
      </c>
      <c r="C886" s="1863" t="s">
        <v>600</v>
      </c>
      <c r="D886" s="1869" t="s">
        <v>66</v>
      </c>
      <c r="E886" s="1866">
        <v>5</v>
      </c>
      <c r="F886" s="1904">
        <v>0</v>
      </c>
      <c r="G886" s="1905">
        <f t="shared" si="85"/>
        <v>0</v>
      </c>
      <c r="H886" s="441"/>
    </row>
    <row r="887" spans="2:8" s="439" customFormat="1" ht="42.75">
      <c r="B887" s="1862" t="s">
        <v>568</v>
      </c>
      <c r="C887" s="1863" t="s">
        <v>601</v>
      </c>
      <c r="D887" s="1869" t="s">
        <v>66</v>
      </c>
      <c r="E887" s="1866">
        <v>1</v>
      </c>
      <c r="F887" s="1904">
        <v>0</v>
      </c>
      <c r="G887" s="1905">
        <f t="shared" si="85"/>
        <v>0</v>
      </c>
      <c r="H887" s="441"/>
    </row>
    <row r="888" spans="2:8" s="439" customFormat="1" ht="42.75">
      <c r="B888" s="1862" t="s">
        <v>568</v>
      </c>
      <c r="C888" s="1863" t="s">
        <v>602</v>
      </c>
      <c r="D888" s="1869" t="s">
        <v>66</v>
      </c>
      <c r="E888" s="1866">
        <v>6</v>
      </c>
      <c r="F888" s="1904">
        <v>0</v>
      </c>
      <c r="G888" s="1905">
        <f t="shared" si="85"/>
        <v>0</v>
      </c>
      <c r="H888" s="441"/>
    </row>
    <row r="889" spans="2:8" s="439" customFormat="1" ht="42.75">
      <c r="B889" s="1862" t="s">
        <v>568</v>
      </c>
      <c r="C889" s="1863" t="s">
        <v>603</v>
      </c>
      <c r="D889" s="1869" t="s">
        <v>66</v>
      </c>
      <c r="E889" s="1866">
        <v>1</v>
      </c>
      <c r="F889" s="1904">
        <v>0</v>
      </c>
      <c r="G889" s="1905">
        <f t="shared" si="85"/>
        <v>0</v>
      </c>
      <c r="H889" s="441"/>
    </row>
    <row r="890" spans="2:8" s="439" customFormat="1" ht="42.75">
      <c r="B890" s="1862" t="s">
        <v>568</v>
      </c>
      <c r="C890" s="1863" t="s">
        <v>604</v>
      </c>
      <c r="D890" s="1869" t="s">
        <v>66</v>
      </c>
      <c r="E890" s="1866">
        <v>1</v>
      </c>
      <c r="F890" s="1904">
        <v>0</v>
      </c>
      <c r="G890" s="1905">
        <f t="shared" si="85"/>
        <v>0</v>
      </c>
      <c r="H890" s="441"/>
    </row>
    <row r="891" spans="2:8" s="439" customFormat="1" ht="42.75">
      <c r="B891" s="1862" t="s">
        <v>568</v>
      </c>
      <c r="C891" s="1863" t="s">
        <v>605</v>
      </c>
      <c r="D891" s="1869" t="s">
        <v>66</v>
      </c>
      <c r="E891" s="1866">
        <v>1</v>
      </c>
      <c r="F891" s="1904">
        <v>0</v>
      </c>
      <c r="G891" s="1905">
        <f t="shared" si="85"/>
        <v>0</v>
      </c>
      <c r="H891" s="441"/>
    </row>
    <row r="892" spans="2:8" s="439" customFormat="1" ht="57">
      <c r="B892" s="1862" t="s">
        <v>568</v>
      </c>
      <c r="C892" s="1863" t="s">
        <v>606</v>
      </c>
      <c r="D892" s="1869" t="s">
        <v>66</v>
      </c>
      <c r="E892" s="1866">
        <v>5</v>
      </c>
      <c r="F892" s="1904">
        <v>0</v>
      </c>
      <c r="G892" s="1905">
        <f t="shared" si="85"/>
        <v>0</v>
      </c>
      <c r="H892" s="441"/>
    </row>
    <row r="893" spans="2:8" s="439" customFormat="1" ht="57">
      <c r="B893" s="1862" t="s">
        <v>568</v>
      </c>
      <c r="C893" s="1863" t="s">
        <v>607</v>
      </c>
      <c r="D893" s="1869" t="s">
        <v>66</v>
      </c>
      <c r="E893" s="1866">
        <v>1</v>
      </c>
      <c r="F893" s="1904">
        <v>0</v>
      </c>
      <c r="G893" s="1905">
        <f t="shared" si="85"/>
        <v>0</v>
      </c>
      <c r="H893" s="441"/>
    </row>
    <row r="894" spans="2:8" s="439" customFormat="1" ht="42.75">
      <c r="B894" s="1862" t="s">
        <v>568</v>
      </c>
      <c r="C894" s="1863" t="s">
        <v>608</v>
      </c>
      <c r="D894" s="1869" t="s">
        <v>66</v>
      </c>
      <c r="E894" s="1866">
        <v>1</v>
      </c>
      <c r="F894" s="1904">
        <v>0</v>
      </c>
      <c r="G894" s="1905">
        <f t="shared" si="85"/>
        <v>0</v>
      </c>
      <c r="H894" s="441"/>
    </row>
    <row r="895" spans="2:8" s="439" customFormat="1" ht="42.75">
      <c r="B895" s="1862" t="s">
        <v>568</v>
      </c>
      <c r="C895" s="1863" t="s">
        <v>609</v>
      </c>
      <c r="D895" s="1869" t="s">
        <v>66</v>
      </c>
      <c r="E895" s="1866">
        <v>2</v>
      </c>
      <c r="F895" s="1904">
        <v>0</v>
      </c>
      <c r="G895" s="1905">
        <f t="shared" si="85"/>
        <v>0</v>
      </c>
      <c r="H895" s="441"/>
    </row>
    <row r="896" spans="2:8" s="439" customFormat="1" ht="42.75">
      <c r="B896" s="1862" t="s">
        <v>568</v>
      </c>
      <c r="C896" s="1863" t="s">
        <v>610</v>
      </c>
      <c r="D896" s="1869" t="s">
        <v>66</v>
      </c>
      <c r="E896" s="1866">
        <v>1</v>
      </c>
      <c r="F896" s="1904">
        <v>0</v>
      </c>
      <c r="G896" s="1905">
        <f t="shared" si="85"/>
        <v>0</v>
      </c>
      <c r="H896" s="441"/>
    </row>
    <row r="897" spans="2:8" s="439" customFormat="1" ht="57">
      <c r="B897" s="1862" t="s">
        <v>568</v>
      </c>
      <c r="C897" s="1863" t="s">
        <v>611</v>
      </c>
      <c r="D897" s="1869" t="s">
        <v>66</v>
      </c>
      <c r="E897" s="1866">
        <v>1</v>
      </c>
      <c r="F897" s="1904">
        <v>0</v>
      </c>
      <c r="G897" s="1905">
        <f t="shared" si="85"/>
        <v>0</v>
      </c>
      <c r="H897" s="441"/>
    </row>
    <row r="898" spans="2:8" s="439" customFormat="1" ht="42.75">
      <c r="B898" s="1862" t="s">
        <v>568</v>
      </c>
      <c r="C898" s="1863" t="s">
        <v>612</v>
      </c>
      <c r="D898" s="1869" t="s">
        <v>66</v>
      </c>
      <c r="E898" s="1866">
        <v>3</v>
      </c>
      <c r="F898" s="1904">
        <v>0</v>
      </c>
      <c r="G898" s="1905">
        <f t="shared" si="85"/>
        <v>0</v>
      </c>
      <c r="H898" s="441"/>
    </row>
    <row r="899" spans="2:8" s="439" customFormat="1" ht="14.25">
      <c r="B899" s="1857"/>
      <c r="C899" s="1858"/>
      <c r="D899" s="1997"/>
      <c r="E899" s="1955"/>
      <c r="F899" s="1904"/>
      <c r="G899" s="1905"/>
      <c r="H899" s="441"/>
    </row>
    <row r="900" spans="2:8" s="439" customFormat="1" ht="14.25">
      <c r="B900" s="1857"/>
      <c r="C900" s="1858"/>
      <c r="D900" s="1997"/>
      <c r="E900" s="1955"/>
      <c r="F900" s="1904"/>
      <c r="G900" s="1905"/>
      <c r="H900" s="441"/>
    </row>
    <row r="901" spans="2:8" s="439" customFormat="1" ht="42.75">
      <c r="B901" s="1862" t="s">
        <v>568</v>
      </c>
      <c r="C901" s="1863" t="s">
        <v>613</v>
      </c>
      <c r="D901" s="1869" t="s">
        <v>66</v>
      </c>
      <c r="E901" s="1866">
        <v>1</v>
      </c>
      <c r="F901" s="1904">
        <v>0</v>
      </c>
      <c r="G901" s="1905">
        <f t="shared" si="85"/>
        <v>0</v>
      </c>
      <c r="H901" s="441"/>
    </row>
    <row r="902" spans="2:8" s="439" customFormat="1" ht="42.75">
      <c r="B902" s="1862" t="s">
        <v>568</v>
      </c>
      <c r="C902" s="1863" t="s">
        <v>614</v>
      </c>
      <c r="D902" s="1869" t="s">
        <v>66</v>
      </c>
      <c r="E902" s="1866">
        <v>12</v>
      </c>
      <c r="F902" s="1904">
        <v>0</v>
      </c>
      <c r="G902" s="1905">
        <f t="shared" si="85"/>
        <v>0</v>
      </c>
      <c r="H902" s="441"/>
    </row>
    <row r="903" spans="2:8" s="439" customFormat="1" ht="42.75">
      <c r="B903" s="1862" t="s">
        <v>568</v>
      </c>
      <c r="C903" s="1863" t="s">
        <v>615</v>
      </c>
      <c r="D903" s="1869" t="s">
        <v>66</v>
      </c>
      <c r="E903" s="1866">
        <v>18</v>
      </c>
      <c r="F903" s="1904">
        <v>0</v>
      </c>
      <c r="G903" s="1905">
        <f t="shared" si="85"/>
        <v>0</v>
      </c>
      <c r="H903" s="441"/>
    </row>
    <row r="904" spans="2:8" s="439" customFormat="1" ht="42.75">
      <c r="B904" s="1862" t="s">
        <v>568</v>
      </c>
      <c r="C904" s="1863" t="s">
        <v>616</v>
      </c>
      <c r="D904" s="1869" t="s">
        <v>66</v>
      </c>
      <c r="E904" s="1866">
        <v>2</v>
      </c>
      <c r="F904" s="1904">
        <v>0</v>
      </c>
      <c r="G904" s="1905">
        <f t="shared" si="85"/>
        <v>0</v>
      </c>
      <c r="H904" s="441"/>
    </row>
    <row r="905" spans="2:8" s="439" customFormat="1" ht="42.75">
      <c r="B905" s="1862" t="s">
        <v>568</v>
      </c>
      <c r="C905" s="1863" t="s">
        <v>617</v>
      </c>
      <c r="D905" s="1869" t="s">
        <v>66</v>
      </c>
      <c r="E905" s="1866">
        <v>4</v>
      </c>
      <c r="F905" s="1904">
        <v>0</v>
      </c>
      <c r="G905" s="1905">
        <f t="shared" si="85"/>
        <v>0</v>
      </c>
      <c r="H905" s="441"/>
    </row>
    <row r="906" spans="2:8" s="439" customFormat="1" ht="28.5">
      <c r="B906" s="1862" t="s">
        <v>568</v>
      </c>
      <c r="C906" s="1863" t="s">
        <v>618</v>
      </c>
      <c r="D906" s="1869" t="s">
        <v>66</v>
      </c>
      <c r="E906" s="1866">
        <v>1</v>
      </c>
      <c r="F906" s="1904">
        <v>0</v>
      </c>
      <c r="G906" s="1905">
        <f t="shared" si="85"/>
        <v>0</v>
      </c>
      <c r="H906" s="441"/>
    </row>
    <row r="907" spans="2:8" s="439" customFormat="1" ht="28.5">
      <c r="B907" s="1862" t="s">
        <v>568</v>
      </c>
      <c r="C907" s="1863" t="s">
        <v>619</v>
      </c>
      <c r="D907" s="1869" t="s">
        <v>66</v>
      </c>
      <c r="E907" s="1866">
        <v>10</v>
      </c>
      <c r="F907" s="1904">
        <v>0</v>
      </c>
      <c r="G907" s="1905">
        <f t="shared" si="85"/>
        <v>0</v>
      </c>
      <c r="H907" s="441"/>
    </row>
    <row r="908" spans="2:8" s="439" customFormat="1" ht="28.5">
      <c r="B908" s="1862" t="s">
        <v>568</v>
      </c>
      <c r="C908" s="1863" t="s">
        <v>620</v>
      </c>
      <c r="D908" s="1869" t="s">
        <v>66</v>
      </c>
      <c r="E908" s="1866">
        <v>5</v>
      </c>
      <c r="F908" s="1904">
        <v>0</v>
      </c>
      <c r="G908" s="1905">
        <f t="shared" si="85"/>
        <v>0</v>
      </c>
      <c r="H908" s="441"/>
    </row>
    <row r="909" spans="2:8" s="439" customFormat="1" ht="28.5">
      <c r="B909" s="1862" t="s">
        <v>568</v>
      </c>
      <c r="C909" s="1863" t="s">
        <v>621</v>
      </c>
      <c r="D909" s="1869" t="s">
        <v>66</v>
      </c>
      <c r="E909" s="1866">
        <v>1</v>
      </c>
      <c r="F909" s="1904">
        <v>0</v>
      </c>
      <c r="G909" s="1905">
        <f t="shared" si="85"/>
        <v>0</v>
      </c>
      <c r="H909" s="441"/>
    </row>
    <row r="910" spans="2:8" s="439" customFormat="1" ht="28.5">
      <c r="B910" s="1862" t="s">
        <v>568</v>
      </c>
      <c r="C910" s="1863" t="s">
        <v>622</v>
      </c>
      <c r="D910" s="1869" t="s">
        <v>66</v>
      </c>
      <c r="E910" s="1866">
        <v>1</v>
      </c>
      <c r="F910" s="1904">
        <v>0</v>
      </c>
      <c r="G910" s="1905">
        <f t="shared" si="85"/>
        <v>0</v>
      </c>
      <c r="H910" s="441"/>
    </row>
    <row r="911" spans="2:8" s="439" customFormat="1" ht="28.5">
      <c r="B911" s="1862" t="s">
        <v>568</v>
      </c>
      <c r="C911" s="1863" t="s">
        <v>623</v>
      </c>
      <c r="D911" s="1869" t="s">
        <v>66</v>
      </c>
      <c r="E911" s="1866">
        <v>1</v>
      </c>
      <c r="F911" s="1904">
        <v>0</v>
      </c>
      <c r="G911" s="1905">
        <f t="shared" si="85"/>
        <v>0</v>
      </c>
      <c r="H911" s="441"/>
    </row>
    <row r="912" spans="2:8" s="439" customFormat="1" ht="42.75">
      <c r="B912" s="1862" t="s">
        <v>568</v>
      </c>
      <c r="C912" s="1863" t="s">
        <v>624</v>
      </c>
      <c r="D912" s="1869" t="s">
        <v>66</v>
      </c>
      <c r="E912" s="1866">
        <v>1</v>
      </c>
      <c r="F912" s="1904">
        <v>0</v>
      </c>
      <c r="G912" s="1905">
        <f t="shared" si="85"/>
        <v>0</v>
      </c>
      <c r="H912" s="441"/>
    </row>
    <row r="913" spans="2:8" s="439" customFormat="1" ht="42.75">
      <c r="B913" s="1862" t="s">
        <v>568</v>
      </c>
      <c r="C913" s="1863" t="s">
        <v>625</v>
      </c>
      <c r="D913" s="1869" t="s">
        <v>66</v>
      </c>
      <c r="E913" s="1866">
        <v>1</v>
      </c>
      <c r="F913" s="1904">
        <v>0</v>
      </c>
      <c r="G913" s="1905">
        <f t="shared" ref="G913:G970" si="86">E913*F913</f>
        <v>0</v>
      </c>
      <c r="H913" s="441"/>
    </row>
    <row r="914" spans="2:8" s="439" customFormat="1" ht="28.5">
      <c r="B914" s="1862" t="s">
        <v>568</v>
      </c>
      <c r="C914" s="1863" t="s">
        <v>626</v>
      </c>
      <c r="D914" s="1869" t="s">
        <v>66</v>
      </c>
      <c r="E914" s="1866">
        <v>1</v>
      </c>
      <c r="F914" s="1904">
        <v>0</v>
      </c>
      <c r="G914" s="1905">
        <f t="shared" si="86"/>
        <v>0</v>
      </c>
      <c r="H914" s="441"/>
    </row>
    <row r="915" spans="2:8" s="439" customFormat="1" ht="28.5">
      <c r="B915" s="1862" t="s">
        <v>568</v>
      </c>
      <c r="C915" s="1863" t="s">
        <v>627</v>
      </c>
      <c r="D915" s="1869" t="s">
        <v>66</v>
      </c>
      <c r="E915" s="1866">
        <v>19</v>
      </c>
      <c r="F915" s="1904">
        <v>0</v>
      </c>
      <c r="G915" s="1905">
        <f t="shared" si="86"/>
        <v>0</v>
      </c>
      <c r="H915" s="441"/>
    </row>
    <row r="916" spans="2:8" s="439" customFormat="1" ht="42.75">
      <c r="B916" s="1870" t="s">
        <v>568</v>
      </c>
      <c r="C916" s="1860" t="s">
        <v>628</v>
      </c>
      <c r="D916" s="1869" t="s">
        <v>66</v>
      </c>
      <c r="E916" s="1869">
        <v>19</v>
      </c>
      <c r="F916" s="1904">
        <v>0</v>
      </c>
      <c r="G916" s="1905">
        <f t="shared" si="86"/>
        <v>0</v>
      </c>
      <c r="H916" s="441"/>
    </row>
    <row r="917" spans="2:8" s="439" customFormat="1" ht="42.75">
      <c r="B917" s="1859" t="s">
        <v>568</v>
      </c>
      <c r="C917" s="1860" t="s">
        <v>629</v>
      </c>
      <c r="D917" s="1869" t="s">
        <v>66</v>
      </c>
      <c r="E917" s="1869">
        <v>19</v>
      </c>
      <c r="F917" s="1904">
        <v>0</v>
      </c>
      <c r="G917" s="1905">
        <f t="shared" si="86"/>
        <v>0</v>
      </c>
      <c r="H917" s="441"/>
    </row>
    <row r="918" spans="2:8" s="439" customFormat="1" ht="42.75">
      <c r="B918" s="1859" t="s">
        <v>568</v>
      </c>
      <c r="C918" s="1860" t="s">
        <v>630</v>
      </c>
      <c r="D918" s="1869" t="s">
        <v>66</v>
      </c>
      <c r="E918" s="1869">
        <v>2</v>
      </c>
      <c r="F918" s="1904">
        <v>0</v>
      </c>
      <c r="G918" s="1905">
        <f t="shared" si="86"/>
        <v>0</v>
      </c>
      <c r="H918" s="441"/>
    </row>
    <row r="919" spans="2:8" s="439" customFormat="1" ht="42.75">
      <c r="B919" s="1870" t="s">
        <v>568</v>
      </c>
      <c r="C919" s="1860" t="s">
        <v>631</v>
      </c>
      <c r="D919" s="1869" t="s">
        <v>66</v>
      </c>
      <c r="E919" s="1869">
        <v>55</v>
      </c>
      <c r="F919" s="1904">
        <v>0</v>
      </c>
      <c r="G919" s="1905">
        <f t="shared" si="86"/>
        <v>0</v>
      </c>
      <c r="H919" s="441"/>
    </row>
    <row r="920" spans="2:8" s="439" customFormat="1" ht="42.75">
      <c r="B920" s="1859" t="s">
        <v>568</v>
      </c>
      <c r="C920" s="1860" t="s">
        <v>632</v>
      </c>
      <c r="D920" s="1869" t="s">
        <v>66</v>
      </c>
      <c r="E920" s="1869">
        <v>1</v>
      </c>
      <c r="F920" s="1904">
        <v>0</v>
      </c>
      <c r="G920" s="1905">
        <f t="shared" si="86"/>
        <v>0</v>
      </c>
      <c r="H920" s="441"/>
    </row>
    <row r="921" spans="2:8" s="439" customFormat="1" ht="28.5">
      <c r="B921" s="1871" t="s">
        <v>568</v>
      </c>
      <c r="C921" s="1860" t="s">
        <v>633</v>
      </c>
      <c r="D921" s="1869" t="s">
        <v>66</v>
      </c>
      <c r="E921" s="1869">
        <v>56</v>
      </c>
      <c r="F921" s="1904">
        <v>0</v>
      </c>
      <c r="G921" s="1905">
        <f t="shared" si="86"/>
        <v>0</v>
      </c>
      <c r="H921" s="441"/>
    </row>
    <row r="922" spans="2:8" s="439" customFormat="1" ht="28.5">
      <c r="B922" s="1871" t="s">
        <v>568</v>
      </c>
      <c r="C922" s="1860" t="s">
        <v>634</v>
      </c>
      <c r="D922" s="1869" t="s">
        <v>66</v>
      </c>
      <c r="E922" s="1869">
        <v>56</v>
      </c>
      <c r="F922" s="1904">
        <v>0</v>
      </c>
      <c r="G922" s="1905">
        <f t="shared" si="86"/>
        <v>0</v>
      </c>
      <c r="H922" s="441"/>
    </row>
    <row r="923" spans="2:8" s="545" customFormat="1" ht="127.5">
      <c r="B923" s="1896"/>
      <c r="C923" s="1897" t="s">
        <v>635</v>
      </c>
      <c r="D923" s="1869" t="s">
        <v>252</v>
      </c>
      <c r="E923" s="1869">
        <v>1</v>
      </c>
      <c r="F923" s="1904">
        <v>0</v>
      </c>
      <c r="G923" s="1905">
        <f t="shared" si="86"/>
        <v>0</v>
      </c>
      <c r="H923" s="547"/>
    </row>
    <row r="924" spans="2:8" s="439" customFormat="1" ht="28.5">
      <c r="B924" s="1857"/>
      <c r="C924" s="1858" t="s">
        <v>636</v>
      </c>
      <c r="D924" s="1869" t="s">
        <v>252</v>
      </c>
      <c r="E924" s="1869">
        <v>1</v>
      </c>
      <c r="F924" s="1904">
        <v>0</v>
      </c>
      <c r="G924" s="1905">
        <f t="shared" si="86"/>
        <v>0</v>
      </c>
      <c r="H924" s="441"/>
    </row>
    <row r="925" spans="2:8" s="439" customFormat="1" ht="28.5">
      <c r="B925" s="1862" t="s">
        <v>568</v>
      </c>
      <c r="C925" s="1863" t="s">
        <v>637</v>
      </c>
      <c r="D925" s="1866" t="s">
        <v>66</v>
      </c>
      <c r="E925" s="1866">
        <v>55</v>
      </c>
      <c r="F925" s="1904">
        <v>0</v>
      </c>
      <c r="G925" s="1905">
        <f t="shared" si="86"/>
        <v>0</v>
      </c>
      <c r="H925" s="441"/>
    </row>
    <row r="926" spans="2:8" s="439" customFormat="1" ht="28.5">
      <c r="B926" s="1862" t="s">
        <v>568</v>
      </c>
      <c r="C926" s="1863" t="s">
        <v>638</v>
      </c>
      <c r="D926" s="1866" t="s">
        <v>66</v>
      </c>
      <c r="E926" s="1866">
        <v>1</v>
      </c>
      <c r="F926" s="1904">
        <v>0</v>
      </c>
      <c r="G926" s="1905">
        <f t="shared" si="86"/>
        <v>0</v>
      </c>
      <c r="H926" s="441"/>
    </row>
    <row r="927" spans="2:8" s="439" customFormat="1" ht="42.75">
      <c r="B927" s="1870" t="s">
        <v>568</v>
      </c>
      <c r="C927" s="1860" t="s">
        <v>639</v>
      </c>
      <c r="D927" s="1869" t="s">
        <v>66</v>
      </c>
      <c r="E927" s="1869">
        <v>6</v>
      </c>
      <c r="F927" s="1904">
        <v>0</v>
      </c>
      <c r="G927" s="1905">
        <f t="shared" si="86"/>
        <v>0</v>
      </c>
      <c r="H927" s="441"/>
    </row>
    <row r="928" spans="2:8" s="439" customFormat="1" ht="14.25">
      <c r="B928" s="1862" t="s">
        <v>568</v>
      </c>
      <c r="C928" s="1863" t="s">
        <v>640</v>
      </c>
      <c r="D928" s="1866" t="s">
        <v>60</v>
      </c>
      <c r="E928" s="1866">
        <v>1</v>
      </c>
      <c r="F928" s="1904">
        <v>0</v>
      </c>
      <c r="G928" s="1905">
        <f t="shared" si="86"/>
        <v>0</v>
      </c>
      <c r="H928" s="441"/>
    </row>
    <row r="929" spans="2:8" s="439" customFormat="1" ht="28.5">
      <c r="B929" s="1862" t="s">
        <v>568</v>
      </c>
      <c r="C929" s="1863" t="s">
        <v>641</v>
      </c>
      <c r="D929" s="1866" t="s">
        <v>60</v>
      </c>
      <c r="E929" s="1866">
        <v>1</v>
      </c>
      <c r="F929" s="1904">
        <v>0</v>
      </c>
      <c r="G929" s="1905">
        <f t="shared" si="86"/>
        <v>0</v>
      </c>
      <c r="H929" s="441"/>
    </row>
    <row r="930" spans="2:8" s="439" customFormat="1" ht="57">
      <c r="B930" s="1862" t="s">
        <v>568</v>
      </c>
      <c r="C930" s="1863" t="s">
        <v>642</v>
      </c>
      <c r="D930" s="1866" t="s">
        <v>60</v>
      </c>
      <c r="E930" s="1866">
        <v>1</v>
      </c>
      <c r="F930" s="1904">
        <v>0</v>
      </c>
      <c r="G930" s="1905">
        <f t="shared" si="86"/>
        <v>0</v>
      </c>
      <c r="H930" s="441"/>
    </row>
    <row r="931" spans="2:8" s="439" customFormat="1" ht="71.25">
      <c r="B931" s="1862" t="s">
        <v>568</v>
      </c>
      <c r="C931" s="1863" t="s">
        <v>643</v>
      </c>
      <c r="D931" s="1866" t="s">
        <v>60</v>
      </c>
      <c r="E931" s="1866">
        <v>1</v>
      </c>
      <c r="F931" s="1904">
        <v>0</v>
      </c>
      <c r="G931" s="1905">
        <f t="shared" si="86"/>
        <v>0</v>
      </c>
      <c r="H931" s="441"/>
    </row>
    <row r="932" spans="2:8" s="439" customFormat="1" ht="14.25">
      <c r="B932" s="1862"/>
      <c r="C932" s="1863"/>
      <c r="D932" s="1874"/>
      <c r="E932" s="1874"/>
      <c r="F932" s="1904"/>
      <c r="G932" s="1905"/>
      <c r="H932" s="441"/>
    </row>
    <row r="933" spans="2:8" s="439" customFormat="1" ht="64.5" customHeight="1">
      <c r="B933" s="1862" t="s">
        <v>644</v>
      </c>
      <c r="C933" s="1863" t="s">
        <v>645</v>
      </c>
      <c r="D933" s="1874"/>
      <c r="E933" s="1874"/>
      <c r="F933" s="1904"/>
      <c r="G933" s="1905"/>
      <c r="H933" s="441"/>
    </row>
    <row r="934" spans="2:8" s="439" customFormat="1" ht="42.75">
      <c r="B934" s="1862" t="s">
        <v>568</v>
      </c>
      <c r="C934" s="1863" t="s">
        <v>646</v>
      </c>
      <c r="D934" s="1874" t="s">
        <v>60</v>
      </c>
      <c r="E934" s="1874">
        <v>1</v>
      </c>
      <c r="F934" s="1904">
        <v>0</v>
      </c>
      <c r="G934" s="1905">
        <f t="shared" si="86"/>
        <v>0</v>
      </c>
      <c r="H934" s="441"/>
    </row>
    <row r="935" spans="2:8" s="439" customFormat="1" ht="14.25">
      <c r="B935" s="1862"/>
      <c r="C935" s="1863"/>
      <c r="D935" s="1874"/>
      <c r="E935" s="1874"/>
      <c r="F935" s="1904">
        <v>0</v>
      </c>
      <c r="G935" s="1905">
        <f t="shared" si="86"/>
        <v>0</v>
      </c>
      <c r="H935" s="441"/>
    </row>
    <row r="936" spans="2:8" s="545" customFormat="1" ht="102" customHeight="1">
      <c r="B936" s="1878" t="s">
        <v>647</v>
      </c>
      <c r="C936" s="2001" t="s">
        <v>649</v>
      </c>
      <c r="D936" s="1874" t="s">
        <v>60</v>
      </c>
      <c r="E936" s="1874">
        <v>1</v>
      </c>
      <c r="F936" s="1904">
        <v>0</v>
      </c>
      <c r="G936" s="1905">
        <f t="shared" si="86"/>
        <v>0</v>
      </c>
      <c r="H936" s="558"/>
    </row>
    <row r="937" spans="2:8" s="439" customFormat="1" ht="14.25">
      <c r="B937" s="1857"/>
      <c r="C937" s="1858"/>
      <c r="D937" s="1997"/>
      <c r="E937" s="1955"/>
      <c r="F937" s="1904"/>
      <c r="G937" s="1905"/>
      <c r="H937" s="441"/>
    </row>
    <row r="938" spans="2:8" s="439" customFormat="1" ht="30">
      <c r="B938" s="1862">
        <v>4</v>
      </c>
      <c r="C938" s="1876" t="s">
        <v>650</v>
      </c>
      <c r="D938" s="1962"/>
      <c r="E938" s="1962"/>
      <c r="F938" s="1904"/>
      <c r="G938" s="1905"/>
      <c r="H938" s="441"/>
    </row>
    <row r="939" spans="2:8" s="439" customFormat="1" ht="48">
      <c r="B939" s="1862" t="s">
        <v>568</v>
      </c>
      <c r="C939" s="1898" t="s">
        <v>725</v>
      </c>
      <c r="D939" s="1874" t="s">
        <v>252</v>
      </c>
      <c r="E939" s="1874">
        <v>1</v>
      </c>
      <c r="F939" s="1904">
        <v>0</v>
      </c>
      <c r="G939" s="1905">
        <f t="shared" si="86"/>
        <v>0</v>
      </c>
      <c r="H939" s="548"/>
    </row>
    <row r="940" spans="2:8" s="439" customFormat="1" ht="48">
      <c r="B940" s="1862" t="s">
        <v>568</v>
      </c>
      <c r="C940" s="1898" t="s">
        <v>726</v>
      </c>
      <c r="D940" s="1874" t="s">
        <v>252</v>
      </c>
      <c r="E940" s="1874">
        <v>1</v>
      </c>
      <c r="F940" s="1904">
        <v>0</v>
      </c>
      <c r="G940" s="1905">
        <f t="shared" si="86"/>
        <v>0</v>
      </c>
      <c r="H940" s="548"/>
    </row>
    <row r="941" spans="2:8" s="439" customFormat="1" ht="60">
      <c r="B941" s="1862" t="s">
        <v>568</v>
      </c>
      <c r="C941" s="1898" t="s">
        <v>727</v>
      </c>
      <c r="D941" s="1874" t="s">
        <v>252</v>
      </c>
      <c r="E941" s="1874">
        <v>1</v>
      </c>
      <c r="F941" s="1904">
        <v>0</v>
      </c>
      <c r="G941" s="1905">
        <f t="shared" si="86"/>
        <v>0</v>
      </c>
      <c r="H941" s="548"/>
    </row>
    <row r="942" spans="2:8" s="439" customFormat="1" ht="14.25">
      <c r="B942" s="1857"/>
      <c r="C942" s="1858"/>
      <c r="D942" s="1997"/>
      <c r="E942" s="1955"/>
      <c r="F942" s="1904"/>
      <c r="G942" s="1905"/>
      <c r="H942" s="441"/>
    </row>
    <row r="943" spans="2:8" s="439" customFormat="1" ht="203.25" customHeight="1">
      <c r="B943" s="1862">
        <v>5</v>
      </c>
      <c r="C943" s="1899" t="s">
        <v>728</v>
      </c>
      <c r="D943" s="1874" t="s">
        <v>657</v>
      </c>
      <c r="E943" s="1874">
        <v>1</v>
      </c>
      <c r="F943" s="1904">
        <v>0</v>
      </c>
      <c r="G943" s="1905">
        <f t="shared" si="86"/>
        <v>0</v>
      </c>
      <c r="H943" s="549"/>
    </row>
    <row r="944" spans="2:8" s="439" customFormat="1" ht="72">
      <c r="B944" s="1859">
        <v>6</v>
      </c>
      <c r="C944" s="1899" t="s">
        <v>729</v>
      </c>
      <c r="D944" s="1866" t="s">
        <v>60</v>
      </c>
      <c r="E944" s="1866">
        <v>1</v>
      </c>
      <c r="F944" s="1904">
        <v>0</v>
      </c>
      <c r="G944" s="1905">
        <f t="shared" si="86"/>
        <v>0</v>
      </c>
      <c r="H944" s="549"/>
    </row>
    <row r="945" spans="2:8" s="439" customFormat="1" ht="14.25">
      <c r="B945" s="1862"/>
      <c r="C945" s="1863"/>
      <c r="D945" s="1874"/>
      <c r="E945" s="1874"/>
      <c r="F945" s="1904"/>
      <c r="G945" s="1905"/>
      <c r="H945" s="441"/>
    </row>
    <row r="946" spans="2:8" s="545" customFormat="1" ht="354.75" customHeight="1">
      <c r="B946" s="1862">
        <v>7</v>
      </c>
      <c r="C946" s="550" t="s">
        <v>730</v>
      </c>
      <c r="D946" s="1874" t="s">
        <v>60</v>
      </c>
      <c r="E946" s="1874">
        <v>1</v>
      </c>
      <c r="F946" s="1904">
        <v>0</v>
      </c>
      <c r="G946" s="1905">
        <f t="shared" si="86"/>
        <v>0</v>
      </c>
      <c r="H946" s="551"/>
    </row>
    <row r="947" spans="2:8" s="439" customFormat="1" ht="14.25">
      <c r="B947" s="1862"/>
      <c r="C947" s="1863"/>
      <c r="D947" s="1874"/>
      <c r="E947" s="1874"/>
      <c r="F947" s="1904"/>
      <c r="G947" s="1905"/>
      <c r="H947" s="441"/>
    </row>
    <row r="948" spans="2:8" s="439" customFormat="1" ht="114">
      <c r="B948" s="1862">
        <v>8</v>
      </c>
      <c r="C948" s="1863" t="s">
        <v>661</v>
      </c>
      <c r="D948" s="1874" t="s">
        <v>66</v>
      </c>
      <c r="E948" s="1874">
        <v>1</v>
      </c>
      <c r="F948" s="1904">
        <v>0</v>
      </c>
      <c r="G948" s="1905">
        <f t="shared" si="86"/>
        <v>0</v>
      </c>
      <c r="H948" s="441"/>
    </row>
    <row r="949" spans="2:8" s="439" customFormat="1" ht="14.25">
      <c r="B949" s="1862"/>
      <c r="C949" s="1863"/>
      <c r="D949" s="1874"/>
      <c r="E949" s="1874"/>
      <c r="F949" s="1904"/>
      <c r="G949" s="1905"/>
      <c r="H949" s="441"/>
    </row>
    <row r="950" spans="2:8" s="439" customFormat="1" ht="57">
      <c r="B950" s="1862">
        <v>9</v>
      </c>
      <c r="C950" s="1863" t="s">
        <v>662</v>
      </c>
      <c r="D950" s="1874" t="s">
        <v>397</v>
      </c>
      <c r="E950" s="1874">
        <v>3</v>
      </c>
      <c r="F950" s="1904">
        <v>0</v>
      </c>
      <c r="G950" s="1905">
        <f t="shared" si="86"/>
        <v>0</v>
      </c>
      <c r="H950" s="441"/>
    </row>
    <row r="951" spans="2:8" s="439" customFormat="1" ht="14.25">
      <c r="B951" s="1862"/>
      <c r="C951" s="1863"/>
      <c r="D951" s="1874"/>
      <c r="E951" s="1874"/>
      <c r="F951" s="1904"/>
      <c r="G951" s="1905"/>
      <c r="H951" s="441"/>
    </row>
    <row r="952" spans="2:8" s="439" customFormat="1" ht="57">
      <c r="B952" s="1862">
        <v>10</v>
      </c>
      <c r="C952" s="1863" t="s">
        <v>663</v>
      </c>
      <c r="D952" s="1874" t="s">
        <v>397</v>
      </c>
      <c r="E952" s="1874">
        <v>2</v>
      </c>
      <c r="F952" s="1904">
        <v>0</v>
      </c>
      <c r="G952" s="1905">
        <f t="shared" si="86"/>
        <v>0</v>
      </c>
      <c r="H952" s="441"/>
    </row>
    <row r="953" spans="2:8" s="439" customFormat="1" ht="14.25">
      <c r="B953" s="1862"/>
      <c r="C953" s="1863"/>
      <c r="D953" s="1874"/>
      <c r="E953" s="1874"/>
      <c r="F953" s="1904"/>
      <c r="G953" s="1905"/>
      <c r="H953" s="441"/>
    </row>
    <row r="954" spans="2:8" s="439" customFormat="1" ht="57">
      <c r="B954" s="1862">
        <v>11</v>
      </c>
      <c r="C954" s="1863" t="s">
        <v>663</v>
      </c>
      <c r="D954" s="1874" t="s">
        <v>397</v>
      </c>
      <c r="E954" s="1874">
        <v>2</v>
      </c>
      <c r="F954" s="1904">
        <v>0</v>
      </c>
      <c r="G954" s="1905">
        <f t="shared" si="86"/>
        <v>0</v>
      </c>
      <c r="H954" s="441"/>
    </row>
    <row r="955" spans="2:8" s="439" customFormat="1" ht="14.25">
      <c r="B955" s="1862"/>
      <c r="C955" s="1863"/>
      <c r="D955" s="1874"/>
      <c r="E955" s="1874"/>
      <c r="F955" s="1904"/>
      <c r="G955" s="1905"/>
      <c r="H955" s="441"/>
    </row>
    <row r="956" spans="2:8" s="439" customFormat="1" ht="57">
      <c r="B956" s="1862">
        <v>12</v>
      </c>
      <c r="C956" s="1863" t="s">
        <v>664</v>
      </c>
      <c r="D956" s="1874" t="s">
        <v>397</v>
      </c>
      <c r="E956" s="1874">
        <v>31</v>
      </c>
      <c r="F956" s="1904">
        <v>0</v>
      </c>
      <c r="G956" s="1905">
        <f t="shared" si="86"/>
        <v>0</v>
      </c>
      <c r="H956" s="441"/>
    </row>
    <row r="957" spans="2:8" s="439" customFormat="1" ht="14.25">
      <c r="B957" s="1862"/>
      <c r="C957" s="1863"/>
      <c r="D957" s="1874"/>
      <c r="E957" s="1874"/>
      <c r="F957" s="1904"/>
      <c r="G957" s="1905"/>
      <c r="H957" s="441"/>
    </row>
    <row r="958" spans="2:8" s="439" customFormat="1" ht="28.5">
      <c r="B958" s="1862">
        <v>13</v>
      </c>
      <c r="C958" s="1863" t="s">
        <v>665</v>
      </c>
      <c r="D958" s="1874" t="s">
        <v>397</v>
      </c>
      <c r="E958" s="1874">
        <v>58</v>
      </c>
      <c r="F958" s="1904">
        <v>0</v>
      </c>
      <c r="G958" s="1905">
        <f t="shared" si="86"/>
        <v>0</v>
      </c>
      <c r="H958" s="441"/>
    </row>
    <row r="959" spans="2:8" s="439" customFormat="1" ht="14.25">
      <c r="B959" s="1862"/>
      <c r="C959" s="1863"/>
      <c r="D959" s="1874"/>
      <c r="E959" s="1874"/>
      <c r="F959" s="1904"/>
      <c r="G959" s="1905"/>
      <c r="H959" s="441"/>
    </row>
    <row r="960" spans="2:8" s="439" customFormat="1" ht="57">
      <c r="B960" s="1862">
        <v>14</v>
      </c>
      <c r="C960" s="1863" t="s">
        <v>666</v>
      </c>
      <c r="D960" s="1874" t="s">
        <v>66</v>
      </c>
      <c r="E960" s="1874">
        <v>1</v>
      </c>
      <c r="F960" s="1904">
        <v>0</v>
      </c>
      <c r="G960" s="1905">
        <f t="shared" si="86"/>
        <v>0</v>
      </c>
      <c r="H960" s="441"/>
    </row>
    <row r="961" spans="2:8" s="439" customFormat="1" ht="14.25">
      <c r="B961" s="1862"/>
      <c r="C961" s="1863"/>
      <c r="D961" s="1874"/>
      <c r="E961" s="1874"/>
      <c r="F961" s="1904"/>
      <c r="G961" s="1905"/>
      <c r="H961" s="441"/>
    </row>
    <row r="962" spans="2:8" s="439" customFormat="1" ht="28.5">
      <c r="B962" s="1862">
        <v>15</v>
      </c>
      <c r="C962" s="1863" t="s">
        <v>667</v>
      </c>
      <c r="D962" s="1874" t="s">
        <v>66</v>
      </c>
      <c r="E962" s="1874">
        <v>1</v>
      </c>
      <c r="F962" s="1904">
        <v>0</v>
      </c>
      <c r="G962" s="1905">
        <f t="shared" si="86"/>
        <v>0</v>
      </c>
      <c r="H962" s="441"/>
    </row>
    <row r="963" spans="2:8" s="439" customFormat="1" ht="14.25">
      <c r="B963" s="1862"/>
      <c r="C963" s="1863"/>
      <c r="D963" s="1874"/>
      <c r="E963" s="1874"/>
      <c r="F963" s="1904"/>
      <c r="G963" s="1905"/>
      <c r="H963" s="441"/>
    </row>
    <row r="964" spans="2:8" s="439" customFormat="1" ht="28.5">
      <c r="B964" s="1862">
        <v>16</v>
      </c>
      <c r="C964" s="1863" t="s">
        <v>668</v>
      </c>
      <c r="D964" s="1874"/>
      <c r="E964" s="1874"/>
      <c r="F964" s="1904"/>
      <c r="G964" s="1905"/>
      <c r="H964" s="441"/>
    </row>
    <row r="965" spans="2:8" s="439" customFormat="1" ht="14.25">
      <c r="B965" s="1883" t="s">
        <v>669</v>
      </c>
      <c r="C965" s="1863" t="s">
        <v>670</v>
      </c>
      <c r="D965" s="1874" t="s">
        <v>66</v>
      </c>
      <c r="E965" s="1874">
        <v>2</v>
      </c>
      <c r="F965" s="1904">
        <v>0</v>
      </c>
      <c r="G965" s="1905">
        <f t="shared" si="86"/>
        <v>0</v>
      </c>
      <c r="H965" s="441"/>
    </row>
    <row r="966" spans="2:8" s="439" customFormat="1" ht="14.25">
      <c r="B966" s="1857"/>
      <c r="C966" s="1858"/>
      <c r="D966" s="1997"/>
      <c r="E966" s="1955"/>
      <c r="F966" s="1904"/>
      <c r="G966" s="1905"/>
      <c r="H966" s="441"/>
    </row>
    <row r="967" spans="2:8" s="439" customFormat="1" ht="28.5">
      <c r="B967" s="1862">
        <v>17</v>
      </c>
      <c r="C967" s="1863" t="s">
        <v>671</v>
      </c>
      <c r="D967" s="1874"/>
      <c r="E967" s="1874"/>
      <c r="F967" s="1904"/>
      <c r="G967" s="1905"/>
      <c r="H967" s="441"/>
    </row>
    <row r="968" spans="2:8" s="439" customFormat="1" ht="85.5">
      <c r="B968" s="1883" t="s">
        <v>669</v>
      </c>
      <c r="C968" s="1863" t="s">
        <v>672</v>
      </c>
      <c r="D968" s="1874" t="s">
        <v>66</v>
      </c>
      <c r="E968" s="1874">
        <v>2</v>
      </c>
      <c r="F968" s="1904">
        <v>0</v>
      </c>
      <c r="G968" s="1905">
        <f t="shared" si="86"/>
        <v>0</v>
      </c>
      <c r="H968" s="441"/>
    </row>
    <row r="969" spans="2:8" s="439" customFormat="1" ht="85.5">
      <c r="B969" s="1883" t="s">
        <v>669</v>
      </c>
      <c r="C969" s="1863" t="s">
        <v>672</v>
      </c>
      <c r="D969" s="1874" t="s">
        <v>66</v>
      </c>
      <c r="E969" s="1874">
        <v>1</v>
      </c>
      <c r="F969" s="1904">
        <v>0</v>
      </c>
      <c r="G969" s="1905">
        <f t="shared" si="86"/>
        <v>0</v>
      </c>
      <c r="H969" s="441"/>
    </row>
    <row r="970" spans="2:8" s="439" customFormat="1" ht="57">
      <c r="B970" s="1883" t="s">
        <v>669</v>
      </c>
      <c r="C970" s="1863" t="s">
        <v>674</v>
      </c>
      <c r="D970" s="1874" t="s">
        <v>66</v>
      </c>
      <c r="E970" s="1874">
        <v>1</v>
      </c>
      <c r="F970" s="1904">
        <v>0</v>
      </c>
      <c r="G970" s="1905">
        <f t="shared" si="86"/>
        <v>0</v>
      </c>
      <c r="H970" s="441"/>
    </row>
    <row r="971" spans="2:8" s="439" customFormat="1" ht="14.25">
      <c r="B971" s="1862"/>
      <c r="C971" s="1863"/>
      <c r="D971" s="1874"/>
      <c r="E971" s="1874"/>
      <c r="F971" s="1904"/>
      <c r="G971" s="1905"/>
      <c r="H971" s="441"/>
    </row>
    <row r="972" spans="2:8" s="439" customFormat="1" ht="14.25">
      <c r="B972" s="1862">
        <v>18</v>
      </c>
      <c r="C972" s="1863" t="s">
        <v>675</v>
      </c>
      <c r="D972" s="1874" t="s">
        <v>60</v>
      </c>
      <c r="E972" s="1874">
        <v>8</v>
      </c>
      <c r="F972" s="1904">
        <v>0</v>
      </c>
      <c r="G972" s="1905">
        <f t="shared" ref="G972:G1032" si="87">E972*F972</f>
        <v>0</v>
      </c>
      <c r="H972" s="441"/>
    </row>
    <row r="973" spans="2:8" s="439" customFormat="1" ht="14.25">
      <c r="B973" s="1862"/>
      <c r="C973" s="1863"/>
      <c r="D973" s="1874"/>
      <c r="E973" s="1874"/>
      <c r="F973" s="1904"/>
      <c r="G973" s="1905"/>
      <c r="H973" s="441"/>
    </row>
    <row r="974" spans="2:8" s="439" customFormat="1" ht="14.25">
      <c r="B974" s="1862">
        <v>19</v>
      </c>
      <c r="C974" s="1863" t="s">
        <v>676</v>
      </c>
      <c r="D974" s="1874" t="s">
        <v>60</v>
      </c>
      <c r="E974" s="1874">
        <v>1</v>
      </c>
      <c r="F974" s="1904">
        <v>0</v>
      </c>
      <c r="G974" s="1905">
        <f t="shared" si="87"/>
        <v>0</v>
      </c>
      <c r="H974" s="441"/>
    </row>
    <row r="975" spans="2:8" s="439" customFormat="1" ht="14.25">
      <c r="B975" s="1862"/>
      <c r="C975" s="1863"/>
      <c r="D975" s="1874"/>
      <c r="E975" s="1874"/>
      <c r="F975" s="1904"/>
      <c r="G975" s="1905"/>
      <c r="H975" s="441"/>
    </row>
    <row r="976" spans="2:8" s="439" customFormat="1" ht="42.75">
      <c r="B976" s="1862">
        <v>20</v>
      </c>
      <c r="C976" s="1863" t="s">
        <v>677</v>
      </c>
      <c r="D976" s="1874" t="s">
        <v>60</v>
      </c>
      <c r="E976" s="1874">
        <v>1</v>
      </c>
      <c r="F976" s="1904">
        <v>0</v>
      </c>
      <c r="G976" s="1905">
        <f t="shared" si="87"/>
        <v>0</v>
      </c>
      <c r="H976" s="441"/>
    </row>
    <row r="977" spans="2:8" s="439" customFormat="1" ht="14.25">
      <c r="B977" s="1862"/>
      <c r="C977" s="1863"/>
      <c r="D977" s="1874"/>
      <c r="E977" s="1874"/>
      <c r="F977" s="1904"/>
      <c r="G977" s="1905"/>
      <c r="H977" s="441"/>
    </row>
    <row r="978" spans="2:8" s="439" customFormat="1" ht="42.75">
      <c r="B978" s="1862">
        <v>21</v>
      </c>
      <c r="C978" s="1863" t="s">
        <v>678</v>
      </c>
      <c r="D978" s="1874"/>
      <c r="E978" s="1874"/>
      <c r="F978" s="1904"/>
      <c r="G978" s="1905"/>
      <c r="H978" s="441"/>
    </row>
    <row r="979" spans="2:8" s="439" customFormat="1" ht="16.5">
      <c r="B979" s="1883" t="s">
        <v>669</v>
      </c>
      <c r="C979" s="1863" t="s">
        <v>679</v>
      </c>
      <c r="D979" s="1874" t="s">
        <v>397</v>
      </c>
      <c r="E979" s="1874">
        <v>10</v>
      </c>
      <c r="F979" s="1904">
        <v>0</v>
      </c>
      <c r="G979" s="1905">
        <f t="shared" si="87"/>
        <v>0</v>
      </c>
      <c r="H979" s="441"/>
    </row>
    <row r="980" spans="2:8" s="439" customFormat="1" ht="16.5">
      <c r="B980" s="1883" t="s">
        <v>669</v>
      </c>
      <c r="C980" s="1863" t="s">
        <v>680</v>
      </c>
      <c r="D980" s="1874" t="s">
        <v>397</v>
      </c>
      <c r="E980" s="1874">
        <v>45</v>
      </c>
      <c r="F980" s="1904">
        <v>0</v>
      </c>
      <c r="G980" s="1905">
        <f t="shared" si="87"/>
        <v>0</v>
      </c>
      <c r="H980" s="441"/>
    </row>
    <row r="981" spans="2:8" s="439" customFormat="1" ht="16.5">
      <c r="B981" s="1883" t="s">
        <v>669</v>
      </c>
      <c r="C981" s="1863" t="s">
        <v>681</v>
      </c>
      <c r="D981" s="1874" t="s">
        <v>397</v>
      </c>
      <c r="E981" s="1874">
        <v>25</v>
      </c>
      <c r="F981" s="1904">
        <v>0</v>
      </c>
      <c r="G981" s="1905">
        <f t="shared" si="87"/>
        <v>0</v>
      </c>
      <c r="H981" s="441"/>
    </row>
    <row r="982" spans="2:8" s="439" customFormat="1" ht="16.5">
      <c r="B982" s="1883" t="s">
        <v>669</v>
      </c>
      <c r="C982" s="1863" t="s">
        <v>682</v>
      </c>
      <c r="D982" s="1874" t="s">
        <v>397</v>
      </c>
      <c r="E982" s="1874">
        <v>15</v>
      </c>
      <c r="F982" s="1904">
        <v>0</v>
      </c>
      <c r="G982" s="1905">
        <f t="shared" si="87"/>
        <v>0</v>
      </c>
      <c r="H982" s="441"/>
    </row>
    <row r="983" spans="2:8" s="439" customFormat="1" ht="16.5">
      <c r="B983" s="1883" t="s">
        <v>669</v>
      </c>
      <c r="C983" s="1863" t="s">
        <v>683</v>
      </c>
      <c r="D983" s="1874" t="s">
        <v>397</v>
      </c>
      <c r="E983" s="1874">
        <v>15</v>
      </c>
      <c r="F983" s="1904">
        <v>0</v>
      </c>
      <c r="G983" s="1905">
        <f t="shared" si="87"/>
        <v>0</v>
      </c>
      <c r="H983" s="441"/>
    </row>
    <row r="984" spans="2:8" s="439" customFormat="1" ht="16.5">
      <c r="B984" s="1883" t="s">
        <v>669</v>
      </c>
      <c r="C984" s="1863" t="s">
        <v>684</v>
      </c>
      <c r="D984" s="1874" t="s">
        <v>397</v>
      </c>
      <c r="E984" s="1874">
        <v>75</v>
      </c>
      <c r="F984" s="1904">
        <v>0</v>
      </c>
      <c r="G984" s="1905">
        <f t="shared" si="87"/>
        <v>0</v>
      </c>
      <c r="H984" s="441"/>
    </row>
    <row r="985" spans="2:8" s="439" customFormat="1" ht="16.5">
      <c r="B985" s="1883" t="s">
        <v>669</v>
      </c>
      <c r="C985" s="1863" t="s">
        <v>685</v>
      </c>
      <c r="D985" s="1874" t="s">
        <v>397</v>
      </c>
      <c r="E985" s="1874">
        <v>135</v>
      </c>
      <c r="F985" s="1904">
        <v>0</v>
      </c>
      <c r="G985" s="1905">
        <f t="shared" si="87"/>
        <v>0</v>
      </c>
      <c r="H985" s="441"/>
    </row>
    <row r="986" spans="2:8" s="439" customFormat="1" ht="16.5">
      <c r="B986" s="1883" t="s">
        <v>669</v>
      </c>
      <c r="C986" s="1863" t="s">
        <v>686</v>
      </c>
      <c r="D986" s="1874" t="s">
        <v>397</v>
      </c>
      <c r="E986" s="1874">
        <v>75</v>
      </c>
      <c r="F986" s="1904">
        <v>0</v>
      </c>
      <c r="G986" s="1905">
        <f t="shared" si="87"/>
        <v>0</v>
      </c>
      <c r="H986" s="441"/>
    </row>
    <row r="987" spans="2:8" s="439" customFormat="1" ht="30.75">
      <c r="B987" s="1883" t="s">
        <v>669</v>
      </c>
      <c r="C987" s="1863" t="s">
        <v>687</v>
      </c>
      <c r="D987" s="1874" t="s">
        <v>397</v>
      </c>
      <c r="E987" s="1874">
        <v>20</v>
      </c>
      <c r="F987" s="1904">
        <v>0</v>
      </c>
      <c r="G987" s="1905">
        <f t="shared" si="87"/>
        <v>0</v>
      </c>
      <c r="H987" s="441"/>
    </row>
    <row r="988" spans="2:8" s="439" customFormat="1" ht="30.75">
      <c r="B988" s="1883" t="s">
        <v>669</v>
      </c>
      <c r="C988" s="1863" t="s">
        <v>688</v>
      </c>
      <c r="D988" s="1874" t="s">
        <v>397</v>
      </c>
      <c r="E988" s="1874">
        <v>15</v>
      </c>
      <c r="F988" s="1904">
        <v>0</v>
      </c>
      <c r="G988" s="1905">
        <f t="shared" si="87"/>
        <v>0</v>
      </c>
      <c r="H988" s="441"/>
    </row>
    <row r="989" spans="2:8" s="439" customFormat="1" ht="30.75">
      <c r="B989" s="1883" t="s">
        <v>669</v>
      </c>
      <c r="C989" s="1863" t="s">
        <v>689</v>
      </c>
      <c r="D989" s="1874" t="s">
        <v>397</v>
      </c>
      <c r="E989" s="1874">
        <v>30</v>
      </c>
      <c r="F989" s="1904">
        <v>0</v>
      </c>
      <c r="G989" s="1905">
        <f t="shared" si="87"/>
        <v>0</v>
      </c>
      <c r="H989" s="441"/>
    </row>
    <row r="990" spans="2:8" s="439" customFormat="1" ht="14.25">
      <c r="B990" s="1862"/>
      <c r="C990" s="1863"/>
      <c r="D990" s="1874"/>
      <c r="E990" s="1874"/>
      <c r="F990" s="1904"/>
      <c r="G990" s="1905"/>
      <c r="H990" s="441"/>
    </row>
    <row r="991" spans="2:8" s="439" customFormat="1" ht="28.5">
      <c r="B991" s="1862">
        <v>22</v>
      </c>
      <c r="C991" s="1863" t="s">
        <v>690</v>
      </c>
      <c r="D991" s="1874"/>
      <c r="E991" s="1874"/>
      <c r="F991" s="1904"/>
      <c r="G991" s="1905"/>
      <c r="H991" s="441"/>
    </row>
    <row r="992" spans="2:8" s="439" customFormat="1" ht="85.5">
      <c r="B992" s="1883" t="s">
        <v>669</v>
      </c>
      <c r="C992" s="1884" t="s">
        <v>691</v>
      </c>
      <c r="D992" s="1963" t="s">
        <v>74</v>
      </c>
      <c r="E992" s="1963">
        <v>8.77</v>
      </c>
      <c r="F992" s="1904">
        <v>0</v>
      </c>
      <c r="G992" s="1905">
        <f t="shared" si="87"/>
        <v>0</v>
      </c>
      <c r="H992" s="441"/>
    </row>
    <row r="993" spans="2:8" s="439" customFormat="1" ht="42.75">
      <c r="B993" s="1883" t="s">
        <v>669</v>
      </c>
      <c r="C993" s="1863" t="s">
        <v>692</v>
      </c>
      <c r="D993" s="1963" t="s">
        <v>74</v>
      </c>
      <c r="E993" s="1963">
        <v>2.25</v>
      </c>
      <c r="F993" s="1904">
        <v>0</v>
      </c>
      <c r="G993" s="1905">
        <f t="shared" si="87"/>
        <v>0</v>
      </c>
      <c r="H993" s="441"/>
    </row>
    <row r="994" spans="2:8" s="439" customFormat="1" ht="14.25">
      <c r="B994" s="1857"/>
      <c r="C994" s="1858"/>
      <c r="D994" s="1997"/>
      <c r="E994" s="1955"/>
      <c r="F994" s="1904"/>
      <c r="G994" s="1905"/>
      <c r="H994" s="441"/>
    </row>
    <row r="995" spans="2:8" s="439" customFormat="1" ht="42.75">
      <c r="B995" s="1862">
        <v>23</v>
      </c>
      <c r="C995" s="1863" t="s">
        <v>693</v>
      </c>
      <c r="D995" s="1874" t="s">
        <v>397</v>
      </c>
      <c r="E995" s="1874">
        <v>45</v>
      </c>
      <c r="F995" s="1904">
        <v>0</v>
      </c>
      <c r="G995" s="1905">
        <f t="shared" si="87"/>
        <v>0</v>
      </c>
      <c r="H995" s="441"/>
    </row>
    <row r="996" spans="2:8" s="439" customFormat="1" ht="14.25">
      <c r="B996" s="1862"/>
      <c r="C996" s="1863"/>
      <c r="D996" s="1874"/>
      <c r="E996" s="1874"/>
      <c r="F996" s="1904"/>
      <c r="G996" s="1905"/>
      <c r="H996" s="441"/>
    </row>
    <row r="997" spans="2:8" s="439" customFormat="1" ht="57">
      <c r="B997" s="1862">
        <v>24</v>
      </c>
      <c r="C997" s="1863" t="s">
        <v>694</v>
      </c>
      <c r="D997" s="1874" t="s">
        <v>397</v>
      </c>
      <c r="E997" s="1874">
        <v>15</v>
      </c>
      <c r="F997" s="1904">
        <v>0</v>
      </c>
      <c r="G997" s="1905">
        <f t="shared" si="87"/>
        <v>0</v>
      </c>
      <c r="H997" s="441"/>
    </row>
    <row r="998" spans="2:8" s="439" customFormat="1" ht="14.25">
      <c r="B998" s="1862"/>
      <c r="C998" s="1863"/>
      <c r="D998" s="1874"/>
      <c r="E998" s="1874"/>
      <c r="F998" s="1904"/>
      <c r="G998" s="1905"/>
      <c r="H998" s="441"/>
    </row>
    <row r="999" spans="2:8" s="439" customFormat="1" ht="28.5">
      <c r="B999" s="1862">
        <v>25</v>
      </c>
      <c r="C999" s="1863" t="s">
        <v>695</v>
      </c>
      <c r="D999" s="1874" t="s">
        <v>66</v>
      </c>
      <c r="E999" s="1874">
        <v>4</v>
      </c>
      <c r="F999" s="1904">
        <v>0</v>
      </c>
      <c r="G999" s="1905">
        <f t="shared" si="87"/>
        <v>0</v>
      </c>
      <c r="H999" s="441"/>
    </row>
    <row r="1000" spans="2:8" s="439" customFormat="1" ht="14.25">
      <c r="B1000" s="1862"/>
      <c r="C1000" s="1863"/>
      <c r="D1000" s="1874"/>
      <c r="E1000" s="1874"/>
      <c r="F1000" s="1904"/>
      <c r="G1000" s="1905"/>
      <c r="H1000" s="441"/>
    </row>
    <row r="1001" spans="2:8" s="439" customFormat="1" ht="28.5">
      <c r="B1001" s="1862">
        <v>26</v>
      </c>
      <c r="C1001" s="1863" t="s">
        <v>696</v>
      </c>
      <c r="D1001" s="1874" t="s">
        <v>252</v>
      </c>
      <c r="E1001" s="1874">
        <v>6</v>
      </c>
      <c r="F1001" s="1904">
        <v>0</v>
      </c>
      <c r="G1001" s="1905">
        <f t="shared" si="87"/>
        <v>0</v>
      </c>
      <c r="H1001" s="441"/>
    </row>
    <row r="1002" spans="2:8" s="439" customFormat="1" ht="14.25">
      <c r="B1002" s="1862"/>
      <c r="C1002" s="1863"/>
      <c r="D1002" s="1874"/>
      <c r="E1002" s="1874"/>
      <c r="F1002" s="1904"/>
      <c r="G1002" s="1905"/>
      <c r="H1002" s="441"/>
    </row>
    <row r="1003" spans="2:8" s="439" customFormat="1" ht="28.5">
      <c r="B1003" s="1862">
        <v>27</v>
      </c>
      <c r="C1003" s="1863" t="s">
        <v>697</v>
      </c>
      <c r="D1003" s="1874" t="s">
        <v>252</v>
      </c>
      <c r="E1003" s="1874">
        <v>3</v>
      </c>
      <c r="F1003" s="1904">
        <v>0</v>
      </c>
      <c r="G1003" s="1905">
        <f t="shared" si="87"/>
        <v>0</v>
      </c>
      <c r="H1003" s="441"/>
    </row>
    <row r="1004" spans="2:8" s="439" customFormat="1" ht="14.25">
      <c r="B1004" s="1862"/>
      <c r="C1004" s="1863"/>
      <c r="D1004" s="1874"/>
      <c r="E1004" s="1874"/>
      <c r="F1004" s="1904"/>
      <c r="G1004" s="1905"/>
      <c r="H1004" s="441"/>
    </row>
    <row r="1005" spans="2:8" s="439" customFormat="1" ht="29.25">
      <c r="B1005" s="1862">
        <v>28</v>
      </c>
      <c r="C1005" s="1863" t="s">
        <v>698</v>
      </c>
      <c r="D1005" s="1874" t="s">
        <v>252</v>
      </c>
      <c r="E1005" s="1874">
        <v>5</v>
      </c>
      <c r="F1005" s="1904">
        <v>0</v>
      </c>
      <c r="G1005" s="1905">
        <f t="shared" si="87"/>
        <v>0</v>
      </c>
      <c r="H1005" s="441"/>
    </row>
    <row r="1006" spans="2:8" s="439" customFormat="1" ht="14.25">
      <c r="B1006" s="1862"/>
      <c r="C1006" s="1863"/>
      <c r="D1006" s="1874"/>
      <c r="E1006" s="1874"/>
      <c r="F1006" s="1904"/>
      <c r="G1006" s="1905"/>
      <c r="H1006" s="441"/>
    </row>
    <row r="1007" spans="2:8" s="439" customFormat="1" ht="14.25">
      <c r="B1007" s="1862">
        <v>29</v>
      </c>
      <c r="C1007" s="1863" t="s">
        <v>699</v>
      </c>
      <c r="D1007" s="1874" t="s">
        <v>252</v>
      </c>
      <c r="E1007" s="1874">
        <v>4</v>
      </c>
      <c r="F1007" s="1904">
        <v>0</v>
      </c>
      <c r="G1007" s="1905">
        <f t="shared" si="87"/>
        <v>0</v>
      </c>
      <c r="H1007" s="441"/>
    </row>
    <row r="1008" spans="2:8" s="439" customFormat="1" ht="14.25">
      <c r="B1008" s="1862"/>
      <c r="C1008" s="1863"/>
      <c r="D1008" s="1874"/>
      <c r="E1008" s="1874"/>
      <c r="F1008" s="1904"/>
      <c r="G1008" s="1905"/>
      <c r="H1008" s="441"/>
    </row>
    <row r="1009" spans="2:8" s="439" customFormat="1" ht="42.75">
      <c r="B1009" s="1862">
        <v>30</v>
      </c>
      <c r="C1009" s="1863" t="s">
        <v>700</v>
      </c>
      <c r="D1009" s="1874" t="s">
        <v>252</v>
      </c>
      <c r="E1009" s="1874">
        <v>3</v>
      </c>
      <c r="F1009" s="1904">
        <v>0</v>
      </c>
      <c r="G1009" s="1905">
        <f t="shared" si="87"/>
        <v>0</v>
      </c>
      <c r="H1009" s="441"/>
    </row>
    <row r="1010" spans="2:8" s="439" customFormat="1" ht="14.25">
      <c r="B1010" s="1862"/>
      <c r="C1010" s="1863"/>
      <c r="D1010" s="1874"/>
      <c r="E1010" s="1874"/>
      <c r="F1010" s="1904"/>
      <c r="G1010" s="1905"/>
      <c r="H1010" s="441"/>
    </row>
    <row r="1011" spans="2:8" s="439" customFormat="1" ht="28.5">
      <c r="B1011" s="1862">
        <v>31</v>
      </c>
      <c r="C1011" s="1863" t="s">
        <v>701</v>
      </c>
      <c r="D1011" s="1874" t="s">
        <v>702</v>
      </c>
      <c r="E1011" s="1874">
        <v>2</v>
      </c>
      <c r="F1011" s="1904">
        <v>0</v>
      </c>
      <c r="G1011" s="1905">
        <f t="shared" si="87"/>
        <v>0</v>
      </c>
      <c r="H1011" s="441"/>
    </row>
    <row r="1012" spans="2:8" s="439" customFormat="1" ht="14.25">
      <c r="B1012" s="1862"/>
      <c r="C1012" s="1863"/>
      <c r="D1012" s="1874"/>
      <c r="E1012" s="1874"/>
      <c r="F1012" s="1904"/>
      <c r="G1012" s="1905"/>
      <c r="H1012" s="441"/>
    </row>
    <row r="1013" spans="2:8" s="439" customFormat="1" ht="14.25">
      <c r="B1013" s="1862">
        <v>32</v>
      </c>
      <c r="C1013" s="1863" t="s">
        <v>703</v>
      </c>
      <c r="D1013" s="1874" t="s">
        <v>397</v>
      </c>
      <c r="E1013" s="1874">
        <v>45</v>
      </c>
      <c r="F1013" s="1904">
        <v>0</v>
      </c>
      <c r="G1013" s="1905">
        <f t="shared" si="87"/>
        <v>0</v>
      </c>
      <c r="H1013" s="441"/>
    </row>
    <row r="1014" spans="2:8" s="439" customFormat="1" ht="14.25">
      <c r="B1014" s="1862"/>
      <c r="C1014" s="1863"/>
      <c r="D1014" s="1874"/>
      <c r="E1014" s="1874"/>
      <c r="F1014" s="1904"/>
      <c r="G1014" s="1905"/>
      <c r="H1014" s="441"/>
    </row>
    <row r="1015" spans="2:8" s="439" customFormat="1" ht="14.25">
      <c r="B1015" s="1862">
        <v>33</v>
      </c>
      <c r="C1015" s="1863" t="s">
        <v>704</v>
      </c>
      <c r="D1015" s="1874" t="s">
        <v>397</v>
      </c>
      <c r="E1015" s="1874">
        <v>15</v>
      </c>
      <c r="F1015" s="1904">
        <v>0</v>
      </c>
      <c r="G1015" s="1905">
        <f t="shared" si="87"/>
        <v>0</v>
      </c>
      <c r="H1015" s="441"/>
    </row>
    <row r="1016" spans="2:8" s="439" customFormat="1" ht="14.25">
      <c r="B1016" s="1862"/>
      <c r="C1016" s="1863"/>
      <c r="D1016" s="1874"/>
      <c r="E1016" s="1874"/>
      <c r="F1016" s="1904"/>
      <c r="G1016" s="1905"/>
      <c r="H1016" s="441"/>
    </row>
    <row r="1017" spans="2:8" s="439" customFormat="1" ht="14.25">
      <c r="B1017" s="1862">
        <v>34</v>
      </c>
      <c r="C1017" s="1863" t="s">
        <v>705</v>
      </c>
      <c r="D1017" s="1874" t="s">
        <v>252</v>
      </c>
      <c r="E1017" s="1874">
        <v>3</v>
      </c>
      <c r="F1017" s="1904">
        <v>0</v>
      </c>
      <c r="G1017" s="1905">
        <f t="shared" si="87"/>
        <v>0</v>
      </c>
      <c r="H1017" s="441"/>
    </row>
    <row r="1018" spans="2:8" s="439" customFormat="1" ht="14.25">
      <c r="B1018" s="1862"/>
      <c r="C1018" s="1863"/>
      <c r="D1018" s="1874"/>
      <c r="E1018" s="1874"/>
      <c r="F1018" s="1904"/>
      <c r="G1018" s="1905"/>
      <c r="H1018" s="441"/>
    </row>
    <row r="1019" spans="2:8" s="439" customFormat="1" ht="71.25">
      <c r="B1019" s="1862">
        <v>35</v>
      </c>
      <c r="C1019" s="1863" t="s">
        <v>706</v>
      </c>
      <c r="D1019" s="1874" t="s">
        <v>66</v>
      </c>
      <c r="E1019" s="1874">
        <v>1</v>
      </c>
      <c r="F1019" s="1904">
        <v>0</v>
      </c>
      <c r="G1019" s="1905">
        <f t="shared" si="87"/>
        <v>0</v>
      </c>
      <c r="H1019" s="441"/>
    </row>
    <row r="1020" spans="2:8" s="439" customFormat="1" ht="14.25">
      <c r="B1020" s="1862"/>
      <c r="C1020" s="1863"/>
      <c r="D1020" s="1874"/>
      <c r="E1020" s="1874"/>
      <c r="F1020" s="1904"/>
      <c r="G1020" s="1905"/>
      <c r="H1020" s="441"/>
    </row>
    <row r="1021" spans="2:8" s="439" customFormat="1" ht="60">
      <c r="B1021" s="1862">
        <v>36</v>
      </c>
      <c r="C1021" s="550" t="s">
        <v>731</v>
      </c>
      <c r="D1021" s="1874" t="s">
        <v>66</v>
      </c>
      <c r="E1021" s="1874">
        <v>1</v>
      </c>
      <c r="F1021" s="1904">
        <v>0</v>
      </c>
      <c r="G1021" s="1905">
        <f t="shared" si="87"/>
        <v>0</v>
      </c>
      <c r="H1021" s="551"/>
    </row>
    <row r="1022" spans="2:8" s="439" customFormat="1" ht="14.25">
      <c r="B1022" s="1862"/>
      <c r="C1022" s="1863"/>
      <c r="D1022" s="1874"/>
      <c r="E1022" s="1874"/>
      <c r="F1022" s="1904"/>
      <c r="G1022" s="1905"/>
      <c r="H1022" s="441"/>
    </row>
    <row r="1023" spans="2:8" s="439" customFormat="1" ht="60">
      <c r="B1023" s="1862">
        <v>37</v>
      </c>
      <c r="C1023" s="550" t="s">
        <v>731</v>
      </c>
      <c r="D1023" s="1874" t="s">
        <v>66</v>
      </c>
      <c r="E1023" s="1874">
        <v>1</v>
      </c>
      <c r="F1023" s="1904">
        <v>0</v>
      </c>
      <c r="G1023" s="1905">
        <f t="shared" si="87"/>
        <v>0</v>
      </c>
      <c r="H1023" s="551"/>
    </row>
    <row r="1024" spans="2:8" s="439" customFormat="1" ht="14.25">
      <c r="B1024" s="1862"/>
      <c r="C1024" s="1863"/>
      <c r="D1024" s="1874"/>
      <c r="E1024" s="1874"/>
      <c r="F1024" s="1904"/>
      <c r="G1024" s="1905"/>
      <c r="H1024" s="441"/>
    </row>
    <row r="1025" spans="2:8" s="545" customFormat="1" ht="72">
      <c r="B1025" s="1862">
        <v>38</v>
      </c>
      <c r="C1025" s="1900" t="s">
        <v>732</v>
      </c>
      <c r="D1025" s="1874" t="s">
        <v>252</v>
      </c>
      <c r="E1025" s="1874">
        <v>2</v>
      </c>
      <c r="F1025" s="1904">
        <v>0</v>
      </c>
      <c r="G1025" s="1905">
        <f t="shared" si="87"/>
        <v>0</v>
      </c>
      <c r="H1025" s="552"/>
    </row>
    <row r="1026" spans="2:8" s="439" customFormat="1" ht="14.25">
      <c r="B1026" s="1862"/>
      <c r="C1026" s="1863"/>
      <c r="D1026" s="1874"/>
      <c r="E1026" s="1874"/>
      <c r="F1026" s="1904"/>
      <c r="G1026" s="1905"/>
      <c r="H1026" s="441"/>
    </row>
    <row r="1027" spans="2:8" s="439" customFormat="1" ht="59.25">
      <c r="B1027" s="1862">
        <v>40</v>
      </c>
      <c r="C1027" s="1863" t="s">
        <v>709</v>
      </c>
      <c r="D1027" s="1874" t="s">
        <v>60</v>
      </c>
      <c r="E1027" s="1874">
        <v>5</v>
      </c>
      <c r="F1027" s="1904">
        <v>0</v>
      </c>
      <c r="G1027" s="1905">
        <f t="shared" si="87"/>
        <v>0</v>
      </c>
      <c r="H1027" s="441"/>
    </row>
    <row r="1028" spans="2:8" s="439" customFormat="1" ht="14.25">
      <c r="B1028" s="1862"/>
      <c r="C1028" s="1863"/>
      <c r="D1028" s="1874"/>
      <c r="E1028" s="1874"/>
      <c r="F1028" s="1904"/>
      <c r="G1028" s="1905"/>
      <c r="H1028" s="441"/>
    </row>
    <row r="1029" spans="2:8" s="439" customFormat="1" ht="42.75">
      <c r="B1029" s="1862">
        <v>41</v>
      </c>
      <c r="C1029" s="1863" t="s">
        <v>710</v>
      </c>
      <c r="D1029" s="1962"/>
      <c r="E1029" s="1962"/>
      <c r="F1029" s="1904"/>
      <c r="G1029" s="1905"/>
      <c r="H1029" s="441"/>
    </row>
    <row r="1030" spans="2:8" s="439" customFormat="1" ht="28.5">
      <c r="B1030" s="1887" t="s">
        <v>711</v>
      </c>
      <c r="C1030" s="1888" t="s">
        <v>712</v>
      </c>
      <c r="D1030" s="1866" t="s">
        <v>252</v>
      </c>
      <c r="E1030" s="1866">
        <v>1</v>
      </c>
      <c r="F1030" s="1904">
        <v>0</v>
      </c>
      <c r="G1030" s="1905">
        <f t="shared" si="87"/>
        <v>0</v>
      </c>
      <c r="H1030" s="441"/>
    </row>
    <row r="1031" spans="2:8" s="439" customFormat="1" ht="28.5">
      <c r="B1031" s="1887" t="s">
        <v>711</v>
      </c>
      <c r="C1031" s="1888" t="s">
        <v>713</v>
      </c>
      <c r="D1031" s="1866" t="s">
        <v>252</v>
      </c>
      <c r="E1031" s="1866">
        <v>2</v>
      </c>
      <c r="F1031" s="1904">
        <v>0</v>
      </c>
      <c r="G1031" s="1905">
        <f t="shared" si="87"/>
        <v>0</v>
      </c>
      <c r="H1031" s="441"/>
    </row>
    <row r="1032" spans="2:8" s="439" customFormat="1" ht="28.5">
      <c r="B1032" s="1887" t="s">
        <v>711</v>
      </c>
      <c r="C1032" s="1888" t="s">
        <v>714</v>
      </c>
      <c r="D1032" s="1866" t="s">
        <v>252</v>
      </c>
      <c r="E1032" s="1866">
        <v>1</v>
      </c>
      <c r="F1032" s="1904">
        <v>0</v>
      </c>
      <c r="G1032" s="1905">
        <f t="shared" si="87"/>
        <v>0</v>
      </c>
      <c r="H1032" s="441"/>
    </row>
    <row r="1033" spans="2:8" s="439" customFormat="1" ht="14.25">
      <c r="B1033" s="1862"/>
      <c r="C1033" s="1863"/>
      <c r="D1033" s="1874"/>
      <c r="E1033" s="1874"/>
      <c r="F1033" s="1904"/>
      <c r="G1033" s="1905"/>
      <c r="H1033" s="441"/>
    </row>
    <row r="1034" spans="2:8" s="439" customFormat="1" ht="90.75" customHeight="1">
      <c r="B1034" s="1862">
        <v>42</v>
      </c>
      <c r="C1034" s="1901" t="s">
        <v>733</v>
      </c>
      <c r="D1034" s="1874" t="s">
        <v>60</v>
      </c>
      <c r="E1034" s="1874">
        <v>1</v>
      </c>
      <c r="F1034" s="1904">
        <v>0</v>
      </c>
      <c r="G1034" s="1905">
        <f t="shared" ref="G1034:G1044" si="88">E1034*F1034</f>
        <v>0</v>
      </c>
      <c r="H1034" s="553"/>
    </row>
    <row r="1035" spans="2:8" s="439" customFormat="1" ht="102.75" customHeight="1">
      <c r="B1035" s="1862">
        <v>43</v>
      </c>
      <c r="C1035" s="1892" t="s">
        <v>734</v>
      </c>
      <c r="D1035" s="1874" t="s">
        <v>60</v>
      </c>
      <c r="E1035" s="1874">
        <v>1</v>
      </c>
      <c r="F1035" s="1904">
        <v>0</v>
      </c>
      <c r="G1035" s="1905">
        <f t="shared" si="88"/>
        <v>0</v>
      </c>
      <c r="H1035" s="554"/>
    </row>
    <row r="1036" spans="2:8" s="439" customFormat="1" ht="99.75" customHeight="1">
      <c r="B1036" s="1862">
        <v>44</v>
      </c>
      <c r="C1036" s="1902" t="s">
        <v>735</v>
      </c>
      <c r="D1036" s="1874" t="s">
        <v>60</v>
      </c>
      <c r="E1036" s="1874">
        <v>1</v>
      </c>
      <c r="F1036" s="1904">
        <v>0</v>
      </c>
      <c r="G1036" s="1905">
        <f t="shared" si="88"/>
        <v>0</v>
      </c>
      <c r="H1036" s="555"/>
    </row>
    <row r="1037" spans="2:8" s="439" customFormat="1" ht="74.25" customHeight="1">
      <c r="B1037" s="1862">
        <v>45</v>
      </c>
      <c r="C1037" s="1892" t="s">
        <v>736</v>
      </c>
      <c r="D1037" s="1874" t="s">
        <v>60</v>
      </c>
      <c r="E1037" s="1874">
        <v>1</v>
      </c>
      <c r="F1037" s="1904">
        <v>0</v>
      </c>
      <c r="G1037" s="1905">
        <f t="shared" si="88"/>
        <v>0</v>
      </c>
      <c r="H1037" s="554"/>
    </row>
    <row r="1038" spans="2:8" s="439" customFormat="1" ht="73.5" customHeight="1">
      <c r="B1038" s="1862">
        <v>46</v>
      </c>
      <c r="C1038" s="1892" t="s">
        <v>719</v>
      </c>
      <c r="D1038" s="1874" t="s">
        <v>60</v>
      </c>
      <c r="E1038" s="1874">
        <v>1</v>
      </c>
      <c r="F1038" s="1904">
        <v>0</v>
      </c>
      <c r="G1038" s="1905">
        <f t="shared" si="88"/>
        <v>0</v>
      </c>
      <c r="H1038" s="554"/>
    </row>
    <row r="1039" spans="2:8" s="439" customFormat="1" ht="83.25" customHeight="1">
      <c r="B1039" s="1862">
        <v>47</v>
      </c>
      <c r="C1039" s="1892" t="s">
        <v>720</v>
      </c>
      <c r="D1039" s="1874" t="s">
        <v>60</v>
      </c>
      <c r="E1039" s="1874">
        <v>1</v>
      </c>
      <c r="F1039" s="1904">
        <v>0</v>
      </c>
      <c r="G1039" s="1905">
        <f t="shared" si="88"/>
        <v>0</v>
      </c>
      <c r="H1039" s="554"/>
    </row>
    <row r="1040" spans="2:8" s="439" customFormat="1" ht="14.25">
      <c r="B1040" s="1862"/>
      <c r="C1040" s="1863"/>
      <c r="D1040" s="1874"/>
      <c r="E1040" s="1874"/>
      <c r="F1040" s="1904"/>
      <c r="G1040" s="1905"/>
      <c r="H1040" s="441"/>
    </row>
    <row r="1041" spans="2:9" s="439" customFormat="1" ht="14.25">
      <c r="B1041" s="1862">
        <v>48</v>
      </c>
      <c r="C1041" s="1863" t="s">
        <v>721</v>
      </c>
      <c r="D1041" s="1874" t="s">
        <v>60</v>
      </c>
      <c r="E1041" s="1874">
        <v>1</v>
      </c>
      <c r="F1041" s="1904">
        <v>0</v>
      </c>
      <c r="G1041" s="1905">
        <f t="shared" si="88"/>
        <v>0</v>
      </c>
      <c r="H1041" s="441"/>
    </row>
    <row r="1042" spans="2:9" s="439" customFormat="1" ht="14.25">
      <c r="B1042" s="1862"/>
      <c r="C1042" s="1863"/>
      <c r="D1042" s="1874"/>
      <c r="E1042" s="1874"/>
      <c r="F1042" s="1904"/>
      <c r="G1042" s="1905"/>
      <c r="H1042" s="441"/>
    </row>
    <row r="1043" spans="2:9" s="439" customFormat="1" ht="14.25">
      <c r="B1043" s="1862"/>
      <c r="C1043" s="1863"/>
      <c r="D1043" s="1874"/>
      <c r="E1043" s="1874"/>
      <c r="F1043" s="1904"/>
      <c r="G1043" s="1905"/>
      <c r="H1043" s="441"/>
    </row>
    <row r="1044" spans="2:9" s="439" customFormat="1" ht="14.25">
      <c r="B1044" s="1862">
        <v>49</v>
      </c>
      <c r="C1044" s="1863" t="s">
        <v>722</v>
      </c>
      <c r="D1044" s="1874" t="s">
        <v>60</v>
      </c>
      <c r="E1044" s="1874">
        <v>1</v>
      </c>
      <c r="F1044" s="1904">
        <v>0</v>
      </c>
      <c r="G1044" s="1905">
        <f t="shared" si="88"/>
        <v>0</v>
      </c>
      <c r="H1044" s="441"/>
    </row>
    <row r="1045" spans="2:9" s="439" customFormat="1" ht="14.25">
      <c r="B1045" s="1862"/>
      <c r="C1045" s="1863"/>
      <c r="D1045" s="1874"/>
      <c r="E1045" s="1874"/>
      <c r="F1045" s="1904"/>
      <c r="G1045" s="1905"/>
      <c r="H1045" s="441"/>
    </row>
    <row r="1046" spans="2:9" s="439" customFormat="1" ht="18">
      <c r="B1046" s="1854"/>
      <c r="C1046" s="1855"/>
      <c r="D1046" s="1995"/>
      <c r="E1046" s="1949"/>
      <c r="F1046" s="1950"/>
      <c r="G1046" s="1951"/>
      <c r="H1046" s="441"/>
    </row>
    <row r="1047" spans="2:9" s="439" customFormat="1" ht="15.75">
      <c r="B1047" s="2463" t="s">
        <v>2209</v>
      </c>
      <c r="C1047" s="2464"/>
      <c r="D1047" s="2464"/>
      <c r="E1047" s="2464"/>
      <c r="F1047" s="2465"/>
      <c r="G1047" s="2025"/>
      <c r="H1047" s="441"/>
    </row>
    <row r="1048" spans="2:9" s="439" customFormat="1" ht="14.25">
      <c r="B1048" s="1857"/>
      <c r="C1048" s="1858"/>
      <c r="D1048" s="1997"/>
      <c r="E1048" s="1955"/>
      <c r="F1048" s="1956"/>
      <c r="G1048" s="1957"/>
      <c r="H1048" s="441"/>
    </row>
    <row r="1049" spans="2:9" s="439" customFormat="1" ht="29.25">
      <c r="B1049" s="1859" t="s">
        <v>564</v>
      </c>
      <c r="C1049" s="1860" t="s">
        <v>737</v>
      </c>
      <c r="D1049" s="1958"/>
      <c r="E1049" s="1958"/>
      <c r="F1049" s="1968"/>
      <c r="G1049" s="1968"/>
      <c r="H1049" s="441"/>
    </row>
    <row r="1050" spans="2:9" s="439" customFormat="1" ht="114">
      <c r="B1050" s="1859"/>
      <c r="C1050" s="1860" t="s">
        <v>566</v>
      </c>
      <c r="D1050" s="1960" t="s">
        <v>60</v>
      </c>
      <c r="E1050" s="1960">
        <v>1</v>
      </c>
      <c r="F1050" s="1904">
        <v>0</v>
      </c>
      <c r="G1050" s="1905">
        <f t="shared" ref="G1050:G1113" si="89">E1050*F1050</f>
        <v>0</v>
      </c>
      <c r="H1050" s="1581"/>
      <c r="I1050" s="1581"/>
    </row>
    <row r="1051" spans="2:9" s="439" customFormat="1" ht="14.25">
      <c r="B1051" s="1859"/>
      <c r="C1051" s="1860"/>
      <c r="D1051" s="1960"/>
      <c r="E1051" s="1960"/>
      <c r="F1051" s="1904"/>
      <c r="G1051" s="1905"/>
      <c r="H1051" s="1581"/>
      <c r="I1051" s="1581"/>
    </row>
    <row r="1052" spans="2:9" s="439" customFormat="1" ht="14.25">
      <c r="B1052" s="1859"/>
      <c r="C1052" s="1861" t="s">
        <v>567</v>
      </c>
      <c r="D1052" s="1960"/>
      <c r="E1052" s="1960"/>
      <c r="F1052" s="1904"/>
      <c r="G1052" s="1905"/>
      <c r="H1052" s="1581"/>
      <c r="I1052" s="1581"/>
    </row>
    <row r="1053" spans="2:9" s="439" customFormat="1" ht="85.5">
      <c r="B1053" s="1859" t="s">
        <v>568</v>
      </c>
      <c r="C1053" s="1860" t="s">
        <v>569</v>
      </c>
      <c r="D1053" s="1869" t="s">
        <v>66</v>
      </c>
      <c r="E1053" s="1869">
        <v>1</v>
      </c>
      <c r="F1053" s="1904">
        <v>0</v>
      </c>
      <c r="G1053" s="1905">
        <f t="shared" si="89"/>
        <v>0</v>
      </c>
      <c r="H1053" s="1581"/>
      <c r="I1053" s="1581"/>
    </row>
    <row r="1054" spans="2:9" s="439" customFormat="1" ht="71.25">
      <c r="B1054" s="1862" t="s">
        <v>568</v>
      </c>
      <c r="C1054" s="1863" t="s">
        <v>570</v>
      </c>
      <c r="D1054" s="1869" t="s">
        <v>66</v>
      </c>
      <c r="E1054" s="1866">
        <v>1</v>
      </c>
      <c r="F1054" s="1904">
        <v>0</v>
      </c>
      <c r="G1054" s="1905">
        <f t="shared" si="89"/>
        <v>0</v>
      </c>
      <c r="H1054" s="1581"/>
      <c r="I1054" s="1581"/>
    </row>
    <row r="1055" spans="2:9" s="439" customFormat="1" ht="28.5">
      <c r="B1055" s="1862" t="s">
        <v>568</v>
      </c>
      <c r="C1055" s="1860" t="s">
        <v>571</v>
      </c>
      <c r="D1055" s="1869" t="s">
        <v>66</v>
      </c>
      <c r="E1055" s="1866">
        <v>1</v>
      </c>
      <c r="F1055" s="1904">
        <v>0</v>
      </c>
      <c r="G1055" s="1905">
        <f t="shared" si="89"/>
        <v>0</v>
      </c>
      <c r="H1055" s="1581"/>
      <c r="I1055" s="1581"/>
    </row>
    <row r="1056" spans="2:9" s="439" customFormat="1" ht="57">
      <c r="B1056" s="1862" t="s">
        <v>568</v>
      </c>
      <c r="C1056" s="1863" t="s">
        <v>572</v>
      </c>
      <c r="D1056" s="1869" t="s">
        <v>66</v>
      </c>
      <c r="E1056" s="1866">
        <v>1</v>
      </c>
      <c r="F1056" s="1904">
        <v>0</v>
      </c>
      <c r="G1056" s="1905">
        <f t="shared" si="89"/>
        <v>0</v>
      </c>
      <c r="H1056" s="1581"/>
      <c r="I1056" s="1581"/>
    </row>
    <row r="1057" spans="2:10" s="439" customFormat="1" ht="85.5">
      <c r="B1057" s="1859" t="s">
        <v>568</v>
      </c>
      <c r="C1057" s="1860" t="s">
        <v>573</v>
      </c>
      <c r="D1057" s="1869" t="s">
        <v>66</v>
      </c>
      <c r="E1057" s="1869">
        <v>1</v>
      </c>
      <c r="F1057" s="1904">
        <v>0</v>
      </c>
      <c r="G1057" s="1905">
        <f t="shared" si="89"/>
        <v>0</v>
      </c>
      <c r="H1057" s="1581"/>
      <c r="I1057" s="1581"/>
    </row>
    <row r="1058" spans="2:10" s="439" customFormat="1" ht="71.25">
      <c r="B1058" s="1864" t="s">
        <v>568</v>
      </c>
      <c r="C1058" s="1863" t="s">
        <v>574</v>
      </c>
      <c r="D1058" s="1869" t="s">
        <v>66</v>
      </c>
      <c r="E1058" s="1866">
        <v>1</v>
      </c>
      <c r="F1058" s="1904">
        <v>0</v>
      </c>
      <c r="G1058" s="1905">
        <f t="shared" si="89"/>
        <v>0</v>
      </c>
      <c r="H1058" s="1581"/>
      <c r="I1058" s="1581"/>
    </row>
    <row r="1059" spans="2:10" s="439" customFormat="1" ht="42.75">
      <c r="B1059" s="1864" t="s">
        <v>568</v>
      </c>
      <c r="C1059" s="1863" t="s">
        <v>575</v>
      </c>
      <c r="D1059" s="1869" t="s">
        <v>66</v>
      </c>
      <c r="E1059" s="1866">
        <v>1</v>
      </c>
      <c r="F1059" s="1904">
        <v>0</v>
      </c>
      <c r="G1059" s="1905">
        <f t="shared" si="89"/>
        <v>0</v>
      </c>
      <c r="H1059" s="1581"/>
      <c r="I1059" s="1581"/>
    </row>
    <row r="1060" spans="2:10" s="439" customFormat="1" ht="42.75">
      <c r="B1060" s="1864" t="s">
        <v>568</v>
      </c>
      <c r="C1060" s="1863" t="s">
        <v>576</v>
      </c>
      <c r="D1060" s="1869" t="s">
        <v>66</v>
      </c>
      <c r="E1060" s="1866">
        <v>1</v>
      </c>
      <c r="F1060" s="1904">
        <v>0</v>
      </c>
      <c r="G1060" s="1905">
        <f t="shared" si="89"/>
        <v>0</v>
      </c>
      <c r="H1060" s="1581"/>
      <c r="I1060" s="1581"/>
    </row>
    <row r="1061" spans="2:10" s="439" customFormat="1" ht="14.25">
      <c r="B1061" s="1857"/>
      <c r="C1061" s="1858"/>
      <c r="D1061" s="1997"/>
      <c r="E1061" s="1955"/>
      <c r="F1061" s="1904"/>
      <c r="G1061" s="1905"/>
      <c r="H1061" s="1581"/>
      <c r="I1061" s="1581"/>
    </row>
    <row r="1062" spans="2:10" s="545" customFormat="1" ht="191.25" customHeight="1">
      <c r="B1062" s="1865" t="s">
        <v>568</v>
      </c>
      <c r="C1062" s="1779" t="s">
        <v>724</v>
      </c>
      <c r="D1062" s="1866" t="s">
        <v>252</v>
      </c>
      <c r="E1062" s="1866">
        <v>1</v>
      </c>
      <c r="F1062" s="1904">
        <v>0</v>
      </c>
      <c r="G1062" s="1905">
        <f t="shared" si="89"/>
        <v>0</v>
      </c>
      <c r="H1062" s="1582"/>
      <c r="I1062" s="1583"/>
      <c r="J1062" s="439"/>
    </row>
    <row r="1063" spans="2:10" s="439" customFormat="1" ht="42.75">
      <c r="B1063" s="1862" t="s">
        <v>568</v>
      </c>
      <c r="C1063" s="1863" t="s">
        <v>578</v>
      </c>
      <c r="D1063" s="1869" t="s">
        <v>66</v>
      </c>
      <c r="E1063" s="1866">
        <v>3</v>
      </c>
      <c r="F1063" s="1904">
        <v>0</v>
      </c>
      <c r="G1063" s="1905">
        <f t="shared" si="89"/>
        <v>0</v>
      </c>
      <c r="H1063" s="1581"/>
      <c r="I1063" s="1581"/>
    </row>
    <row r="1064" spans="2:10" s="439" customFormat="1" ht="14.25">
      <c r="B1064" s="1862"/>
      <c r="C1064" s="1863"/>
      <c r="D1064" s="1869"/>
      <c r="E1064" s="1866"/>
      <c r="F1064" s="1904">
        <v>0</v>
      </c>
      <c r="G1064" s="1905">
        <f t="shared" si="89"/>
        <v>0</v>
      </c>
      <c r="H1064" s="1581"/>
      <c r="I1064" s="1581"/>
    </row>
    <row r="1065" spans="2:10" s="439" customFormat="1" ht="42.75">
      <c r="B1065" s="1862" t="s">
        <v>568</v>
      </c>
      <c r="C1065" s="1863" t="s">
        <v>579</v>
      </c>
      <c r="D1065" s="1869" t="s">
        <v>66</v>
      </c>
      <c r="E1065" s="1866">
        <v>1</v>
      </c>
      <c r="F1065" s="1904">
        <v>0</v>
      </c>
      <c r="G1065" s="1905">
        <f t="shared" si="89"/>
        <v>0</v>
      </c>
      <c r="H1065" s="1581"/>
      <c r="I1065" s="1581"/>
    </row>
    <row r="1066" spans="2:10" s="439" customFormat="1" ht="42.75">
      <c r="B1066" s="1862" t="s">
        <v>568</v>
      </c>
      <c r="C1066" s="1863" t="s">
        <v>580</v>
      </c>
      <c r="D1066" s="1869" t="s">
        <v>66</v>
      </c>
      <c r="E1066" s="1866">
        <v>1</v>
      </c>
      <c r="F1066" s="1904">
        <v>0</v>
      </c>
      <c r="G1066" s="1905">
        <f t="shared" si="89"/>
        <v>0</v>
      </c>
      <c r="H1066" s="1581"/>
      <c r="I1066" s="1581"/>
    </row>
    <row r="1067" spans="2:10" s="439" customFormat="1" ht="42.75">
      <c r="B1067" s="1862" t="s">
        <v>568</v>
      </c>
      <c r="C1067" s="1863" t="s">
        <v>581</v>
      </c>
      <c r="D1067" s="1869" t="s">
        <v>66</v>
      </c>
      <c r="E1067" s="1866">
        <v>1</v>
      </c>
      <c r="F1067" s="1904">
        <v>0</v>
      </c>
      <c r="G1067" s="1905">
        <f t="shared" si="89"/>
        <v>0</v>
      </c>
      <c r="H1067" s="1581"/>
      <c r="I1067" s="1581"/>
    </row>
    <row r="1068" spans="2:10" s="439" customFormat="1" ht="71.25">
      <c r="B1068" s="1862" t="s">
        <v>568</v>
      </c>
      <c r="C1068" s="1863" t="s">
        <v>582</v>
      </c>
      <c r="D1068" s="1869" t="s">
        <v>66</v>
      </c>
      <c r="E1068" s="1866">
        <v>1</v>
      </c>
      <c r="F1068" s="1904">
        <v>0</v>
      </c>
      <c r="G1068" s="1905">
        <f t="shared" si="89"/>
        <v>0</v>
      </c>
      <c r="H1068" s="1581"/>
      <c r="I1068" s="1581"/>
    </row>
    <row r="1069" spans="2:10" s="439" customFormat="1" ht="42.75">
      <c r="B1069" s="1862" t="s">
        <v>568</v>
      </c>
      <c r="C1069" s="1863" t="s">
        <v>583</v>
      </c>
      <c r="D1069" s="1869" t="s">
        <v>66</v>
      </c>
      <c r="E1069" s="1866">
        <v>1</v>
      </c>
      <c r="F1069" s="1904">
        <v>0</v>
      </c>
      <c r="G1069" s="1905">
        <f t="shared" si="89"/>
        <v>0</v>
      </c>
      <c r="H1069" s="1581"/>
      <c r="I1069" s="1581"/>
    </row>
    <row r="1070" spans="2:10" s="439" customFormat="1" ht="42.75">
      <c r="B1070" s="1862" t="s">
        <v>568</v>
      </c>
      <c r="C1070" s="1863" t="s">
        <v>584</v>
      </c>
      <c r="D1070" s="1869" t="s">
        <v>66</v>
      </c>
      <c r="E1070" s="1866">
        <v>1</v>
      </c>
      <c r="F1070" s="1904">
        <v>0</v>
      </c>
      <c r="G1070" s="1905">
        <f t="shared" si="89"/>
        <v>0</v>
      </c>
      <c r="H1070" s="1581"/>
      <c r="I1070" s="1581"/>
    </row>
    <row r="1071" spans="2:10" s="439" customFormat="1" ht="28.5">
      <c r="B1071" s="1862" t="s">
        <v>568</v>
      </c>
      <c r="C1071" s="1863" t="s">
        <v>585</v>
      </c>
      <c r="D1071" s="1869" t="s">
        <v>66</v>
      </c>
      <c r="E1071" s="1866">
        <v>1</v>
      </c>
      <c r="F1071" s="1904">
        <v>0</v>
      </c>
      <c r="G1071" s="1905">
        <f t="shared" si="89"/>
        <v>0</v>
      </c>
      <c r="H1071" s="1581"/>
      <c r="I1071" s="1581"/>
    </row>
    <row r="1072" spans="2:10" s="439" customFormat="1" ht="28.5">
      <c r="B1072" s="1862" t="s">
        <v>568</v>
      </c>
      <c r="C1072" s="1863" t="s">
        <v>586</v>
      </c>
      <c r="D1072" s="1869" t="s">
        <v>66</v>
      </c>
      <c r="E1072" s="1866">
        <v>1</v>
      </c>
      <c r="F1072" s="1904">
        <v>0</v>
      </c>
      <c r="G1072" s="1905">
        <f t="shared" si="89"/>
        <v>0</v>
      </c>
      <c r="H1072" s="1581"/>
      <c r="I1072" s="1581"/>
    </row>
    <row r="1073" spans="2:9" s="439" customFormat="1" ht="28.5">
      <c r="B1073" s="1862" t="s">
        <v>568</v>
      </c>
      <c r="C1073" s="1863" t="s">
        <v>587</v>
      </c>
      <c r="D1073" s="1869" t="s">
        <v>66</v>
      </c>
      <c r="E1073" s="1866">
        <v>1</v>
      </c>
      <c r="F1073" s="1904">
        <v>0</v>
      </c>
      <c r="G1073" s="1905">
        <f t="shared" si="89"/>
        <v>0</v>
      </c>
      <c r="H1073" s="1581"/>
      <c r="I1073" s="1581"/>
    </row>
    <row r="1074" spans="2:9" s="439" customFormat="1" ht="28.5">
      <c r="B1074" s="1862" t="s">
        <v>568</v>
      </c>
      <c r="C1074" s="1863" t="s">
        <v>588</v>
      </c>
      <c r="D1074" s="1869" t="s">
        <v>66</v>
      </c>
      <c r="E1074" s="1866">
        <v>1</v>
      </c>
      <c r="F1074" s="1904">
        <v>0</v>
      </c>
      <c r="G1074" s="1905">
        <f t="shared" si="89"/>
        <v>0</v>
      </c>
      <c r="H1074" s="1581"/>
      <c r="I1074" s="1581"/>
    </row>
    <row r="1075" spans="2:9" s="439" customFormat="1" ht="42.75">
      <c r="B1075" s="1862" t="s">
        <v>568</v>
      </c>
      <c r="C1075" s="1863" t="s">
        <v>589</v>
      </c>
      <c r="D1075" s="1869" t="s">
        <v>66</v>
      </c>
      <c r="E1075" s="1866">
        <v>1</v>
      </c>
      <c r="F1075" s="1904">
        <v>0</v>
      </c>
      <c r="G1075" s="1905">
        <f t="shared" si="89"/>
        <v>0</v>
      </c>
      <c r="H1075" s="1581"/>
      <c r="I1075" s="1581"/>
    </row>
    <row r="1076" spans="2:9" s="439" customFormat="1" ht="42.75">
      <c r="B1076" s="1862" t="s">
        <v>568</v>
      </c>
      <c r="C1076" s="1863" t="s">
        <v>590</v>
      </c>
      <c r="D1076" s="1869" t="s">
        <v>66</v>
      </c>
      <c r="E1076" s="1866">
        <v>1</v>
      </c>
      <c r="F1076" s="1904">
        <v>0</v>
      </c>
      <c r="G1076" s="1905">
        <f t="shared" si="89"/>
        <v>0</v>
      </c>
      <c r="H1076" s="1581"/>
      <c r="I1076" s="1581"/>
    </row>
    <row r="1077" spans="2:9" s="439" customFormat="1" ht="28.5">
      <c r="B1077" s="1862" t="s">
        <v>568</v>
      </c>
      <c r="C1077" s="1863" t="s">
        <v>591</v>
      </c>
      <c r="D1077" s="1869" t="s">
        <v>66</v>
      </c>
      <c r="E1077" s="1866">
        <v>1</v>
      </c>
      <c r="F1077" s="1904">
        <v>0</v>
      </c>
      <c r="G1077" s="1905">
        <f t="shared" si="89"/>
        <v>0</v>
      </c>
      <c r="H1077" s="1581"/>
      <c r="I1077" s="1581"/>
    </row>
    <row r="1078" spans="2:9" s="439" customFormat="1" ht="14.25">
      <c r="B1078" s="1857"/>
      <c r="C1078" s="1858"/>
      <c r="D1078" s="1997"/>
      <c r="E1078" s="1955"/>
      <c r="F1078" s="1904"/>
      <c r="G1078" s="1905"/>
      <c r="H1078" s="1581"/>
      <c r="I1078" s="1581"/>
    </row>
    <row r="1079" spans="2:9" s="439" customFormat="1" ht="28.5">
      <c r="B1079" s="1862" t="s">
        <v>568</v>
      </c>
      <c r="C1079" s="1863" t="s">
        <v>592</v>
      </c>
      <c r="D1079" s="1869" t="s">
        <v>66</v>
      </c>
      <c r="E1079" s="1866">
        <v>1</v>
      </c>
      <c r="F1079" s="1904">
        <v>0</v>
      </c>
      <c r="G1079" s="1905">
        <f t="shared" si="89"/>
        <v>0</v>
      </c>
      <c r="H1079" s="1581"/>
      <c r="I1079" s="1581"/>
    </row>
    <row r="1080" spans="2:9" s="439" customFormat="1" ht="42.75">
      <c r="B1080" s="1862" t="s">
        <v>568</v>
      </c>
      <c r="C1080" s="1863" t="s">
        <v>593</v>
      </c>
      <c r="D1080" s="1869" t="s">
        <v>66</v>
      </c>
      <c r="E1080" s="1866">
        <v>1</v>
      </c>
      <c r="F1080" s="1904">
        <v>0</v>
      </c>
      <c r="G1080" s="1905">
        <f t="shared" si="89"/>
        <v>0</v>
      </c>
      <c r="H1080" s="1581"/>
      <c r="I1080" s="1581"/>
    </row>
    <row r="1081" spans="2:9" s="439" customFormat="1" ht="28.5">
      <c r="B1081" s="1862" t="s">
        <v>568</v>
      </c>
      <c r="C1081" s="1863" t="s">
        <v>594</v>
      </c>
      <c r="D1081" s="1869" t="s">
        <v>66</v>
      </c>
      <c r="E1081" s="1866">
        <v>1</v>
      </c>
      <c r="F1081" s="1904">
        <v>0</v>
      </c>
      <c r="G1081" s="1905">
        <f t="shared" si="89"/>
        <v>0</v>
      </c>
      <c r="H1081" s="1581"/>
      <c r="I1081" s="1581"/>
    </row>
    <row r="1082" spans="2:9" s="439" customFormat="1" ht="42.75">
      <c r="B1082" s="1864" t="s">
        <v>568</v>
      </c>
      <c r="C1082" s="1863" t="s">
        <v>595</v>
      </c>
      <c r="D1082" s="1869" t="s">
        <v>66</v>
      </c>
      <c r="E1082" s="1866">
        <v>4</v>
      </c>
      <c r="F1082" s="1904">
        <v>0</v>
      </c>
      <c r="G1082" s="1905">
        <f t="shared" si="89"/>
        <v>0</v>
      </c>
      <c r="H1082" s="1581"/>
      <c r="I1082" s="1581"/>
    </row>
    <row r="1083" spans="2:9" s="439" customFormat="1" ht="28.5">
      <c r="B1083" s="1864" t="s">
        <v>568</v>
      </c>
      <c r="C1083" s="1863" t="s">
        <v>596</v>
      </c>
      <c r="D1083" s="1869" t="s">
        <v>66</v>
      </c>
      <c r="E1083" s="1866">
        <v>2</v>
      </c>
      <c r="F1083" s="1904">
        <v>0</v>
      </c>
      <c r="G1083" s="1905">
        <f t="shared" si="89"/>
        <v>0</v>
      </c>
      <c r="H1083" s="1581"/>
      <c r="I1083" s="1581"/>
    </row>
    <row r="1084" spans="2:9" s="439" customFormat="1" ht="28.5">
      <c r="B1084" s="1864" t="s">
        <v>568</v>
      </c>
      <c r="C1084" s="1863" t="s">
        <v>597</v>
      </c>
      <c r="D1084" s="1869" t="s">
        <v>66</v>
      </c>
      <c r="E1084" s="1866">
        <v>7</v>
      </c>
      <c r="F1084" s="1904">
        <v>0</v>
      </c>
      <c r="G1084" s="1905">
        <f t="shared" si="89"/>
        <v>0</v>
      </c>
      <c r="H1084" s="1581"/>
      <c r="I1084" s="1581"/>
    </row>
    <row r="1085" spans="2:9" s="439" customFormat="1" ht="28.5">
      <c r="B1085" s="1862" t="s">
        <v>568</v>
      </c>
      <c r="C1085" s="1863" t="s">
        <v>598</v>
      </c>
      <c r="D1085" s="1869" t="s">
        <v>66</v>
      </c>
      <c r="E1085" s="1866">
        <v>16</v>
      </c>
      <c r="F1085" s="1904">
        <v>0</v>
      </c>
      <c r="G1085" s="1905">
        <f t="shared" si="89"/>
        <v>0</v>
      </c>
      <c r="H1085" s="1581"/>
      <c r="I1085" s="1581"/>
    </row>
    <row r="1086" spans="2:9" s="439" customFormat="1" ht="28.5">
      <c r="B1086" s="1862" t="s">
        <v>568</v>
      </c>
      <c r="C1086" s="1863" t="s">
        <v>599</v>
      </c>
      <c r="D1086" s="1869" t="s">
        <v>66</v>
      </c>
      <c r="E1086" s="1866">
        <v>8</v>
      </c>
      <c r="F1086" s="1904">
        <v>0</v>
      </c>
      <c r="G1086" s="1905">
        <f t="shared" si="89"/>
        <v>0</v>
      </c>
      <c r="H1086" s="1581"/>
      <c r="I1086" s="1581"/>
    </row>
    <row r="1087" spans="2:9" s="439" customFormat="1" ht="42.75">
      <c r="B1087" s="1862" t="s">
        <v>568</v>
      </c>
      <c r="C1087" s="1863" t="s">
        <v>600</v>
      </c>
      <c r="D1087" s="1869" t="s">
        <v>66</v>
      </c>
      <c r="E1087" s="1866">
        <v>3</v>
      </c>
      <c r="F1087" s="1904">
        <v>0</v>
      </c>
      <c r="G1087" s="1905">
        <f t="shared" si="89"/>
        <v>0</v>
      </c>
      <c r="H1087" s="1581"/>
      <c r="I1087" s="1581"/>
    </row>
    <row r="1088" spans="2:9" s="439" customFormat="1" ht="42.75">
      <c r="B1088" s="1862" t="s">
        <v>568</v>
      </c>
      <c r="C1088" s="1863" t="s">
        <v>601</v>
      </c>
      <c r="D1088" s="1869" t="s">
        <v>66</v>
      </c>
      <c r="E1088" s="1866">
        <v>1</v>
      </c>
      <c r="F1088" s="1904">
        <v>0</v>
      </c>
      <c r="G1088" s="1905">
        <f t="shared" si="89"/>
        <v>0</v>
      </c>
      <c r="H1088" s="1581"/>
      <c r="I1088" s="1581"/>
    </row>
    <row r="1089" spans="2:9" s="439" customFormat="1" ht="42.75">
      <c r="B1089" s="1862" t="s">
        <v>568</v>
      </c>
      <c r="C1089" s="1863" t="s">
        <v>602</v>
      </c>
      <c r="D1089" s="1869" t="s">
        <v>66</v>
      </c>
      <c r="E1089" s="1866">
        <v>4</v>
      </c>
      <c r="F1089" s="1904">
        <v>0</v>
      </c>
      <c r="G1089" s="1905">
        <f t="shared" si="89"/>
        <v>0</v>
      </c>
      <c r="H1089" s="1581"/>
      <c r="I1089" s="1581"/>
    </row>
    <row r="1090" spans="2:9" s="439" customFormat="1" ht="42.75">
      <c r="B1090" s="1862" t="s">
        <v>568</v>
      </c>
      <c r="C1090" s="1863" t="s">
        <v>603</v>
      </c>
      <c r="D1090" s="1869" t="s">
        <v>66</v>
      </c>
      <c r="E1090" s="1866">
        <v>1</v>
      </c>
      <c r="F1090" s="1904">
        <v>0</v>
      </c>
      <c r="G1090" s="1905">
        <f t="shared" si="89"/>
        <v>0</v>
      </c>
      <c r="H1090" s="1581"/>
      <c r="I1090" s="1581"/>
    </row>
    <row r="1091" spans="2:9" s="439" customFormat="1" ht="42.75">
      <c r="B1091" s="1862" t="s">
        <v>568</v>
      </c>
      <c r="C1091" s="1863" t="s">
        <v>604</v>
      </c>
      <c r="D1091" s="1869" t="s">
        <v>66</v>
      </c>
      <c r="E1091" s="1866">
        <v>1</v>
      </c>
      <c r="F1091" s="1904">
        <v>0</v>
      </c>
      <c r="G1091" s="1905">
        <f t="shared" si="89"/>
        <v>0</v>
      </c>
      <c r="H1091" s="1581"/>
      <c r="I1091" s="1581"/>
    </row>
    <row r="1092" spans="2:9" s="439" customFormat="1" ht="42.75">
      <c r="B1092" s="1862" t="s">
        <v>568</v>
      </c>
      <c r="C1092" s="1863" t="s">
        <v>605</v>
      </c>
      <c r="D1092" s="1869" t="s">
        <v>66</v>
      </c>
      <c r="E1092" s="1866">
        <v>1</v>
      </c>
      <c r="F1092" s="1904">
        <v>0</v>
      </c>
      <c r="G1092" s="1905">
        <f t="shared" si="89"/>
        <v>0</v>
      </c>
      <c r="H1092" s="1581"/>
      <c r="I1092" s="1581"/>
    </row>
    <row r="1093" spans="2:9" s="439" customFormat="1" ht="57">
      <c r="B1093" s="1862" t="s">
        <v>568</v>
      </c>
      <c r="C1093" s="1863" t="s">
        <v>606</v>
      </c>
      <c r="D1093" s="1869" t="s">
        <v>66</v>
      </c>
      <c r="E1093" s="1866">
        <v>3</v>
      </c>
      <c r="F1093" s="1904">
        <v>0</v>
      </c>
      <c r="G1093" s="1905">
        <f t="shared" si="89"/>
        <v>0</v>
      </c>
      <c r="H1093" s="1581"/>
      <c r="I1093" s="1581"/>
    </row>
    <row r="1094" spans="2:9" s="439" customFormat="1" ht="57">
      <c r="B1094" s="1862" t="s">
        <v>568</v>
      </c>
      <c r="C1094" s="1863" t="s">
        <v>607</v>
      </c>
      <c r="D1094" s="1869" t="s">
        <v>66</v>
      </c>
      <c r="E1094" s="1866">
        <v>1</v>
      </c>
      <c r="F1094" s="1904">
        <v>0</v>
      </c>
      <c r="G1094" s="1905">
        <f t="shared" si="89"/>
        <v>0</v>
      </c>
      <c r="H1094" s="1581"/>
      <c r="I1094" s="1581"/>
    </row>
    <row r="1095" spans="2:9" s="439" customFormat="1" ht="42.75">
      <c r="B1095" s="1862" t="s">
        <v>568</v>
      </c>
      <c r="C1095" s="1863" t="s">
        <v>608</v>
      </c>
      <c r="D1095" s="1869" t="s">
        <v>66</v>
      </c>
      <c r="E1095" s="1866">
        <v>1</v>
      </c>
      <c r="F1095" s="1904">
        <v>0</v>
      </c>
      <c r="G1095" s="1905">
        <f t="shared" si="89"/>
        <v>0</v>
      </c>
      <c r="H1095" s="1581"/>
      <c r="I1095" s="1581"/>
    </row>
    <row r="1096" spans="2:9" s="439" customFormat="1" ht="42.75">
      <c r="B1096" s="1862" t="s">
        <v>568</v>
      </c>
      <c r="C1096" s="1863" t="s">
        <v>609</v>
      </c>
      <c r="D1096" s="1869" t="s">
        <v>66</v>
      </c>
      <c r="E1096" s="1866">
        <v>2</v>
      </c>
      <c r="F1096" s="1904">
        <v>0</v>
      </c>
      <c r="G1096" s="1905">
        <f t="shared" si="89"/>
        <v>0</v>
      </c>
      <c r="H1096" s="1581"/>
      <c r="I1096" s="1581"/>
    </row>
    <row r="1097" spans="2:9" s="439" customFormat="1" ht="42.75">
      <c r="B1097" s="1862" t="s">
        <v>568</v>
      </c>
      <c r="C1097" s="1863" t="s">
        <v>610</v>
      </c>
      <c r="D1097" s="1869" t="s">
        <v>66</v>
      </c>
      <c r="E1097" s="1866">
        <v>1</v>
      </c>
      <c r="F1097" s="1904">
        <v>0</v>
      </c>
      <c r="G1097" s="1905">
        <f t="shared" si="89"/>
        <v>0</v>
      </c>
      <c r="H1097" s="1581"/>
      <c r="I1097" s="1581"/>
    </row>
    <row r="1098" spans="2:9" s="439" customFormat="1" ht="57">
      <c r="B1098" s="1862" t="s">
        <v>568</v>
      </c>
      <c r="C1098" s="1863" t="s">
        <v>611</v>
      </c>
      <c r="D1098" s="1869" t="s">
        <v>66</v>
      </c>
      <c r="E1098" s="1866">
        <v>1</v>
      </c>
      <c r="F1098" s="1904">
        <v>0</v>
      </c>
      <c r="G1098" s="1905">
        <f t="shared" si="89"/>
        <v>0</v>
      </c>
      <c r="H1098" s="1581"/>
      <c r="I1098" s="1581"/>
    </row>
    <row r="1099" spans="2:9" s="439" customFormat="1" ht="42.75">
      <c r="B1099" s="1862" t="s">
        <v>568</v>
      </c>
      <c r="C1099" s="1863" t="s">
        <v>612</v>
      </c>
      <c r="D1099" s="1869" t="s">
        <v>66</v>
      </c>
      <c r="E1099" s="1866">
        <v>3</v>
      </c>
      <c r="F1099" s="1904">
        <v>0</v>
      </c>
      <c r="G1099" s="1905">
        <f t="shared" si="89"/>
        <v>0</v>
      </c>
      <c r="H1099" s="1581"/>
      <c r="I1099" s="1581"/>
    </row>
    <row r="1100" spans="2:9" s="439" customFormat="1" ht="14.25">
      <c r="B1100" s="1857"/>
      <c r="C1100" s="1858"/>
      <c r="D1100" s="1997"/>
      <c r="E1100" s="1955"/>
      <c r="F1100" s="1904"/>
      <c r="G1100" s="1905"/>
      <c r="H1100" s="1581"/>
      <c r="I1100" s="1581"/>
    </row>
    <row r="1101" spans="2:9" s="439" customFormat="1" ht="42.75">
      <c r="B1101" s="1862" t="s">
        <v>568</v>
      </c>
      <c r="C1101" s="1863" t="s">
        <v>613</v>
      </c>
      <c r="D1101" s="1869" t="s">
        <v>66</v>
      </c>
      <c r="E1101" s="1866">
        <v>1</v>
      </c>
      <c r="F1101" s="1904">
        <v>0</v>
      </c>
      <c r="G1101" s="1905">
        <f t="shared" si="89"/>
        <v>0</v>
      </c>
      <c r="H1101" s="1581"/>
      <c r="I1101" s="1581"/>
    </row>
    <row r="1102" spans="2:9" s="439" customFormat="1" ht="42.75">
      <c r="B1102" s="1862" t="s">
        <v>568</v>
      </c>
      <c r="C1102" s="1863" t="s">
        <v>614</v>
      </c>
      <c r="D1102" s="1869" t="s">
        <v>66</v>
      </c>
      <c r="E1102" s="1866">
        <v>12</v>
      </c>
      <c r="F1102" s="1904">
        <v>0</v>
      </c>
      <c r="G1102" s="1905">
        <f t="shared" si="89"/>
        <v>0</v>
      </c>
      <c r="H1102" s="1581"/>
      <c r="I1102" s="1581"/>
    </row>
    <row r="1103" spans="2:9" s="439" customFormat="1" ht="42.75">
      <c r="B1103" s="1862" t="s">
        <v>568</v>
      </c>
      <c r="C1103" s="1863" t="s">
        <v>615</v>
      </c>
      <c r="D1103" s="1869" t="s">
        <v>66</v>
      </c>
      <c r="E1103" s="1866">
        <v>18</v>
      </c>
      <c r="F1103" s="1904">
        <v>0</v>
      </c>
      <c r="G1103" s="1905">
        <f t="shared" si="89"/>
        <v>0</v>
      </c>
      <c r="H1103" s="1581"/>
      <c r="I1103" s="1581"/>
    </row>
    <row r="1104" spans="2:9" s="439" customFormat="1" ht="42.75">
      <c r="B1104" s="1862" t="s">
        <v>568</v>
      </c>
      <c r="C1104" s="1863" t="s">
        <v>616</v>
      </c>
      <c r="D1104" s="1869" t="s">
        <v>66</v>
      </c>
      <c r="E1104" s="1866">
        <v>2</v>
      </c>
      <c r="F1104" s="1904">
        <v>0</v>
      </c>
      <c r="G1104" s="1905">
        <f t="shared" si="89"/>
        <v>0</v>
      </c>
      <c r="H1104" s="1581"/>
      <c r="I1104" s="1581"/>
    </row>
    <row r="1105" spans="2:9" s="439" customFormat="1" ht="42.75">
      <c r="B1105" s="1862" t="s">
        <v>568</v>
      </c>
      <c r="C1105" s="1863" t="s">
        <v>617</v>
      </c>
      <c r="D1105" s="1869" t="s">
        <v>66</v>
      </c>
      <c r="E1105" s="1866">
        <v>4</v>
      </c>
      <c r="F1105" s="1904">
        <v>0</v>
      </c>
      <c r="G1105" s="1905">
        <f t="shared" si="89"/>
        <v>0</v>
      </c>
      <c r="H1105" s="1581"/>
      <c r="I1105" s="1581"/>
    </row>
    <row r="1106" spans="2:9" s="439" customFormat="1" ht="28.5">
      <c r="B1106" s="1862" t="s">
        <v>568</v>
      </c>
      <c r="C1106" s="1863" t="s">
        <v>618</v>
      </c>
      <c r="D1106" s="1869" t="s">
        <v>66</v>
      </c>
      <c r="E1106" s="1866">
        <v>1</v>
      </c>
      <c r="F1106" s="1904">
        <v>0</v>
      </c>
      <c r="G1106" s="1905">
        <f t="shared" si="89"/>
        <v>0</v>
      </c>
      <c r="H1106" s="1581"/>
      <c r="I1106" s="1581"/>
    </row>
    <row r="1107" spans="2:9" s="439" customFormat="1" ht="28.5">
      <c r="B1107" s="1862" t="s">
        <v>568</v>
      </c>
      <c r="C1107" s="1863" t="s">
        <v>619</v>
      </c>
      <c r="D1107" s="1869" t="s">
        <v>66</v>
      </c>
      <c r="E1107" s="1866">
        <v>10</v>
      </c>
      <c r="F1107" s="1904">
        <v>0</v>
      </c>
      <c r="G1107" s="1905">
        <f t="shared" si="89"/>
        <v>0</v>
      </c>
      <c r="H1107" s="1581"/>
      <c r="I1107" s="1581"/>
    </row>
    <row r="1108" spans="2:9" s="439" customFormat="1" ht="28.5">
      <c r="B1108" s="1862" t="s">
        <v>568</v>
      </c>
      <c r="C1108" s="1863" t="s">
        <v>620</v>
      </c>
      <c r="D1108" s="1869" t="s">
        <v>66</v>
      </c>
      <c r="E1108" s="1866">
        <v>5</v>
      </c>
      <c r="F1108" s="1904">
        <v>0</v>
      </c>
      <c r="G1108" s="1905">
        <f t="shared" si="89"/>
        <v>0</v>
      </c>
      <c r="H1108" s="1581"/>
      <c r="I1108" s="1581"/>
    </row>
    <row r="1109" spans="2:9" s="439" customFormat="1" ht="28.5">
      <c r="B1109" s="1862" t="s">
        <v>568</v>
      </c>
      <c r="C1109" s="1863" t="s">
        <v>621</v>
      </c>
      <c r="D1109" s="1869" t="s">
        <v>66</v>
      </c>
      <c r="E1109" s="1866">
        <v>1</v>
      </c>
      <c r="F1109" s="1904">
        <v>0</v>
      </c>
      <c r="G1109" s="1905">
        <f t="shared" si="89"/>
        <v>0</v>
      </c>
      <c r="H1109" s="1581"/>
      <c r="I1109" s="1581"/>
    </row>
    <row r="1110" spans="2:9" s="439" customFormat="1" ht="28.5">
      <c r="B1110" s="1862" t="s">
        <v>568</v>
      </c>
      <c r="C1110" s="1863" t="s">
        <v>622</v>
      </c>
      <c r="D1110" s="1869" t="s">
        <v>66</v>
      </c>
      <c r="E1110" s="1866">
        <v>1</v>
      </c>
      <c r="F1110" s="1904">
        <v>0</v>
      </c>
      <c r="G1110" s="1905">
        <f t="shared" si="89"/>
        <v>0</v>
      </c>
      <c r="H1110" s="1581"/>
      <c r="I1110" s="1581"/>
    </row>
    <row r="1111" spans="2:9" s="439" customFormat="1" ht="28.5">
      <c r="B1111" s="1862" t="s">
        <v>568</v>
      </c>
      <c r="C1111" s="1863" t="s">
        <v>623</v>
      </c>
      <c r="D1111" s="1869" t="s">
        <v>66</v>
      </c>
      <c r="E1111" s="1866">
        <v>1</v>
      </c>
      <c r="F1111" s="1904">
        <v>0</v>
      </c>
      <c r="G1111" s="1905">
        <f t="shared" si="89"/>
        <v>0</v>
      </c>
      <c r="H1111" s="1581"/>
      <c r="I1111" s="1581"/>
    </row>
    <row r="1112" spans="2:9" s="439" customFormat="1" ht="42.75">
      <c r="B1112" s="1862" t="s">
        <v>568</v>
      </c>
      <c r="C1112" s="1863" t="s">
        <v>624</v>
      </c>
      <c r="D1112" s="1869" t="s">
        <v>66</v>
      </c>
      <c r="E1112" s="1866">
        <v>1</v>
      </c>
      <c r="F1112" s="1904">
        <v>0</v>
      </c>
      <c r="G1112" s="1905">
        <f t="shared" si="89"/>
        <v>0</v>
      </c>
      <c r="H1112" s="1581"/>
      <c r="I1112" s="1581"/>
    </row>
    <row r="1113" spans="2:9" s="439" customFormat="1" ht="42.75">
      <c r="B1113" s="1862" t="s">
        <v>568</v>
      </c>
      <c r="C1113" s="1863" t="s">
        <v>625</v>
      </c>
      <c r="D1113" s="1869" t="s">
        <v>66</v>
      </c>
      <c r="E1113" s="1866">
        <v>1</v>
      </c>
      <c r="F1113" s="1904">
        <v>0</v>
      </c>
      <c r="G1113" s="1905">
        <f t="shared" si="89"/>
        <v>0</v>
      </c>
      <c r="H1113" s="1581"/>
      <c r="I1113" s="1581"/>
    </row>
    <row r="1114" spans="2:9" s="439" customFormat="1" ht="28.5">
      <c r="B1114" s="1862" t="s">
        <v>568</v>
      </c>
      <c r="C1114" s="1863" t="s">
        <v>626</v>
      </c>
      <c r="D1114" s="1869" t="s">
        <v>66</v>
      </c>
      <c r="E1114" s="1866">
        <v>1</v>
      </c>
      <c r="F1114" s="1904">
        <v>0</v>
      </c>
      <c r="G1114" s="1905">
        <f t="shared" ref="G1114:G1168" si="90">E1114*F1114</f>
        <v>0</v>
      </c>
      <c r="H1114" s="1581"/>
      <c r="I1114" s="1581"/>
    </row>
    <row r="1115" spans="2:9" s="439" customFormat="1" ht="28.5">
      <c r="B1115" s="1862" t="s">
        <v>568</v>
      </c>
      <c r="C1115" s="1863" t="s">
        <v>627</v>
      </c>
      <c r="D1115" s="1869" t="s">
        <v>66</v>
      </c>
      <c r="E1115" s="1866">
        <v>19</v>
      </c>
      <c r="F1115" s="1904">
        <v>0</v>
      </c>
      <c r="G1115" s="1905">
        <f t="shared" si="90"/>
        <v>0</v>
      </c>
      <c r="H1115" s="1581"/>
      <c r="I1115" s="1581"/>
    </row>
    <row r="1116" spans="2:9" s="439" customFormat="1" ht="42.75">
      <c r="B1116" s="1870" t="s">
        <v>568</v>
      </c>
      <c r="C1116" s="1860" t="s">
        <v>628</v>
      </c>
      <c r="D1116" s="1869" t="s">
        <v>66</v>
      </c>
      <c r="E1116" s="1869">
        <v>19</v>
      </c>
      <c r="F1116" s="1904">
        <v>0</v>
      </c>
      <c r="G1116" s="1905">
        <f t="shared" si="90"/>
        <v>0</v>
      </c>
      <c r="H1116" s="1581"/>
      <c r="I1116" s="1581"/>
    </row>
    <row r="1117" spans="2:9" s="439" customFormat="1" ht="42.75">
      <c r="B1117" s="1859" t="s">
        <v>568</v>
      </c>
      <c r="C1117" s="1860" t="s">
        <v>629</v>
      </c>
      <c r="D1117" s="1869" t="s">
        <v>66</v>
      </c>
      <c r="E1117" s="1869">
        <v>19</v>
      </c>
      <c r="F1117" s="1904">
        <v>0</v>
      </c>
      <c r="G1117" s="1905">
        <f t="shared" si="90"/>
        <v>0</v>
      </c>
      <c r="H1117" s="1581"/>
      <c r="I1117" s="1581"/>
    </row>
    <row r="1118" spans="2:9" s="439" customFormat="1" ht="42.75">
      <c r="B1118" s="1859" t="s">
        <v>568</v>
      </c>
      <c r="C1118" s="1860" t="s">
        <v>630</v>
      </c>
      <c r="D1118" s="1869" t="s">
        <v>66</v>
      </c>
      <c r="E1118" s="1869">
        <v>2</v>
      </c>
      <c r="F1118" s="1904">
        <v>0</v>
      </c>
      <c r="G1118" s="1905">
        <f t="shared" si="90"/>
        <v>0</v>
      </c>
      <c r="H1118" s="1581"/>
      <c r="I1118" s="1581"/>
    </row>
    <row r="1119" spans="2:9" s="439" customFormat="1" ht="42.75">
      <c r="B1119" s="1870" t="s">
        <v>568</v>
      </c>
      <c r="C1119" s="1860" t="s">
        <v>631</v>
      </c>
      <c r="D1119" s="1869" t="s">
        <v>66</v>
      </c>
      <c r="E1119" s="1869">
        <v>37</v>
      </c>
      <c r="F1119" s="1904">
        <v>0</v>
      </c>
      <c r="G1119" s="1905">
        <f t="shared" si="90"/>
        <v>0</v>
      </c>
      <c r="H1119" s="1581"/>
      <c r="I1119" s="1581"/>
    </row>
    <row r="1120" spans="2:9" s="439" customFormat="1" ht="42.75">
      <c r="B1120" s="1859" t="s">
        <v>568</v>
      </c>
      <c r="C1120" s="1860" t="s">
        <v>632</v>
      </c>
      <c r="D1120" s="1869" t="s">
        <v>66</v>
      </c>
      <c r="E1120" s="1869">
        <v>1</v>
      </c>
      <c r="F1120" s="1904">
        <v>0</v>
      </c>
      <c r="G1120" s="1905">
        <f t="shared" si="90"/>
        <v>0</v>
      </c>
      <c r="H1120" s="1581"/>
      <c r="I1120" s="1581"/>
    </row>
    <row r="1121" spans="2:9" s="439" customFormat="1" ht="28.5">
      <c r="B1121" s="1871" t="s">
        <v>568</v>
      </c>
      <c r="C1121" s="1860" t="s">
        <v>633</v>
      </c>
      <c r="D1121" s="1869" t="s">
        <v>66</v>
      </c>
      <c r="E1121" s="1869">
        <v>38</v>
      </c>
      <c r="F1121" s="1904">
        <v>0</v>
      </c>
      <c r="G1121" s="1905">
        <f t="shared" si="90"/>
        <v>0</v>
      </c>
      <c r="H1121" s="1581"/>
      <c r="I1121" s="1581"/>
    </row>
    <row r="1122" spans="2:9" s="439" customFormat="1" ht="28.5">
      <c r="B1122" s="1871" t="s">
        <v>568</v>
      </c>
      <c r="C1122" s="1860" t="s">
        <v>634</v>
      </c>
      <c r="D1122" s="1869" t="s">
        <v>66</v>
      </c>
      <c r="E1122" s="1869">
        <v>38</v>
      </c>
      <c r="F1122" s="1904">
        <v>0</v>
      </c>
      <c r="G1122" s="1905">
        <f t="shared" si="90"/>
        <v>0</v>
      </c>
      <c r="H1122" s="1581"/>
      <c r="I1122" s="1581"/>
    </row>
    <row r="1123" spans="2:9" s="439" customFormat="1" ht="142.5">
      <c r="B1123" s="1871"/>
      <c r="C1123" s="1872" t="s">
        <v>635</v>
      </c>
      <c r="D1123" s="1869" t="s">
        <v>252</v>
      </c>
      <c r="E1123" s="1869">
        <v>1</v>
      </c>
      <c r="F1123" s="1904">
        <v>0</v>
      </c>
      <c r="G1123" s="1905">
        <f t="shared" si="90"/>
        <v>0</v>
      </c>
      <c r="H1123" s="1581"/>
      <c r="I1123" s="1581"/>
    </row>
    <row r="1124" spans="2:9" s="439" customFormat="1" ht="28.5">
      <c r="B1124" s="1871"/>
      <c r="C1124" s="1858" t="s">
        <v>636</v>
      </c>
      <c r="D1124" s="1869" t="s">
        <v>252</v>
      </c>
      <c r="E1124" s="1869">
        <v>1</v>
      </c>
      <c r="F1124" s="1904">
        <v>0</v>
      </c>
      <c r="G1124" s="1905">
        <f t="shared" si="90"/>
        <v>0</v>
      </c>
      <c r="H1124" s="1581"/>
      <c r="I1124" s="1581"/>
    </row>
    <row r="1125" spans="2:9" s="439" customFormat="1" ht="28.5">
      <c r="B1125" s="1862" t="s">
        <v>568</v>
      </c>
      <c r="C1125" s="1863" t="s">
        <v>637</v>
      </c>
      <c r="D1125" s="1866" t="s">
        <v>66</v>
      </c>
      <c r="E1125" s="1866">
        <v>55</v>
      </c>
      <c r="F1125" s="1904">
        <v>0</v>
      </c>
      <c r="G1125" s="1905">
        <f t="shared" si="90"/>
        <v>0</v>
      </c>
      <c r="H1125" s="1581"/>
      <c r="I1125" s="1581"/>
    </row>
    <row r="1126" spans="2:9" s="439" customFormat="1" ht="28.5">
      <c r="B1126" s="1862" t="s">
        <v>568</v>
      </c>
      <c r="C1126" s="1863" t="s">
        <v>638</v>
      </c>
      <c r="D1126" s="1866" t="s">
        <v>66</v>
      </c>
      <c r="E1126" s="1866">
        <v>1</v>
      </c>
      <c r="F1126" s="1904">
        <v>0</v>
      </c>
      <c r="G1126" s="1905">
        <f t="shared" si="90"/>
        <v>0</v>
      </c>
      <c r="H1126" s="1581"/>
      <c r="I1126" s="1581"/>
    </row>
    <row r="1127" spans="2:9" s="439" customFormat="1" ht="42.75">
      <c r="B1127" s="1870" t="s">
        <v>568</v>
      </c>
      <c r="C1127" s="1860" t="s">
        <v>639</v>
      </c>
      <c r="D1127" s="1869" t="s">
        <v>66</v>
      </c>
      <c r="E1127" s="1869">
        <v>6</v>
      </c>
      <c r="F1127" s="1904">
        <v>0</v>
      </c>
      <c r="G1127" s="1905">
        <f t="shared" si="90"/>
        <v>0</v>
      </c>
      <c r="H1127" s="1581"/>
      <c r="I1127" s="1581"/>
    </row>
    <row r="1128" spans="2:9" s="439" customFormat="1" ht="14.25">
      <c r="B1128" s="1862" t="s">
        <v>568</v>
      </c>
      <c r="C1128" s="1863" t="s">
        <v>640</v>
      </c>
      <c r="D1128" s="1866" t="s">
        <v>60</v>
      </c>
      <c r="E1128" s="1866">
        <v>1</v>
      </c>
      <c r="F1128" s="1904">
        <v>0</v>
      </c>
      <c r="G1128" s="1905">
        <f t="shared" si="90"/>
        <v>0</v>
      </c>
      <c r="H1128" s="1581"/>
      <c r="I1128" s="1581"/>
    </row>
    <row r="1129" spans="2:9" s="439" customFormat="1" ht="28.5">
      <c r="B1129" s="1862" t="s">
        <v>568</v>
      </c>
      <c r="C1129" s="1863" t="s">
        <v>641</v>
      </c>
      <c r="D1129" s="1866" t="s">
        <v>60</v>
      </c>
      <c r="E1129" s="1866">
        <v>1</v>
      </c>
      <c r="F1129" s="1904">
        <v>0</v>
      </c>
      <c r="G1129" s="1905">
        <f t="shared" si="90"/>
        <v>0</v>
      </c>
      <c r="H1129" s="1581"/>
      <c r="I1129" s="1581"/>
    </row>
    <row r="1130" spans="2:9" s="439" customFormat="1" ht="57">
      <c r="B1130" s="1862" t="s">
        <v>568</v>
      </c>
      <c r="C1130" s="1863" t="s">
        <v>642</v>
      </c>
      <c r="D1130" s="1866" t="s">
        <v>60</v>
      </c>
      <c r="E1130" s="1866">
        <v>1</v>
      </c>
      <c r="F1130" s="1904">
        <v>0</v>
      </c>
      <c r="G1130" s="1905">
        <f t="shared" si="90"/>
        <v>0</v>
      </c>
      <c r="H1130" s="1581"/>
      <c r="I1130" s="1581"/>
    </row>
    <row r="1131" spans="2:9" s="439" customFormat="1" ht="71.25">
      <c r="B1131" s="1862" t="s">
        <v>568</v>
      </c>
      <c r="C1131" s="1863" t="s">
        <v>643</v>
      </c>
      <c r="D1131" s="1866" t="s">
        <v>60</v>
      </c>
      <c r="E1131" s="1866">
        <v>1</v>
      </c>
      <c r="F1131" s="1904">
        <v>0</v>
      </c>
      <c r="G1131" s="1905">
        <f t="shared" si="90"/>
        <v>0</v>
      </c>
      <c r="H1131" s="1581"/>
      <c r="I1131" s="1581"/>
    </row>
    <row r="1132" spans="2:9" s="439" customFormat="1" ht="14.25">
      <c r="B1132" s="1862"/>
      <c r="C1132" s="1863"/>
      <c r="D1132" s="1874"/>
      <c r="E1132" s="1874"/>
      <c r="F1132" s="1904"/>
      <c r="G1132" s="1905"/>
      <c r="H1132" s="1581"/>
      <c r="I1132" s="1581"/>
    </row>
    <row r="1133" spans="2:9" s="439" customFormat="1" ht="57">
      <c r="B1133" s="1862" t="s">
        <v>644</v>
      </c>
      <c r="C1133" s="1863" t="s">
        <v>645</v>
      </c>
      <c r="D1133" s="1874" t="s">
        <v>60</v>
      </c>
      <c r="E1133" s="1874">
        <v>1</v>
      </c>
      <c r="F1133" s="1904">
        <v>0</v>
      </c>
      <c r="G1133" s="1905">
        <f t="shared" si="90"/>
        <v>0</v>
      </c>
      <c r="H1133" s="1581"/>
      <c r="I1133" s="1581"/>
    </row>
    <row r="1134" spans="2:9" s="439" customFormat="1" ht="42.75">
      <c r="B1134" s="1862" t="s">
        <v>568</v>
      </c>
      <c r="C1134" s="1863" t="s">
        <v>646</v>
      </c>
      <c r="D1134" s="1874"/>
      <c r="E1134" s="1874"/>
      <c r="F1134" s="1904">
        <v>0</v>
      </c>
      <c r="G1134" s="1905">
        <f t="shared" si="90"/>
        <v>0</v>
      </c>
      <c r="H1134" s="1581"/>
      <c r="I1134" s="1581"/>
    </row>
    <row r="1135" spans="2:9" s="439" customFormat="1" ht="14.25">
      <c r="B1135" s="1862"/>
      <c r="C1135" s="1863"/>
      <c r="D1135" s="1874"/>
      <c r="E1135" s="1874"/>
      <c r="F1135" s="1904"/>
      <c r="G1135" s="1905"/>
      <c r="H1135" s="1581"/>
      <c r="I1135" s="1581"/>
    </row>
    <row r="1136" spans="2:9" s="439" customFormat="1" ht="71.25">
      <c r="B1136" s="1862" t="s">
        <v>647</v>
      </c>
      <c r="C1136" s="1863" t="s">
        <v>648</v>
      </c>
      <c r="D1136" s="1874"/>
      <c r="E1136" s="1874"/>
      <c r="F1136" s="1904">
        <v>0</v>
      </c>
      <c r="G1136" s="1905">
        <f t="shared" si="90"/>
        <v>0</v>
      </c>
      <c r="H1136" s="1581"/>
      <c r="I1136" s="1581"/>
    </row>
    <row r="1137" spans="2:10" s="545" customFormat="1" ht="90">
      <c r="B1137" s="1873" t="s">
        <v>738</v>
      </c>
      <c r="C1137" s="1903" t="s">
        <v>649</v>
      </c>
      <c r="D1137" s="1874" t="s">
        <v>60</v>
      </c>
      <c r="E1137" s="1874">
        <v>1</v>
      </c>
      <c r="F1137" s="1904">
        <v>0</v>
      </c>
      <c r="G1137" s="1905">
        <f t="shared" si="90"/>
        <v>0</v>
      </c>
      <c r="H1137" s="1584"/>
      <c r="I1137" s="1583"/>
      <c r="J1137" s="439"/>
    </row>
    <row r="1138" spans="2:10" s="439" customFormat="1" ht="14.25">
      <c r="B1138" s="1857"/>
      <c r="C1138" s="1858"/>
      <c r="D1138" s="1997"/>
      <c r="E1138" s="1955"/>
      <c r="F1138" s="1904"/>
      <c r="G1138" s="1905"/>
      <c r="H1138" s="1581"/>
      <c r="I1138" s="1581"/>
    </row>
    <row r="1139" spans="2:10" s="439" customFormat="1" ht="30">
      <c r="B1139" s="1862">
        <v>4</v>
      </c>
      <c r="C1139" s="1876" t="s">
        <v>650</v>
      </c>
      <c r="D1139" s="1962"/>
      <c r="E1139" s="1962"/>
      <c r="F1139" s="1904"/>
      <c r="G1139" s="1905"/>
      <c r="H1139" s="1581"/>
      <c r="I1139" s="1581"/>
    </row>
    <row r="1140" spans="2:10" s="439" customFormat="1" ht="48">
      <c r="B1140" s="1862" t="s">
        <v>568</v>
      </c>
      <c r="C1140" s="1898" t="s">
        <v>725</v>
      </c>
      <c r="D1140" s="1874" t="s">
        <v>252</v>
      </c>
      <c r="E1140" s="1874">
        <v>1</v>
      </c>
      <c r="F1140" s="1904">
        <v>0</v>
      </c>
      <c r="G1140" s="1905">
        <f t="shared" si="90"/>
        <v>0</v>
      </c>
      <c r="H1140" s="1585"/>
      <c r="I1140" s="1581"/>
    </row>
    <row r="1141" spans="2:10" s="439" customFormat="1" ht="48">
      <c r="B1141" s="1862" t="s">
        <v>568</v>
      </c>
      <c r="C1141" s="1898" t="s">
        <v>726</v>
      </c>
      <c r="D1141" s="1874" t="s">
        <v>252</v>
      </c>
      <c r="E1141" s="1874">
        <v>1</v>
      </c>
      <c r="F1141" s="1904">
        <v>0</v>
      </c>
      <c r="G1141" s="1905">
        <f t="shared" si="90"/>
        <v>0</v>
      </c>
      <c r="H1141" s="1585"/>
      <c r="I1141" s="1581"/>
    </row>
    <row r="1142" spans="2:10" s="439" customFormat="1" ht="60">
      <c r="B1142" s="1862" t="s">
        <v>568</v>
      </c>
      <c r="C1142" s="1898" t="s">
        <v>727</v>
      </c>
      <c r="D1142" s="1874" t="s">
        <v>252</v>
      </c>
      <c r="E1142" s="1874">
        <v>1</v>
      </c>
      <c r="F1142" s="1904">
        <v>0</v>
      </c>
      <c r="G1142" s="1905">
        <f t="shared" si="90"/>
        <v>0</v>
      </c>
      <c r="H1142" s="1585"/>
      <c r="I1142" s="1581"/>
    </row>
    <row r="1143" spans="2:10" s="439" customFormat="1" ht="14.25">
      <c r="B1143" s="1857"/>
      <c r="C1143" s="1858"/>
      <c r="D1143" s="1997"/>
      <c r="E1143" s="1955"/>
      <c r="F1143" s="1904"/>
      <c r="G1143" s="1905"/>
      <c r="H1143" s="1581"/>
      <c r="I1143" s="1581"/>
    </row>
    <row r="1144" spans="2:10" s="439" customFormat="1" ht="96" customHeight="1">
      <c r="B1144" s="1862" t="s">
        <v>739</v>
      </c>
      <c r="C1144" s="1863" t="s">
        <v>740</v>
      </c>
      <c r="D1144" s="1874" t="s">
        <v>657</v>
      </c>
      <c r="E1144" s="1874">
        <v>1</v>
      </c>
      <c r="F1144" s="1904">
        <v>0</v>
      </c>
      <c r="G1144" s="1905">
        <f t="shared" si="90"/>
        <v>0</v>
      </c>
      <c r="H1144" s="1581"/>
      <c r="I1144" s="1581"/>
    </row>
    <row r="1145" spans="2:10" s="545" customFormat="1" ht="204">
      <c r="B1145" s="1878"/>
      <c r="C1145" s="1899" t="s">
        <v>728</v>
      </c>
      <c r="D1145" s="1874"/>
      <c r="E1145" s="1874"/>
      <c r="F1145" s="1904">
        <v>0</v>
      </c>
      <c r="G1145" s="1905">
        <f t="shared" si="90"/>
        <v>0</v>
      </c>
      <c r="H1145" s="1586"/>
      <c r="I1145" s="1583"/>
      <c r="J1145" s="439"/>
    </row>
    <row r="1146" spans="2:10" s="545" customFormat="1" ht="14.25">
      <c r="B1146" s="1878"/>
      <c r="C1146" s="1899"/>
      <c r="D1146" s="1874"/>
      <c r="E1146" s="1874"/>
      <c r="F1146" s="1904"/>
      <c r="G1146" s="1905"/>
      <c r="H1146" s="1586"/>
      <c r="I1146" s="1583"/>
      <c r="J1146" s="439"/>
    </row>
    <row r="1147" spans="2:10" s="439" customFormat="1" ht="72">
      <c r="B1147" s="1859">
        <v>6</v>
      </c>
      <c r="C1147" s="1899" t="s">
        <v>729</v>
      </c>
      <c r="D1147" s="1866" t="s">
        <v>60</v>
      </c>
      <c r="E1147" s="1866">
        <v>1</v>
      </c>
      <c r="F1147" s="1904">
        <v>0</v>
      </c>
      <c r="G1147" s="1905">
        <f t="shared" si="90"/>
        <v>0</v>
      </c>
      <c r="H1147" s="1586"/>
      <c r="I1147" s="1581"/>
    </row>
    <row r="1148" spans="2:10" s="439" customFormat="1" ht="14.25">
      <c r="B1148" s="1862"/>
      <c r="C1148" s="1863"/>
      <c r="D1148" s="1874"/>
      <c r="E1148" s="1874"/>
      <c r="F1148" s="1904"/>
      <c r="G1148" s="1905"/>
      <c r="H1148" s="1581"/>
      <c r="I1148" s="1581"/>
    </row>
    <row r="1149" spans="2:10" s="545" customFormat="1" ht="300">
      <c r="B1149" s="1862">
        <v>7</v>
      </c>
      <c r="C1149" s="550" t="s">
        <v>730</v>
      </c>
      <c r="D1149" s="1874" t="s">
        <v>60</v>
      </c>
      <c r="E1149" s="1874">
        <v>1</v>
      </c>
      <c r="F1149" s="1904">
        <v>0</v>
      </c>
      <c r="G1149" s="1905">
        <f t="shared" si="90"/>
        <v>0</v>
      </c>
      <c r="H1149" s="1587"/>
      <c r="I1149" s="1583"/>
      <c r="J1149" s="439"/>
    </row>
    <row r="1150" spans="2:10" s="439" customFormat="1" ht="14.25">
      <c r="B1150" s="1862"/>
      <c r="C1150" s="1863"/>
      <c r="D1150" s="1874"/>
      <c r="E1150" s="1874"/>
      <c r="F1150" s="1904"/>
      <c r="G1150" s="1905"/>
      <c r="H1150" s="1581"/>
      <c r="I1150" s="1581"/>
    </row>
    <row r="1151" spans="2:10" s="439" customFormat="1" ht="114">
      <c r="B1151" s="1862">
        <v>8</v>
      </c>
      <c r="C1151" s="1863" t="s">
        <v>661</v>
      </c>
      <c r="D1151" s="1874" t="s">
        <v>66</v>
      </c>
      <c r="E1151" s="1874">
        <v>1</v>
      </c>
      <c r="F1151" s="1904">
        <v>0</v>
      </c>
      <c r="G1151" s="1905">
        <f t="shared" si="90"/>
        <v>0</v>
      </c>
      <c r="H1151" s="1581"/>
      <c r="I1151" s="1581"/>
    </row>
    <row r="1152" spans="2:10" s="439" customFormat="1" ht="14.25">
      <c r="B1152" s="1862"/>
      <c r="C1152" s="1863"/>
      <c r="D1152" s="1874"/>
      <c r="E1152" s="1874"/>
      <c r="F1152" s="1904"/>
      <c r="G1152" s="1905"/>
      <c r="H1152" s="1581"/>
      <c r="I1152" s="1581"/>
    </row>
    <row r="1153" spans="2:9" s="439" customFormat="1" ht="57">
      <c r="B1153" s="1862">
        <v>9</v>
      </c>
      <c r="C1153" s="1863" t="s">
        <v>662</v>
      </c>
      <c r="D1153" s="1874" t="s">
        <v>397</v>
      </c>
      <c r="E1153" s="1874">
        <v>3</v>
      </c>
      <c r="F1153" s="1904">
        <v>0</v>
      </c>
      <c r="G1153" s="1905">
        <f t="shared" si="90"/>
        <v>0</v>
      </c>
      <c r="H1153" s="1581"/>
      <c r="I1153" s="1581"/>
    </row>
    <row r="1154" spans="2:9" s="439" customFormat="1" ht="14.25">
      <c r="B1154" s="1862"/>
      <c r="C1154" s="1863"/>
      <c r="D1154" s="1874"/>
      <c r="E1154" s="1874"/>
      <c r="F1154" s="1904"/>
      <c r="G1154" s="1905"/>
      <c r="H1154" s="1581"/>
      <c r="I1154" s="1581"/>
    </row>
    <row r="1155" spans="2:9" s="439" customFormat="1" ht="57">
      <c r="B1155" s="1862">
        <v>10</v>
      </c>
      <c r="C1155" s="1863" t="s">
        <v>663</v>
      </c>
      <c r="D1155" s="1874" t="s">
        <v>397</v>
      </c>
      <c r="E1155" s="1874">
        <v>2</v>
      </c>
      <c r="F1155" s="1904">
        <v>0</v>
      </c>
      <c r="G1155" s="1905">
        <f t="shared" si="90"/>
        <v>0</v>
      </c>
      <c r="H1155" s="1581"/>
      <c r="I1155" s="1581"/>
    </row>
    <row r="1156" spans="2:9" s="439" customFormat="1" ht="14.25">
      <c r="B1156" s="1862"/>
      <c r="C1156" s="1863"/>
      <c r="D1156" s="1874"/>
      <c r="E1156" s="1874"/>
      <c r="F1156" s="1904"/>
      <c r="G1156" s="1905"/>
      <c r="H1156" s="1581"/>
      <c r="I1156" s="1581"/>
    </row>
    <row r="1157" spans="2:9" s="439" customFormat="1" ht="57">
      <c r="B1157" s="1862">
        <v>11</v>
      </c>
      <c r="C1157" s="1863" t="s">
        <v>663</v>
      </c>
      <c r="D1157" s="1874" t="s">
        <v>397</v>
      </c>
      <c r="E1157" s="1874">
        <v>2</v>
      </c>
      <c r="F1157" s="1904">
        <v>0</v>
      </c>
      <c r="G1157" s="1905">
        <f t="shared" si="90"/>
        <v>0</v>
      </c>
      <c r="H1157" s="1581"/>
      <c r="I1157" s="1581"/>
    </row>
    <row r="1158" spans="2:9" s="439" customFormat="1" ht="14.25">
      <c r="B1158" s="1862"/>
      <c r="C1158" s="1863"/>
      <c r="D1158" s="1874"/>
      <c r="E1158" s="1874"/>
      <c r="F1158" s="1904"/>
      <c r="G1158" s="1905"/>
      <c r="H1158" s="1581"/>
      <c r="I1158" s="1581"/>
    </row>
    <row r="1159" spans="2:9" s="439" customFormat="1" ht="57">
      <c r="B1159" s="1862">
        <v>12</v>
      </c>
      <c r="C1159" s="1863" t="s">
        <v>664</v>
      </c>
      <c r="D1159" s="1874" t="s">
        <v>397</v>
      </c>
      <c r="E1159" s="1874">
        <v>31</v>
      </c>
      <c r="F1159" s="1904">
        <v>0</v>
      </c>
      <c r="G1159" s="1905">
        <f t="shared" si="90"/>
        <v>0</v>
      </c>
      <c r="H1159" s="1581"/>
      <c r="I1159" s="1581"/>
    </row>
    <row r="1160" spans="2:9" s="439" customFormat="1" ht="14.25">
      <c r="B1160" s="1862"/>
      <c r="C1160" s="1863"/>
      <c r="D1160" s="1874"/>
      <c r="E1160" s="1874"/>
      <c r="F1160" s="1904"/>
      <c r="G1160" s="1905"/>
      <c r="H1160" s="1581"/>
      <c r="I1160" s="1581"/>
    </row>
    <row r="1161" spans="2:9" s="439" customFormat="1" ht="28.5">
      <c r="B1161" s="1862">
        <v>13</v>
      </c>
      <c r="C1161" s="1863" t="s">
        <v>665</v>
      </c>
      <c r="D1161" s="1874" t="s">
        <v>397</v>
      </c>
      <c r="E1161" s="1874">
        <v>58</v>
      </c>
      <c r="F1161" s="1904">
        <v>0</v>
      </c>
      <c r="G1161" s="1905">
        <f t="shared" si="90"/>
        <v>0</v>
      </c>
      <c r="H1161" s="1581"/>
      <c r="I1161" s="1581"/>
    </row>
    <row r="1162" spans="2:9" s="439" customFormat="1" ht="14.25">
      <c r="B1162" s="1862"/>
      <c r="C1162" s="1863"/>
      <c r="D1162" s="1874"/>
      <c r="E1162" s="1874"/>
      <c r="F1162" s="1904"/>
      <c r="G1162" s="1905"/>
      <c r="H1162" s="1581"/>
      <c r="I1162" s="1581"/>
    </row>
    <row r="1163" spans="2:9" s="439" customFormat="1" ht="57">
      <c r="B1163" s="1862">
        <v>14</v>
      </c>
      <c r="C1163" s="1863" t="s">
        <v>666</v>
      </c>
      <c r="D1163" s="1874" t="s">
        <v>66</v>
      </c>
      <c r="E1163" s="1874">
        <v>1</v>
      </c>
      <c r="F1163" s="1904">
        <v>0</v>
      </c>
      <c r="G1163" s="1905">
        <f t="shared" si="90"/>
        <v>0</v>
      </c>
      <c r="H1163" s="1581"/>
      <c r="I1163" s="1581"/>
    </row>
    <row r="1164" spans="2:9" s="439" customFormat="1" ht="14.25">
      <c r="B1164" s="1862"/>
      <c r="C1164" s="1863"/>
      <c r="D1164" s="1874"/>
      <c r="E1164" s="1874"/>
      <c r="F1164" s="1904"/>
      <c r="G1164" s="1905"/>
      <c r="H1164" s="1581"/>
      <c r="I1164" s="1581"/>
    </row>
    <row r="1165" spans="2:9" s="439" customFormat="1" ht="28.5">
      <c r="B1165" s="1862">
        <v>15</v>
      </c>
      <c r="C1165" s="1863" t="s">
        <v>667</v>
      </c>
      <c r="D1165" s="1874" t="s">
        <v>66</v>
      </c>
      <c r="E1165" s="1874">
        <v>1</v>
      </c>
      <c r="F1165" s="1904">
        <v>0</v>
      </c>
      <c r="G1165" s="1905">
        <f t="shared" si="90"/>
        <v>0</v>
      </c>
      <c r="H1165" s="1581"/>
      <c r="I1165" s="1581"/>
    </row>
    <row r="1166" spans="2:9" s="439" customFormat="1" ht="14.25">
      <c r="B1166" s="1862"/>
      <c r="C1166" s="1863"/>
      <c r="D1166" s="1874"/>
      <c r="E1166" s="1874"/>
      <c r="F1166" s="1904"/>
      <c r="G1166" s="1905"/>
      <c r="H1166" s="1581"/>
      <c r="I1166" s="1581"/>
    </row>
    <row r="1167" spans="2:9" s="439" customFormat="1" ht="28.5">
      <c r="B1167" s="1862">
        <v>16</v>
      </c>
      <c r="C1167" s="1863" t="s">
        <v>668</v>
      </c>
      <c r="D1167" s="1874"/>
      <c r="E1167" s="1874"/>
      <c r="F1167" s="1904"/>
      <c r="G1167" s="1905"/>
      <c r="H1167" s="1581"/>
      <c r="I1167" s="1581"/>
    </row>
    <row r="1168" spans="2:9" s="439" customFormat="1" ht="14.25">
      <c r="B1168" s="1883" t="s">
        <v>669</v>
      </c>
      <c r="C1168" s="1863" t="s">
        <v>670</v>
      </c>
      <c r="D1168" s="1874" t="s">
        <v>66</v>
      </c>
      <c r="E1168" s="1874">
        <v>2</v>
      </c>
      <c r="F1168" s="1904">
        <v>0</v>
      </c>
      <c r="G1168" s="1905">
        <f t="shared" si="90"/>
        <v>0</v>
      </c>
      <c r="H1168" s="1581"/>
      <c r="I1168" s="1581"/>
    </row>
    <row r="1169" spans="2:9" s="439" customFormat="1" ht="14.25">
      <c r="B1169" s="1857"/>
      <c r="C1169" s="1858"/>
      <c r="D1169" s="1997"/>
      <c r="E1169" s="1955"/>
      <c r="F1169" s="1904"/>
      <c r="G1169" s="1905"/>
      <c r="H1169" s="1581"/>
      <c r="I1169" s="1581"/>
    </row>
    <row r="1170" spans="2:9" s="439" customFormat="1" ht="28.5">
      <c r="B1170" s="1862">
        <v>17</v>
      </c>
      <c r="C1170" s="1863" t="s">
        <v>671</v>
      </c>
      <c r="D1170" s="1874"/>
      <c r="E1170" s="1874"/>
      <c r="F1170" s="1904"/>
      <c r="G1170" s="1905"/>
      <c r="H1170" s="1581"/>
      <c r="I1170" s="1581"/>
    </row>
    <row r="1171" spans="2:9" s="439" customFormat="1" ht="85.5">
      <c r="B1171" s="1883" t="s">
        <v>669</v>
      </c>
      <c r="C1171" s="1863" t="s">
        <v>673</v>
      </c>
      <c r="D1171" s="1874" t="s">
        <v>66</v>
      </c>
      <c r="E1171" s="1874">
        <v>1</v>
      </c>
      <c r="F1171" s="1904">
        <v>0</v>
      </c>
      <c r="G1171" s="1905">
        <f t="shared" ref="G1171:G1230" si="91">E1171*F1171</f>
        <v>0</v>
      </c>
      <c r="H1171" s="1581"/>
      <c r="I1171" s="1581"/>
    </row>
    <row r="1172" spans="2:9" s="439" customFormat="1" ht="85.5">
      <c r="B1172" s="1883" t="s">
        <v>669</v>
      </c>
      <c r="C1172" s="1863" t="s">
        <v>673</v>
      </c>
      <c r="D1172" s="1874" t="s">
        <v>66</v>
      </c>
      <c r="E1172" s="1874">
        <v>1</v>
      </c>
      <c r="F1172" s="1904">
        <v>0</v>
      </c>
      <c r="G1172" s="1905">
        <f t="shared" si="91"/>
        <v>0</v>
      </c>
      <c r="H1172" s="1581"/>
      <c r="I1172" s="1581"/>
    </row>
    <row r="1173" spans="2:9" s="439" customFormat="1" ht="57">
      <c r="B1173" s="1883" t="s">
        <v>669</v>
      </c>
      <c r="C1173" s="1863" t="s">
        <v>674</v>
      </c>
      <c r="D1173" s="1874" t="s">
        <v>66</v>
      </c>
      <c r="E1173" s="1874">
        <v>1</v>
      </c>
      <c r="F1173" s="1904">
        <v>0</v>
      </c>
      <c r="G1173" s="1905">
        <f t="shared" si="91"/>
        <v>0</v>
      </c>
      <c r="H1173" s="1581"/>
      <c r="I1173" s="1581"/>
    </row>
    <row r="1174" spans="2:9" s="439" customFormat="1" ht="14.25">
      <c r="B1174" s="1862"/>
      <c r="C1174" s="1863"/>
      <c r="D1174" s="1874"/>
      <c r="E1174" s="1874"/>
      <c r="F1174" s="1904"/>
      <c r="G1174" s="1905"/>
      <c r="H1174" s="1581"/>
      <c r="I1174" s="1581"/>
    </row>
    <row r="1175" spans="2:9" s="439" customFormat="1" ht="14.25">
      <c r="B1175" s="1862">
        <v>18</v>
      </c>
      <c r="C1175" s="1863" t="s">
        <v>675</v>
      </c>
      <c r="D1175" s="1874" t="s">
        <v>60</v>
      </c>
      <c r="E1175" s="1874">
        <v>6</v>
      </c>
      <c r="F1175" s="1904">
        <v>0</v>
      </c>
      <c r="G1175" s="1905">
        <f t="shared" si="91"/>
        <v>0</v>
      </c>
      <c r="H1175" s="1581"/>
      <c r="I1175" s="1581"/>
    </row>
    <row r="1176" spans="2:9" s="439" customFormat="1" ht="14.25">
      <c r="B1176" s="1862"/>
      <c r="C1176" s="1863"/>
      <c r="D1176" s="1874"/>
      <c r="E1176" s="1874"/>
      <c r="F1176" s="1904"/>
      <c r="G1176" s="1905"/>
      <c r="H1176" s="1581"/>
      <c r="I1176" s="1581"/>
    </row>
    <row r="1177" spans="2:9" s="439" customFormat="1" ht="14.25">
      <c r="B1177" s="1862">
        <v>19</v>
      </c>
      <c r="C1177" s="1863" t="s">
        <v>676</v>
      </c>
      <c r="D1177" s="1874" t="s">
        <v>60</v>
      </c>
      <c r="E1177" s="1874">
        <v>1</v>
      </c>
      <c r="F1177" s="1904">
        <v>0</v>
      </c>
      <c r="G1177" s="1905">
        <f t="shared" si="91"/>
        <v>0</v>
      </c>
      <c r="H1177" s="1581"/>
      <c r="I1177" s="1581"/>
    </row>
    <row r="1178" spans="2:9" s="439" customFormat="1" ht="14.25">
      <c r="B1178" s="1862"/>
      <c r="C1178" s="1863"/>
      <c r="D1178" s="1874"/>
      <c r="E1178" s="1874"/>
      <c r="F1178" s="1904"/>
      <c r="G1178" s="1905"/>
      <c r="H1178" s="1581"/>
      <c r="I1178" s="1581"/>
    </row>
    <row r="1179" spans="2:9" s="439" customFormat="1" ht="42.75">
      <c r="B1179" s="1862">
        <v>20</v>
      </c>
      <c r="C1179" s="1863" t="s">
        <v>677</v>
      </c>
      <c r="D1179" s="1874" t="s">
        <v>60</v>
      </c>
      <c r="E1179" s="1874">
        <v>1</v>
      </c>
      <c r="F1179" s="1904">
        <v>0</v>
      </c>
      <c r="G1179" s="1905">
        <f t="shared" si="91"/>
        <v>0</v>
      </c>
      <c r="H1179" s="1581"/>
      <c r="I1179" s="1581"/>
    </row>
    <row r="1180" spans="2:9" s="439" customFormat="1" ht="14.25">
      <c r="B1180" s="1862"/>
      <c r="C1180" s="1863"/>
      <c r="D1180" s="1874"/>
      <c r="E1180" s="1874"/>
      <c r="F1180" s="1904"/>
      <c r="G1180" s="1905"/>
      <c r="H1180" s="1581"/>
      <c r="I1180" s="1581"/>
    </row>
    <row r="1181" spans="2:9" s="439" customFormat="1" ht="42.75">
      <c r="B1181" s="1862">
        <v>21</v>
      </c>
      <c r="C1181" s="1863" t="s">
        <v>678</v>
      </c>
      <c r="D1181" s="1874"/>
      <c r="E1181" s="1874"/>
      <c r="F1181" s="1904"/>
      <c r="G1181" s="1905"/>
      <c r="H1181" s="1581"/>
      <c r="I1181" s="1581"/>
    </row>
    <row r="1182" spans="2:9" s="439" customFormat="1" ht="16.5">
      <c r="B1182" s="1883" t="s">
        <v>669</v>
      </c>
      <c r="C1182" s="1863" t="s">
        <v>679</v>
      </c>
      <c r="D1182" s="1874" t="s">
        <v>397</v>
      </c>
      <c r="E1182" s="1874">
        <v>10</v>
      </c>
      <c r="F1182" s="1904">
        <v>0</v>
      </c>
      <c r="G1182" s="1905">
        <f t="shared" si="91"/>
        <v>0</v>
      </c>
      <c r="H1182" s="1581"/>
      <c r="I1182" s="1581"/>
    </row>
    <row r="1183" spans="2:9" s="439" customFormat="1" ht="16.5">
      <c r="B1183" s="1883" t="s">
        <v>669</v>
      </c>
      <c r="C1183" s="1863" t="s">
        <v>680</v>
      </c>
      <c r="D1183" s="1874" t="s">
        <v>397</v>
      </c>
      <c r="E1183" s="1874">
        <v>45</v>
      </c>
      <c r="F1183" s="1904">
        <v>0</v>
      </c>
      <c r="G1183" s="1905">
        <f t="shared" si="91"/>
        <v>0</v>
      </c>
      <c r="H1183" s="1581"/>
      <c r="I1183" s="1581"/>
    </row>
    <row r="1184" spans="2:9" s="439" customFormat="1" ht="16.5">
      <c r="B1184" s="1883" t="s">
        <v>669</v>
      </c>
      <c r="C1184" s="1863" t="s">
        <v>681</v>
      </c>
      <c r="D1184" s="1874" t="s">
        <v>397</v>
      </c>
      <c r="E1184" s="1874">
        <v>25</v>
      </c>
      <c r="F1184" s="1904">
        <v>0</v>
      </c>
      <c r="G1184" s="1905">
        <f t="shared" si="91"/>
        <v>0</v>
      </c>
      <c r="H1184" s="1581"/>
      <c r="I1184" s="1581"/>
    </row>
    <row r="1185" spans="2:9" s="439" customFormat="1" ht="16.5">
      <c r="B1185" s="1883" t="s">
        <v>669</v>
      </c>
      <c r="C1185" s="1863" t="s">
        <v>682</v>
      </c>
      <c r="D1185" s="1874" t="s">
        <v>397</v>
      </c>
      <c r="E1185" s="1874">
        <v>15</v>
      </c>
      <c r="F1185" s="1904">
        <v>0</v>
      </c>
      <c r="G1185" s="1905">
        <f t="shared" si="91"/>
        <v>0</v>
      </c>
      <c r="H1185" s="1581"/>
      <c r="I1185" s="1581"/>
    </row>
    <row r="1186" spans="2:9" s="439" customFormat="1" ht="16.5">
      <c r="B1186" s="1883" t="s">
        <v>669</v>
      </c>
      <c r="C1186" s="1863" t="s">
        <v>683</v>
      </c>
      <c r="D1186" s="1874" t="s">
        <v>397</v>
      </c>
      <c r="E1186" s="1874">
        <v>15</v>
      </c>
      <c r="F1186" s="1904">
        <v>0</v>
      </c>
      <c r="G1186" s="1905">
        <f t="shared" si="91"/>
        <v>0</v>
      </c>
      <c r="H1186" s="1581"/>
      <c r="I1186" s="1581"/>
    </row>
    <row r="1187" spans="2:9" s="439" customFormat="1" ht="16.5">
      <c r="B1187" s="1883" t="s">
        <v>669</v>
      </c>
      <c r="C1187" s="1863" t="s">
        <v>684</v>
      </c>
      <c r="D1187" s="1874" t="s">
        <v>397</v>
      </c>
      <c r="E1187" s="1874">
        <v>45</v>
      </c>
      <c r="F1187" s="1904">
        <v>0</v>
      </c>
      <c r="G1187" s="1905">
        <f t="shared" si="91"/>
        <v>0</v>
      </c>
      <c r="H1187" s="1581"/>
      <c r="I1187" s="1581"/>
    </row>
    <row r="1188" spans="2:9" s="439" customFormat="1" ht="16.5">
      <c r="B1188" s="1883" t="s">
        <v>669</v>
      </c>
      <c r="C1188" s="1863" t="s">
        <v>685</v>
      </c>
      <c r="D1188" s="1874" t="s">
        <v>397</v>
      </c>
      <c r="E1188" s="1874">
        <v>90</v>
      </c>
      <c r="F1188" s="1904">
        <v>0</v>
      </c>
      <c r="G1188" s="1905">
        <f t="shared" si="91"/>
        <v>0</v>
      </c>
      <c r="H1188" s="1581"/>
      <c r="I1188" s="1581"/>
    </row>
    <row r="1189" spans="2:9" s="439" customFormat="1" ht="16.5">
      <c r="B1189" s="1883" t="s">
        <v>669</v>
      </c>
      <c r="C1189" s="1863" t="s">
        <v>686</v>
      </c>
      <c r="D1189" s="1874" t="s">
        <v>397</v>
      </c>
      <c r="E1189" s="1874">
        <v>45</v>
      </c>
      <c r="F1189" s="1904">
        <v>0</v>
      </c>
      <c r="G1189" s="1905">
        <f t="shared" si="91"/>
        <v>0</v>
      </c>
      <c r="H1189" s="1581"/>
      <c r="I1189" s="1581"/>
    </row>
    <row r="1190" spans="2:9" s="439" customFormat="1" ht="30.75">
      <c r="B1190" s="1883" t="s">
        <v>669</v>
      </c>
      <c r="C1190" s="1863" t="s">
        <v>687</v>
      </c>
      <c r="D1190" s="1874" t="s">
        <v>397</v>
      </c>
      <c r="E1190" s="1874">
        <v>20</v>
      </c>
      <c r="F1190" s="1904">
        <v>0</v>
      </c>
      <c r="G1190" s="1905">
        <f t="shared" si="91"/>
        <v>0</v>
      </c>
      <c r="H1190" s="1581"/>
      <c r="I1190" s="1581"/>
    </row>
    <row r="1191" spans="2:9" s="439" customFormat="1" ht="30.75">
      <c r="B1191" s="1883" t="s">
        <v>669</v>
      </c>
      <c r="C1191" s="1863" t="s">
        <v>688</v>
      </c>
      <c r="D1191" s="1874" t="s">
        <v>397</v>
      </c>
      <c r="E1191" s="1874">
        <v>15</v>
      </c>
      <c r="F1191" s="1904">
        <v>0</v>
      </c>
      <c r="G1191" s="1905">
        <f t="shared" si="91"/>
        <v>0</v>
      </c>
      <c r="H1191" s="1581"/>
      <c r="I1191" s="1581"/>
    </row>
    <row r="1192" spans="2:9" s="439" customFormat="1" ht="30.75">
      <c r="B1192" s="1883" t="s">
        <v>669</v>
      </c>
      <c r="C1192" s="1863" t="s">
        <v>689</v>
      </c>
      <c r="D1192" s="1874" t="s">
        <v>397</v>
      </c>
      <c r="E1192" s="1874">
        <v>15</v>
      </c>
      <c r="F1192" s="1904">
        <v>0</v>
      </c>
      <c r="G1192" s="1905">
        <f t="shared" si="91"/>
        <v>0</v>
      </c>
      <c r="H1192" s="1581"/>
      <c r="I1192" s="1581"/>
    </row>
    <row r="1193" spans="2:9" s="439" customFormat="1" ht="14.25">
      <c r="B1193" s="1862"/>
      <c r="C1193" s="1863"/>
      <c r="D1193" s="1874"/>
      <c r="E1193" s="1874"/>
      <c r="F1193" s="1904"/>
      <c r="G1193" s="1905"/>
      <c r="H1193" s="1581"/>
      <c r="I1193" s="1581"/>
    </row>
    <row r="1194" spans="2:9" s="439" customFormat="1" ht="28.5">
      <c r="B1194" s="1862">
        <v>22</v>
      </c>
      <c r="C1194" s="1863" t="s">
        <v>690</v>
      </c>
      <c r="D1194" s="1874"/>
      <c r="E1194" s="1874"/>
      <c r="F1194" s="1904"/>
      <c r="G1194" s="1905"/>
      <c r="H1194" s="1581"/>
      <c r="I1194" s="1581"/>
    </row>
    <row r="1195" spans="2:9" s="439" customFormat="1" ht="85.5">
      <c r="B1195" s="1883" t="s">
        <v>669</v>
      </c>
      <c r="C1195" s="1884" t="s">
        <v>691</v>
      </c>
      <c r="D1195" s="1963" t="s">
        <v>74</v>
      </c>
      <c r="E1195" s="1963">
        <v>8.77</v>
      </c>
      <c r="F1195" s="1904">
        <v>0</v>
      </c>
      <c r="G1195" s="1905">
        <f t="shared" si="91"/>
        <v>0</v>
      </c>
      <c r="H1195" s="1581"/>
      <c r="I1195" s="1581"/>
    </row>
    <row r="1196" spans="2:9" s="439" customFormat="1" ht="42.75">
      <c r="B1196" s="1883" t="s">
        <v>669</v>
      </c>
      <c r="C1196" s="1863" t="s">
        <v>692</v>
      </c>
      <c r="D1196" s="1963" t="s">
        <v>74</v>
      </c>
      <c r="E1196" s="1963">
        <v>2.25</v>
      </c>
      <c r="F1196" s="1904">
        <v>0</v>
      </c>
      <c r="G1196" s="1905">
        <f t="shared" si="91"/>
        <v>0</v>
      </c>
      <c r="H1196" s="1581"/>
      <c r="I1196" s="1581"/>
    </row>
    <row r="1197" spans="2:9" s="439" customFormat="1" ht="14.25">
      <c r="B1197" s="1857"/>
      <c r="C1197" s="1858"/>
      <c r="D1197" s="1997"/>
      <c r="E1197" s="1955"/>
      <c r="F1197" s="1904"/>
      <c r="G1197" s="1905"/>
      <c r="H1197" s="1581"/>
      <c r="I1197" s="1581"/>
    </row>
    <row r="1198" spans="2:9" s="439" customFormat="1" ht="42.75">
      <c r="B1198" s="1862">
        <v>23</v>
      </c>
      <c r="C1198" s="1863" t="s">
        <v>693</v>
      </c>
      <c r="D1198" s="1874" t="s">
        <v>397</v>
      </c>
      <c r="E1198" s="1874">
        <v>45</v>
      </c>
      <c r="F1198" s="1904">
        <v>0</v>
      </c>
      <c r="G1198" s="1905">
        <f t="shared" si="91"/>
        <v>0</v>
      </c>
      <c r="H1198" s="1581"/>
      <c r="I1198" s="1581"/>
    </row>
    <row r="1199" spans="2:9" s="439" customFormat="1" ht="14.25">
      <c r="B1199" s="1862"/>
      <c r="C1199" s="1863"/>
      <c r="D1199" s="1874"/>
      <c r="E1199" s="1874"/>
      <c r="F1199" s="1904"/>
      <c r="G1199" s="1905"/>
      <c r="H1199" s="1581"/>
      <c r="I1199" s="1581"/>
    </row>
    <row r="1200" spans="2:9" s="439" customFormat="1" ht="57">
      <c r="B1200" s="1862">
        <v>24</v>
      </c>
      <c r="C1200" s="1863" t="s">
        <v>694</v>
      </c>
      <c r="D1200" s="1874" t="s">
        <v>397</v>
      </c>
      <c r="E1200" s="1874">
        <v>15</v>
      </c>
      <c r="F1200" s="1904">
        <v>0</v>
      </c>
      <c r="G1200" s="1905">
        <f t="shared" si="91"/>
        <v>0</v>
      </c>
      <c r="H1200" s="1581"/>
      <c r="I1200" s="1581"/>
    </row>
    <row r="1201" spans="2:9" s="439" customFormat="1" ht="14.25">
      <c r="B1201" s="1862"/>
      <c r="C1201" s="1863"/>
      <c r="D1201" s="1874"/>
      <c r="E1201" s="1874"/>
      <c r="F1201" s="1904"/>
      <c r="G1201" s="1905"/>
      <c r="H1201" s="1581"/>
      <c r="I1201" s="1581"/>
    </row>
    <row r="1202" spans="2:9" s="439" customFormat="1" ht="28.5">
      <c r="B1202" s="1862">
        <v>25</v>
      </c>
      <c r="C1202" s="1863" t="s">
        <v>695</v>
      </c>
      <c r="D1202" s="1874" t="s">
        <v>66</v>
      </c>
      <c r="E1202" s="1874">
        <v>4</v>
      </c>
      <c r="F1202" s="1904">
        <v>0</v>
      </c>
      <c r="G1202" s="1905">
        <f t="shared" si="91"/>
        <v>0</v>
      </c>
      <c r="H1202" s="1581"/>
      <c r="I1202" s="1581"/>
    </row>
    <row r="1203" spans="2:9" s="439" customFormat="1" ht="14.25">
      <c r="B1203" s="1862"/>
      <c r="C1203" s="1863"/>
      <c r="D1203" s="1874"/>
      <c r="E1203" s="1874"/>
      <c r="F1203" s="1904"/>
      <c r="G1203" s="1905"/>
      <c r="H1203" s="1581"/>
      <c r="I1203" s="1581"/>
    </row>
    <row r="1204" spans="2:9" s="439" customFormat="1" ht="28.5">
      <c r="B1204" s="1862">
        <v>26</v>
      </c>
      <c r="C1204" s="1863" t="s">
        <v>696</v>
      </c>
      <c r="D1204" s="1874" t="s">
        <v>252</v>
      </c>
      <c r="E1204" s="1874">
        <v>6</v>
      </c>
      <c r="F1204" s="1904">
        <v>0</v>
      </c>
      <c r="G1204" s="1905">
        <f t="shared" si="91"/>
        <v>0</v>
      </c>
      <c r="H1204" s="1581"/>
      <c r="I1204" s="1581"/>
    </row>
    <row r="1205" spans="2:9" s="439" customFormat="1" ht="14.25">
      <c r="B1205" s="1862"/>
      <c r="C1205" s="1863"/>
      <c r="D1205" s="1874"/>
      <c r="E1205" s="1874"/>
      <c r="F1205" s="1904"/>
      <c r="G1205" s="1905"/>
      <c r="H1205" s="1581"/>
      <c r="I1205" s="1581"/>
    </row>
    <row r="1206" spans="2:9" s="439" customFormat="1" ht="28.5">
      <c r="B1206" s="1862">
        <v>27</v>
      </c>
      <c r="C1206" s="1863" t="s">
        <v>697</v>
      </c>
      <c r="D1206" s="1874" t="s">
        <v>252</v>
      </c>
      <c r="E1206" s="1874">
        <v>3</v>
      </c>
      <c r="F1206" s="1904">
        <v>0</v>
      </c>
      <c r="G1206" s="1905">
        <f t="shared" si="91"/>
        <v>0</v>
      </c>
      <c r="H1206" s="1581"/>
      <c r="I1206" s="1581"/>
    </row>
    <row r="1207" spans="2:9" s="439" customFormat="1" ht="14.25">
      <c r="B1207" s="1862"/>
      <c r="C1207" s="1863"/>
      <c r="D1207" s="1874"/>
      <c r="E1207" s="1874"/>
      <c r="F1207" s="1904"/>
      <c r="G1207" s="1905"/>
      <c r="H1207" s="1581"/>
      <c r="I1207" s="1581"/>
    </row>
    <row r="1208" spans="2:9" s="439" customFormat="1" ht="29.25">
      <c r="B1208" s="1862">
        <v>28</v>
      </c>
      <c r="C1208" s="1863" t="s">
        <v>698</v>
      </c>
      <c r="D1208" s="1874" t="s">
        <v>252</v>
      </c>
      <c r="E1208" s="1874">
        <v>5</v>
      </c>
      <c r="F1208" s="1904">
        <v>0</v>
      </c>
      <c r="G1208" s="1905">
        <f t="shared" si="91"/>
        <v>0</v>
      </c>
      <c r="H1208" s="1581"/>
      <c r="I1208" s="1581"/>
    </row>
    <row r="1209" spans="2:9" s="439" customFormat="1" ht="14.25">
      <c r="B1209" s="1862"/>
      <c r="C1209" s="1863"/>
      <c r="D1209" s="1874"/>
      <c r="E1209" s="1874"/>
      <c r="F1209" s="1904"/>
      <c r="G1209" s="1905"/>
      <c r="H1209" s="1581"/>
      <c r="I1209" s="1581"/>
    </row>
    <row r="1210" spans="2:9" s="439" customFormat="1" ht="14.25">
      <c r="B1210" s="1862">
        <v>29</v>
      </c>
      <c r="C1210" s="1863" t="s">
        <v>699</v>
      </c>
      <c r="D1210" s="1874" t="s">
        <v>252</v>
      </c>
      <c r="E1210" s="1874">
        <v>4</v>
      </c>
      <c r="F1210" s="1904">
        <v>0</v>
      </c>
      <c r="G1210" s="1905">
        <f t="shared" si="91"/>
        <v>0</v>
      </c>
      <c r="H1210" s="1581"/>
      <c r="I1210" s="1581"/>
    </row>
    <row r="1211" spans="2:9" s="439" customFormat="1" ht="14.25">
      <c r="B1211" s="1862"/>
      <c r="C1211" s="1863"/>
      <c r="D1211" s="1874"/>
      <c r="E1211" s="1874"/>
      <c r="F1211" s="1904"/>
      <c r="G1211" s="1905"/>
      <c r="H1211" s="1581"/>
      <c r="I1211" s="1581"/>
    </row>
    <row r="1212" spans="2:9" s="439" customFormat="1" ht="42.75">
      <c r="B1212" s="1862">
        <v>30</v>
      </c>
      <c r="C1212" s="1863" t="s">
        <v>700</v>
      </c>
      <c r="D1212" s="1874" t="s">
        <v>252</v>
      </c>
      <c r="E1212" s="1874">
        <v>3</v>
      </c>
      <c r="F1212" s="1904">
        <v>0</v>
      </c>
      <c r="G1212" s="1905">
        <f t="shared" si="91"/>
        <v>0</v>
      </c>
      <c r="H1212" s="1581"/>
      <c r="I1212" s="1581"/>
    </row>
    <row r="1213" spans="2:9" s="439" customFormat="1" ht="14.25">
      <c r="B1213" s="1862"/>
      <c r="C1213" s="1863"/>
      <c r="D1213" s="1874"/>
      <c r="E1213" s="1874"/>
      <c r="F1213" s="1904"/>
      <c r="G1213" s="1905"/>
      <c r="H1213" s="1581"/>
      <c r="I1213" s="1581"/>
    </row>
    <row r="1214" spans="2:9" s="439" customFormat="1" ht="28.5">
      <c r="B1214" s="1862">
        <v>31</v>
      </c>
      <c r="C1214" s="1863" t="s">
        <v>701</v>
      </c>
      <c r="D1214" s="1874" t="s">
        <v>702</v>
      </c>
      <c r="E1214" s="1874">
        <v>2</v>
      </c>
      <c r="F1214" s="1904">
        <v>0</v>
      </c>
      <c r="G1214" s="1905">
        <f t="shared" si="91"/>
        <v>0</v>
      </c>
      <c r="H1214" s="1581"/>
      <c r="I1214" s="1581"/>
    </row>
    <row r="1215" spans="2:9" s="439" customFormat="1" ht="14.25">
      <c r="B1215" s="1862"/>
      <c r="C1215" s="1863"/>
      <c r="D1215" s="1874"/>
      <c r="E1215" s="1874"/>
      <c r="F1215" s="1904"/>
      <c r="G1215" s="1905"/>
      <c r="H1215" s="1581"/>
      <c r="I1215" s="1581"/>
    </row>
    <row r="1216" spans="2:9" s="439" customFormat="1" ht="14.25">
      <c r="B1216" s="1862">
        <v>32</v>
      </c>
      <c r="C1216" s="1863" t="s">
        <v>703</v>
      </c>
      <c r="D1216" s="1874" t="s">
        <v>397</v>
      </c>
      <c r="E1216" s="1874">
        <v>45</v>
      </c>
      <c r="F1216" s="1904">
        <v>0</v>
      </c>
      <c r="G1216" s="1905">
        <f t="shared" si="91"/>
        <v>0</v>
      </c>
      <c r="H1216" s="1581"/>
      <c r="I1216" s="1581"/>
    </row>
    <row r="1217" spans="2:10" s="439" customFormat="1" ht="14.25">
      <c r="B1217" s="1862"/>
      <c r="C1217" s="1863"/>
      <c r="D1217" s="1874"/>
      <c r="E1217" s="1874"/>
      <c r="F1217" s="1904"/>
      <c r="G1217" s="1905"/>
      <c r="H1217" s="1581"/>
      <c r="I1217" s="1581"/>
    </row>
    <row r="1218" spans="2:10" s="439" customFormat="1" ht="14.25">
      <c r="B1218" s="1862">
        <v>33</v>
      </c>
      <c r="C1218" s="1863" t="s">
        <v>704</v>
      </c>
      <c r="D1218" s="1874" t="s">
        <v>397</v>
      </c>
      <c r="E1218" s="1874">
        <v>15</v>
      </c>
      <c r="F1218" s="1904">
        <v>0</v>
      </c>
      <c r="G1218" s="1905">
        <f t="shared" si="91"/>
        <v>0</v>
      </c>
      <c r="H1218" s="1581"/>
      <c r="I1218" s="1581"/>
    </row>
    <row r="1219" spans="2:10" s="439" customFormat="1" ht="14.25">
      <c r="B1219" s="1862"/>
      <c r="C1219" s="1863"/>
      <c r="D1219" s="1874"/>
      <c r="E1219" s="1874"/>
      <c r="F1219" s="1904"/>
      <c r="G1219" s="1905"/>
      <c r="H1219" s="1581"/>
      <c r="I1219" s="1581"/>
    </row>
    <row r="1220" spans="2:10" s="439" customFormat="1" ht="14.25">
      <c r="B1220" s="1862">
        <v>34</v>
      </c>
      <c r="C1220" s="1863" t="s">
        <v>705</v>
      </c>
      <c r="D1220" s="1874" t="s">
        <v>252</v>
      </c>
      <c r="E1220" s="1874">
        <v>3</v>
      </c>
      <c r="F1220" s="1904">
        <v>0</v>
      </c>
      <c r="G1220" s="1905">
        <f t="shared" si="91"/>
        <v>0</v>
      </c>
      <c r="H1220" s="1581"/>
      <c r="I1220" s="1581"/>
    </row>
    <row r="1221" spans="2:10" s="439" customFormat="1" ht="14.25">
      <c r="B1221" s="1862"/>
      <c r="C1221" s="1863"/>
      <c r="D1221" s="1874"/>
      <c r="E1221" s="1874"/>
      <c r="F1221" s="1904"/>
      <c r="G1221" s="1905"/>
      <c r="H1221" s="1581"/>
      <c r="I1221" s="1581"/>
    </row>
    <row r="1222" spans="2:10" s="439" customFormat="1" ht="71.25">
      <c r="B1222" s="1862">
        <v>35</v>
      </c>
      <c r="C1222" s="1863" t="s">
        <v>706</v>
      </c>
      <c r="D1222" s="1874" t="s">
        <v>66</v>
      </c>
      <c r="E1222" s="1874">
        <v>1</v>
      </c>
      <c r="F1222" s="1904">
        <v>0</v>
      </c>
      <c r="G1222" s="1905">
        <f t="shared" si="91"/>
        <v>0</v>
      </c>
      <c r="H1222" s="1581"/>
      <c r="I1222" s="1581"/>
    </row>
    <row r="1223" spans="2:10" s="439" customFormat="1" ht="14.25">
      <c r="B1223" s="1862"/>
      <c r="C1223" s="1863"/>
      <c r="D1223" s="1874"/>
      <c r="E1223" s="1874"/>
      <c r="F1223" s="1904"/>
      <c r="G1223" s="1905"/>
      <c r="H1223" s="1581"/>
      <c r="I1223" s="1581"/>
    </row>
    <row r="1224" spans="2:10" s="439" customFormat="1" ht="63.75">
      <c r="B1224" s="1862">
        <v>36</v>
      </c>
      <c r="C1224" s="1881" t="s">
        <v>707</v>
      </c>
      <c r="D1224" s="1874" t="s">
        <v>66</v>
      </c>
      <c r="E1224" s="1874">
        <v>1</v>
      </c>
      <c r="F1224" s="1904">
        <v>0</v>
      </c>
      <c r="G1224" s="1905">
        <f t="shared" si="91"/>
        <v>0</v>
      </c>
      <c r="H1224" s="1587"/>
      <c r="I1224" s="1581"/>
    </row>
    <row r="1225" spans="2:10" s="439" customFormat="1" ht="14.25">
      <c r="B1225" s="1862"/>
      <c r="C1225" s="1885"/>
      <c r="D1225" s="1874"/>
      <c r="E1225" s="1874"/>
      <c r="F1225" s="1904"/>
      <c r="G1225" s="1905"/>
      <c r="H1225" s="1581"/>
      <c r="I1225" s="1581"/>
    </row>
    <row r="1226" spans="2:10" s="439" customFormat="1" ht="63.75">
      <c r="B1226" s="1862">
        <v>37</v>
      </c>
      <c r="C1226" s="1881" t="s">
        <v>707</v>
      </c>
      <c r="D1226" s="1874" t="s">
        <v>66</v>
      </c>
      <c r="E1226" s="1874">
        <v>1</v>
      </c>
      <c r="F1226" s="1904">
        <v>0</v>
      </c>
      <c r="G1226" s="1905">
        <f t="shared" si="91"/>
        <v>0</v>
      </c>
      <c r="H1226" s="1587"/>
      <c r="I1226" s="1581"/>
    </row>
    <row r="1227" spans="2:10" s="439" customFormat="1" ht="14.25">
      <c r="B1227" s="1862"/>
      <c r="C1227" s="1885"/>
      <c r="D1227" s="1874"/>
      <c r="E1227" s="1874"/>
      <c r="F1227" s="1904"/>
      <c r="G1227" s="1905"/>
      <c r="H1227" s="1581"/>
      <c r="I1227" s="1581"/>
    </row>
    <row r="1228" spans="2:10" s="545" customFormat="1" ht="76.5">
      <c r="B1228" s="1862">
        <v>38</v>
      </c>
      <c r="C1228" s="1886" t="s">
        <v>708</v>
      </c>
      <c r="D1228" s="1874" t="s">
        <v>66</v>
      </c>
      <c r="E1228" s="1874">
        <v>1</v>
      </c>
      <c r="F1228" s="1904">
        <v>0</v>
      </c>
      <c r="G1228" s="1905">
        <f t="shared" si="91"/>
        <v>0</v>
      </c>
      <c r="H1228" s="1583"/>
      <c r="I1228" s="1583"/>
      <c r="J1228" s="439"/>
    </row>
    <row r="1229" spans="2:10" s="439" customFormat="1" ht="14.25">
      <c r="B1229" s="1862"/>
      <c r="C1229" s="1863"/>
      <c r="D1229" s="1874"/>
      <c r="E1229" s="1874"/>
      <c r="F1229" s="1904"/>
      <c r="G1229" s="1905"/>
      <c r="H1229" s="1581"/>
      <c r="I1229" s="1581"/>
    </row>
    <row r="1230" spans="2:10" s="439" customFormat="1" ht="59.25">
      <c r="B1230" s="1862">
        <v>40</v>
      </c>
      <c r="C1230" s="1863" t="s">
        <v>709</v>
      </c>
      <c r="D1230" s="1874" t="s">
        <v>60</v>
      </c>
      <c r="E1230" s="1874">
        <v>3</v>
      </c>
      <c r="F1230" s="1904">
        <v>0</v>
      </c>
      <c r="G1230" s="1905">
        <f t="shared" si="91"/>
        <v>0</v>
      </c>
      <c r="H1230" s="1581"/>
      <c r="I1230" s="1581"/>
    </row>
    <row r="1231" spans="2:10" s="439" customFormat="1" ht="14.25">
      <c r="B1231" s="1862"/>
      <c r="C1231" s="1863"/>
      <c r="D1231" s="1874"/>
      <c r="E1231" s="1874"/>
      <c r="F1231" s="1904"/>
      <c r="G1231" s="1905"/>
      <c r="H1231" s="1581"/>
      <c r="I1231" s="1581"/>
    </row>
    <row r="1232" spans="2:10" s="439" customFormat="1" ht="42.75">
      <c r="B1232" s="1862">
        <v>41</v>
      </c>
      <c r="C1232" s="1863" t="s">
        <v>710</v>
      </c>
      <c r="D1232" s="1874"/>
      <c r="E1232" s="1874"/>
      <c r="F1232" s="1904"/>
      <c r="G1232" s="1905"/>
      <c r="H1232" s="1581"/>
      <c r="I1232" s="1581"/>
    </row>
    <row r="1233" spans="2:9" s="439" customFormat="1" ht="28.5">
      <c r="B1233" s="1887" t="s">
        <v>711</v>
      </c>
      <c r="C1233" s="1888" t="s">
        <v>712</v>
      </c>
      <c r="D1233" s="1866" t="s">
        <v>252</v>
      </c>
      <c r="E1233" s="1866">
        <v>1</v>
      </c>
      <c r="F1233" s="1904">
        <v>0</v>
      </c>
      <c r="G1233" s="1905">
        <f t="shared" ref="G1233:G1246" si="92">E1233*F1233</f>
        <v>0</v>
      </c>
      <c r="H1233" s="1581"/>
      <c r="I1233" s="1581"/>
    </row>
    <row r="1234" spans="2:9" s="439" customFormat="1" ht="28.5">
      <c r="B1234" s="1887" t="s">
        <v>711</v>
      </c>
      <c r="C1234" s="1888" t="s">
        <v>713</v>
      </c>
      <c r="D1234" s="1866" t="s">
        <v>252</v>
      </c>
      <c r="E1234" s="1866">
        <v>2</v>
      </c>
      <c r="F1234" s="1904">
        <v>0</v>
      </c>
      <c r="G1234" s="1905">
        <f t="shared" si="92"/>
        <v>0</v>
      </c>
      <c r="H1234" s="1581"/>
      <c r="I1234" s="1581"/>
    </row>
    <row r="1235" spans="2:9" s="439" customFormat="1" ht="28.5">
      <c r="B1235" s="1887" t="s">
        <v>711</v>
      </c>
      <c r="C1235" s="1888" t="s">
        <v>714</v>
      </c>
      <c r="D1235" s="1866" t="s">
        <v>252</v>
      </c>
      <c r="E1235" s="1866">
        <v>1</v>
      </c>
      <c r="F1235" s="1904">
        <v>0</v>
      </c>
      <c r="G1235" s="1905">
        <f t="shared" si="92"/>
        <v>0</v>
      </c>
      <c r="H1235" s="1581"/>
      <c r="I1235" s="1581"/>
    </row>
    <row r="1236" spans="2:9" s="439" customFormat="1" ht="14.25">
      <c r="B1236" s="1862"/>
      <c r="C1236" s="1863"/>
      <c r="D1236" s="1874"/>
      <c r="E1236" s="1874"/>
      <c r="F1236" s="1904"/>
      <c r="G1236" s="1905"/>
      <c r="H1236" s="1581"/>
      <c r="I1236" s="1581"/>
    </row>
    <row r="1237" spans="2:9" s="439" customFormat="1" ht="109.5" customHeight="1">
      <c r="B1237" s="1862">
        <v>42</v>
      </c>
      <c r="C1237" s="1901" t="s">
        <v>733</v>
      </c>
      <c r="D1237" s="1874" t="s">
        <v>60</v>
      </c>
      <c r="E1237" s="1874">
        <v>1</v>
      </c>
      <c r="F1237" s="1904">
        <v>0</v>
      </c>
      <c r="G1237" s="1905">
        <f t="shared" si="92"/>
        <v>0</v>
      </c>
      <c r="H1237" s="1588"/>
      <c r="I1237" s="1581"/>
    </row>
    <row r="1238" spans="2:9" s="439" customFormat="1" ht="129.75" customHeight="1">
      <c r="B1238" s="1862">
        <v>43</v>
      </c>
      <c r="C1238" s="1892" t="s">
        <v>734</v>
      </c>
      <c r="D1238" s="1874" t="s">
        <v>60</v>
      </c>
      <c r="E1238" s="1874">
        <v>1</v>
      </c>
      <c r="F1238" s="1904">
        <v>0</v>
      </c>
      <c r="G1238" s="1905">
        <f t="shared" si="92"/>
        <v>0</v>
      </c>
      <c r="H1238" s="1589"/>
      <c r="I1238" s="1581"/>
    </row>
    <row r="1239" spans="2:9" s="439" customFormat="1" ht="48">
      <c r="B1239" s="1862">
        <v>44</v>
      </c>
      <c r="C1239" s="1902" t="s">
        <v>735</v>
      </c>
      <c r="D1239" s="1874" t="s">
        <v>60</v>
      </c>
      <c r="E1239" s="1874">
        <v>1</v>
      </c>
      <c r="F1239" s="1904">
        <v>0</v>
      </c>
      <c r="G1239" s="1905">
        <f t="shared" si="92"/>
        <v>0</v>
      </c>
      <c r="H1239" s="1590"/>
      <c r="I1239" s="1581"/>
    </row>
    <row r="1240" spans="2:9" s="439" customFormat="1" ht="36">
      <c r="B1240" s="1862">
        <v>45</v>
      </c>
      <c r="C1240" s="1892" t="s">
        <v>736</v>
      </c>
      <c r="D1240" s="1874" t="s">
        <v>60</v>
      </c>
      <c r="E1240" s="1874">
        <v>1</v>
      </c>
      <c r="F1240" s="1904">
        <v>0</v>
      </c>
      <c r="G1240" s="1905">
        <f t="shared" si="92"/>
        <v>0</v>
      </c>
      <c r="H1240" s="1589"/>
      <c r="I1240" s="1581"/>
    </row>
    <row r="1241" spans="2:9" s="439" customFormat="1" ht="36">
      <c r="B1241" s="1862">
        <v>46</v>
      </c>
      <c r="C1241" s="1892" t="s">
        <v>719</v>
      </c>
      <c r="D1241" s="1874" t="s">
        <v>60</v>
      </c>
      <c r="E1241" s="1874">
        <v>1</v>
      </c>
      <c r="F1241" s="1904">
        <v>0</v>
      </c>
      <c r="G1241" s="1905">
        <f t="shared" si="92"/>
        <v>0</v>
      </c>
      <c r="H1241" s="1589"/>
      <c r="I1241" s="1581"/>
    </row>
    <row r="1242" spans="2:9" s="439" customFormat="1" ht="48">
      <c r="B1242" s="1862">
        <v>47</v>
      </c>
      <c r="C1242" s="1892" t="s">
        <v>720</v>
      </c>
      <c r="D1242" s="1874" t="s">
        <v>60</v>
      </c>
      <c r="E1242" s="1874">
        <v>1</v>
      </c>
      <c r="F1242" s="1904">
        <v>0</v>
      </c>
      <c r="G1242" s="1905">
        <f t="shared" si="92"/>
        <v>0</v>
      </c>
      <c r="H1242" s="1589"/>
      <c r="I1242" s="1581"/>
    </row>
    <row r="1243" spans="2:9" s="439" customFormat="1" ht="14.25">
      <c r="B1243" s="1862"/>
      <c r="C1243" s="1863"/>
      <c r="D1243" s="1874"/>
      <c r="E1243" s="1874"/>
      <c r="F1243" s="1904"/>
      <c r="G1243" s="1905"/>
      <c r="H1243" s="1581"/>
      <c r="I1243" s="1581"/>
    </row>
    <row r="1244" spans="2:9" s="439" customFormat="1" ht="14.25">
      <c r="B1244" s="1862">
        <v>48</v>
      </c>
      <c r="C1244" s="1863" t="s">
        <v>721</v>
      </c>
      <c r="D1244" s="1874" t="s">
        <v>60</v>
      </c>
      <c r="E1244" s="1874">
        <v>1</v>
      </c>
      <c r="F1244" s="1904">
        <v>0</v>
      </c>
      <c r="G1244" s="1905">
        <f t="shared" si="92"/>
        <v>0</v>
      </c>
      <c r="H1244" s="1581"/>
      <c r="I1244" s="1581"/>
    </row>
    <row r="1245" spans="2:9" s="439" customFormat="1" ht="14.25">
      <c r="B1245" s="1862"/>
      <c r="C1245" s="1863"/>
      <c r="D1245" s="1874"/>
      <c r="E1245" s="1874"/>
      <c r="F1245" s="1904"/>
      <c r="G1245" s="1905"/>
      <c r="H1245" s="1581"/>
      <c r="I1245" s="1581"/>
    </row>
    <row r="1246" spans="2:9" s="439" customFormat="1" ht="14.25">
      <c r="B1246" s="1862">
        <v>49</v>
      </c>
      <c r="C1246" s="1863" t="s">
        <v>722</v>
      </c>
      <c r="D1246" s="1874" t="s">
        <v>60</v>
      </c>
      <c r="E1246" s="1874">
        <v>1</v>
      </c>
      <c r="F1246" s="1904">
        <v>0</v>
      </c>
      <c r="G1246" s="1905">
        <f t="shared" si="92"/>
        <v>0</v>
      </c>
      <c r="H1246" s="1581"/>
      <c r="I1246" s="1581"/>
    </row>
    <row r="1247" spans="2:9" s="439" customFormat="1" ht="14.25">
      <c r="B1247" s="1862"/>
      <c r="C1247" s="1863"/>
      <c r="D1247" s="1874"/>
      <c r="E1247" s="1874"/>
      <c r="F1247" s="1904"/>
      <c r="G1247" s="1905"/>
      <c r="H1247" s="1581"/>
      <c r="I1247" s="1581"/>
    </row>
    <row r="1248" spans="2:9" s="439" customFormat="1" ht="18">
      <c r="B1248" s="1854"/>
      <c r="C1248" s="1856"/>
      <c r="D1248" s="1995"/>
      <c r="E1248" s="1949"/>
      <c r="F1248" s="1950"/>
      <c r="G1248" s="1951"/>
      <c r="H1248" s="441"/>
    </row>
    <row r="1249" spans="2:8" s="439" customFormat="1" ht="15.75">
      <c r="B1249" s="2463" t="s">
        <v>2208</v>
      </c>
      <c r="C1249" s="2464"/>
      <c r="D1249" s="2464"/>
      <c r="E1249" s="2464"/>
      <c r="F1249" s="2465"/>
      <c r="G1249" s="2025"/>
      <c r="H1249" s="441"/>
    </row>
    <row r="1250" spans="2:8" s="439" customFormat="1" ht="18">
      <c r="B1250" s="1854"/>
      <c r="C1250" s="1856"/>
      <c r="D1250" s="1995"/>
      <c r="E1250" s="1949"/>
      <c r="F1250" s="1950"/>
      <c r="G1250" s="1951"/>
      <c r="H1250" s="441"/>
    </row>
    <row r="1251" spans="2:8" s="439" customFormat="1" ht="15">
      <c r="B1251" s="2003" t="s">
        <v>564</v>
      </c>
      <c r="C1251" s="2004" t="s">
        <v>741</v>
      </c>
      <c r="D1251" s="1997"/>
      <c r="E1251" s="1997"/>
      <c r="F1251" s="1956"/>
      <c r="G1251" s="1957"/>
      <c r="H1251" s="441"/>
    </row>
    <row r="1252" spans="2:8" s="439" customFormat="1" ht="15">
      <c r="B1252" s="2003"/>
      <c r="C1252" s="2004"/>
      <c r="D1252" s="1997"/>
      <c r="E1252" s="1997"/>
      <c r="F1252" s="1956"/>
      <c r="G1252" s="1957"/>
      <c r="H1252" s="441"/>
    </row>
    <row r="1253" spans="2:8" s="439" customFormat="1" ht="14.25">
      <c r="B1253" s="2005" t="s">
        <v>742</v>
      </c>
      <c r="C1253" s="2006" t="s">
        <v>743</v>
      </c>
      <c r="D1253" s="1997" t="s">
        <v>60</v>
      </c>
      <c r="E1253" s="1997">
        <v>1</v>
      </c>
      <c r="F1253" s="1904">
        <v>0</v>
      </c>
      <c r="G1253" s="1905">
        <f t="shared" ref="G1253" si="93">E1253*F1253</f>
        <v>0</v>
      </c>
      <c r="H1253" s="441"/>
    </row>
    <row r="1254" spans="2:8" s="439" customFormat="1" ht="14.25">
      <c r="B1254" s="2005"/>
      <c r="C1254" s="2006"/>
      <c r="D1254" s="1997"/>
      <c r="E1254" s="1997"/>
      <c r="F1254" s="1882"/>
      <c r="G1254" s="1882"/>
      <c r="H1254" s="441"/>
    </row>
    <row r="1255" spans="2:8" s="439" customFormat="1" ht="14.25">
      <c r="B1255" s="2005" t="s">
        <v>744</v>
      </c>
      <c r="C1255" s="2006" t="s">
        <v>745</v>
      </c>
      <c r="D1255" s="1997" t="s">
        <v>397</v>
      </c>
      <c r="E1255" s="1997">
        <v>480</v>
      </c>
      <c r="F1255" s="1904">
        <v>0</v>
      </c>
      <c r="G1255" s="1905">
        <f t="shared" ref="G1255:G1309" si="94">E1255*F1255</f>
        <v>0</v>
      </c>
      <c r="H1255" s="441"/>
    </row>
    <row r="1256" spans="2:8" s="439" customFormat="1" ht="14.25">
      <c r="B1256" s="1893"/>
      <c r="C1256" s="2007"/>
      <c r="D1256" s="1964"/>
      <c r="E1256" s="1964"/>
      <c r="F1256" s="1904"/>
      <c r="G1256" s="1905"/>
      <c r="H1256" s="441"/>
    </row>
    <row r="1257" spans="2:8" s="439" customFormat="1" ht="28.5">
      <c r="B1257" s="1893" t="s">
        <v>746</v>
      </c>
      <c r="C1257" s="2008" t="s">
        <v>747</v>
      </c>
      <c r="D1257" s="1964" t="s">
        <v>60</v>
      </c>
      <c r="E1257" s="1964">
        <v>1</v>
      </c>
      <c r="F1257" s="1904">
        <v>0</v>
      </c>
      <c r="G1257" s="1905">
        <f t="shared" si="94"/>
        <v>0</v>
      </c>
      <c r="H1257" s="441"/>
    </row>
    <row r="1258" spans="2:8" s="439" customFormat="1" ht="14.25">
      <c r="B1258" s="1893"/>
      <c r="C1258" s="2007"/>
      <c r="D1258" s="1964"/>
      <c r="E1258" s="1964"/>
      <c r="F1258" s="1904"/>
      <c r="G1258" s="1905"/>
      <c r="H1258" s="441"/>
    </row>
    <row r="1259" spans="2:8" s="439" customFormat="1" ht="42.75">
      <c r="B1259" s="2005" t="s">
        <v>748</v>
      </c>
      <c r="C1259" s="2009" t="s">
        <v>749</v>
      </c>
      <c r="D1259" s="1997" t="s">
        <v>60</v>
      </c>
      <c r="E1259" s="1997">
        <v>1</v>
      </c>
      <c r="F1259" s="1904">
        <v>0</v>
      </c>
      <c r="G1259" s="1905">
        <f t="shared" si="94"/>
        <v>0</v>
      </c>
      <c r="H1259" s="441"/>
    </row>
    <row r="1260" spans="2:8" s="439" customFormat="1" ht="14.25">
      <c r="B1260" s="2005"/>
      <c r="C1260" s="2002"/>
      <c r="D1260" s="1997"/>
      <c r="E1260" s="1997"/>
      <c r="F1260" s="1904"/>
      <c r="G1260" s="1905"/>
      <c r="H1260" s="441"/>
    </row>
    <row r="1261" spans="2:8" s="439" customFormat="1" ht="15">
      <c r="B1261" s="2010" t="s">
        <v>644</v>
      </c>
      <c r="C1261" s="2011" t="s">
        <v>750</v>
      </c>
      <c r="D1261" s="1964"/>
      <c r="E1261" s="1964"/>
      <c r="F1261" s="1904"/>
      <c r="G1261" s="1905"/>
      <c r="H1261" s="441"/>
    </row>
    <row r="1262" spans="2:8" s="439" customFormat="1" ht="14.25">
      <c r="B1262" s="1893"/>
      <c r="C1262" s="2007"/>
      <c r="D1262" s="1964"/>
      <c r="E1262" s="1964"/>
      <c r="F1262" s="1904"/>
      <c r="G1262" s="1905"/>
      <c r="H1262" s="441"/>
    </row>
    <row r="1263" spans="2:8" s="439" customFormat="1" ht="85.5">
      <c r="B1263" s="1893" t="s">
        <v>751</v>
      </c>
      <c r="C1263" s="2012" t="s">
        <v>752</v>
      </c>
      <c r="D1263" s="1964" t="s">
        <v>397</v>
      </c>
      <c r="E1263" s="1964">
        <v>5</v>
      </c>
      <c r="F1263" s="1904">
        <v>0</v>
      </c>
      <c r="G1263" s="1905">
        <f t="shared" si="94"/>
        <v>0</v>
      </c>
      <c r="H1263" s="441"/>
    </row>
    <row r="1264" spans="2:8" s="439" customFormat="1" ht="14.25">
      <c r="B1264" s="1893"/>
      <c r="C1264" s="2013"/>
      <c r="D1264" s="1964"/>
      <c r="E1264" s="1964"/>
      <c r="F1264" s="1904"/>
      <c r="G1264" s="1905"/>
      <c r="H1264" s="441"/>
    </row>
    <row r="1265" spans="2:8" s="439" customFormat="1" ht="85.5">
      <c r="B1265" s="1893" t="s">
        <v>753</v>
      </c>
      <c r="C1265" s="2012" t="s">
        <v>754</v>
      </c>
      <c r="D1265" s="1964" t="s">
        <v>397</v>
      </c>
      <c r="E1265" s="1964">
        <v>38</v>
      </c>
      <c r="F1265" s="1904">
        <v>0</v>
      </c>
      <c r="G1265" s="1905">
        <f t="shared" si="94"/>
        <v>0</v>
      </c>
      <c r="H1265" s="441"/>
    </row>
    <row r="1266" spans="2:8" s="439" customFormat="1" ht="14.25">
      <c r="B1266" s="1893"/>
      <c r="C1266" s="2013"/>
      <c r="D1266" s="1964"/>
      <c r="E1266" s="1964"/>
      <c r="F1266" s="1904"/>
      <c r="G1266" s="1905"/>
      <c r="H1266" s="441"/>
    </row>
    <row r="1267" spans="2:8" s="439" customFormat="1" ht="114">
      <c r="B1267" s="1893" t="s">
        <v>755</v>
      </c>
      <c r="C1267" s="2012" t="s">
        <v>756</v>
      </c>
      <c r="D1267" s="1964" t="s">
        <v>397</v>
      </c>
      <c r="E1267" s="1964">
        <v>445</v>
      </c>
      <c r="F1267" s="1904">
        <v>0</v>
      </c>
      <c r="G1267" s="1905">
        <f t="shared" si="94"/>
        <v>0</v>
      </c>
      <c r="H1267" s="441"/>
    </row>
    <row r="1268" spans="2:8" s="439" customFormat="1" ht="14.25">
      <c r="B1268" s="1893"/>
      <c r="C1268" s="2013"/>
      <c r="D1268" s="1964"/>
      <c r="E1268" s="1964"/>
      <c r="F1268" s="1904"/>
      <c r="G1268" s="1905"/>
      <c r="H1268" s="441"/>
    </row>
    <row r="1269" spans="2:8" s="439" customFormat="1" ht="71.25">
      <c r="B1269" s="1893" t="s">
        <v>757</v>
      </c>
      <c r="C1269" s="2012" t="s">
        <v>758</v>
      </c>
      <c r="D1269" s="1964" t="s">
        <v>60</v>
      </c>
      <c r="E1269" s="1964">
        <v>9</v>
      </c>
      <c r="F1269" s="1904">
        <v>0</v>
      </c>
      <c r="G1269" s="1905">
        <f t="shared" si="94"/>
        <v>0</v>
      </c>
      <c r="H1269" s="441"/>
    </row>
    <row r="1270" spans="2:8" s="439" customFormat="1" ht="14.25">
      <c r="B1270" s="1893"/>
      <c r="C1270" s="2013"/>
      <c r="D1270" s="1964"/>
      <c r="E1270" s="1964"/>
      <c r="F1270" s="1904"/>
      <c r="G1270" s="1905"/>
      <c r="H1270" s="441"/>
    </row>
    <row r="1271" spans="2:8" s="439" customFormat="1" ht="128.25">
      <c r="B1271" s="1893" t="s">
        <v>759</v>
      </c>
      <c r="C1271" s="2012" t="s">
        <v>760</v>
      </c>
      <c r="D1271" s="1964" t="s">
        <v>60</v>
      </c>
      <c r="E1271" s="1964">
        <v>9</v>
      </c>
      <c r="F1271" s="1904">
        <v>0</v>
      </c>
      <c r="G1271" s="1905">
        <f t="shared" si="94"/>
        <v>0</v>
      </c>
      <c r="H1271" s="441"/>
    </row>
    <row r="1272" spans="2:8" s="439" customFormat="1" ht="14.25">
      <c r="B1272" s="1857"/>
      <c r="C1272" s="2002"/>
      <c r="D1272" s="1997"/>
      <c r="E1272" s="1955"/>
      <c r="F1272" s="1904"/>
      <c r="G1272" s="1905"/>
      <c r="H1272" s="441"/>
    </row>
    <row r="1273" spans="2:8" s="439" customFormat="1" ht="15">
      <c r="B1273" s="2010" t="s">
        <v>647</v>
      </c>
      <c r="C1273" s="2011" t="s">
        <v>48</v>
      </c>
      <c r="D1273" s="1964"/>
      <c r="E1273" s="2014"/>
      <c r="F1273" s="1904"/>
      <c r="G1273" s="1905"/>
      <c r="H1273" s="441"/>
    </row>
    <row r="1274" spans="2:8" s="439" customFormat="1" ht="14.25">
      <c r="B1274" s="2015"/>
      <c r="C1274" s="2012"/>
      <c r="D1274" s="1964"/>
      <c r="E1274" s="1964"/>
      <c r="F1274" s="1904"/>
      <c r="G1274" s="1905"/>
      <c r="H1274" s="441"/>
    </row>
    <row r="1275" spans="2:8" s="439" customFormat="1" ht="16.5">
      <c r="B1275" s="1893" t="s">
        <v>762</v>
      </c>
      <c r="C1275" s="2013" t="s">
        <v>763</v>
      </c>
      <c r="D1275" s="1964" t="s">
        <v>397</v>
      </c>
      <c r="E1275" s="1964">
        <v>490</v>
      </c>
      <c r="F1275" s="1904">
        <v>0</v>
      </c>
      <c r="G1275" s="1905">
        <f t="shared" si="94"/>
        <v>0</v>
      </c>
      <c r="H1275" s="441"/>
    </row>
    <row r="1276" spans="2:8" s="439" customFormat="1" ht="14.25">
      <c r="B1276" s="1893"/>
      <c r="C1276" s="2012"/>
      <c r="D1276" s="1964"/>
      <c r="E1276" s="1964"/>
      <c r="F1276" s="1904"/>
      <c r="G1276" s="1905"/>
      <c r="H1276" s="441"/>
    </row>
    <row r="1277" spans="2:8" s="439" customFormat="1" ht="45">
      <c r="B1277" s="1893" t="s">
        <v>764</v>
      </c>
      <c r="C1277" s="2012" t="s">
        <v>765</v>
      </c>
      <c r="D1277" s="1964" t="s">
        <v>397</v>
      </c>
      <c r="E1277" s="1964">
        <v>490</v>
      </c>
      <c r="F1277" s="1904">
        <v>0</v>
      </c>
      <c r="G1277" s="1905">
        <f t="shared" si="94"/>
        <v>0</v>
      </c>
      <c r="H1277" s="441"/>
    </row>
    <row r="1278" spans="2:8" s="439" customFormat="1" ht="14.25">
      <c r="B1278" s="1893"/>
      <c r="C1278" s="2012"/>
      <c r="D1278" s="1964"/>
      <c r="E1278" s="1964"/>
      <c r="F1278" s="1904"/>
      <c r="G1278" s="1905"/>
      <c r="H1278" s="441"/>
    </row>
    <row r="1279" spans="2:8" s="439" customFormat="1" ht="42.75">
      <c r="B1279" s="1893" t="s">
        <v>766</v>
      </c>
      <c r="C1279" s="2012" t="s">
        <v>767</v>
      </c>
      <c r="D1279" s="1964" t="s">
        <v>60</v>
      </c>
      <c r="E1279" s="1964">
        <v>1</v>
      </c>
      <c r="F1279" s="1904">
        <v>0</v>
      </c>
      <c r="G1279" s="1905">
        <f t="shared" si="94"/>
        <v>0</v>
      </c>
      <c r="H1279" s="441"/>
    </row>
    <row r="1280" spans="2:8" s="439" customFormat="1" ht="14.25">
      <c r="B1280" s="1893"/>
      <c r="C1280" s="2012"/>
      <c r="D1280" s="1964"/>
      <c r="E1280" s="1964"/>
      <c r="F1280" s="1904"/>
      <c r="G1280" s="1905"/>
      <c r="H1280" s="441"/>
    </row>
    <row r="1281" spans="2:8" s="439" customFormat="1" ht="42.75">
      <c r="B1281" s="1893" t="s">
        <v>768</v>
      </c>
      <c r="C1281" s="2012" t="s">
        <v>769</v>
      </c>
      <c r="D1281" s="1964" t="s">
        <v>60</v>
      </c>
      <c r="E1281" s="1964">
        <v>1</v>
      </c>
      <c r="F1281" s="1904">
        <v>0</v>
      </c>
      <c r="G1281" s="1905">
        <f t="shared" si="94"/>
        <v>0</v>
      </c>
      <c r="H1281" s="441"/>
    </row>
    <row r="1282" spans="2:8" s="439" customFormat="1" ht="14.25">
      <c r="B1282" s="1893"/>
      <c r="C1282" s="2012"/>
      <c r="D1282" s="1964"/>
      <c r="E1282" s="1964"/>
      <c r="F1282" s="1904"/>
      <c r="G1282" s="1905"/>
      <c r="H1282" s="441"/>
    </row>
    <row r="1283" spans="2:8" s="439" customFormat="1" ht="28.5">
      <c r="B1283" s="2005" t="s">
        <v>770</v>
      </c>
      <c r="C1283" s="2016" t="s">
        <v>771</v>
      </c>
      <c r="D1283" s="1997" t="s">
        <v>397</v>
      </c>
      <c r="E1283" s="1997">
        <v>960</v>
      </c>
      <c r="F1283" s="1904">
        <v>0</v>
      </c>
      <c r="G1283" s="1905">
        <f t="shared" si="94"/>
        <v>0</v>
      </c>
      <c r="H1283" s="441"/>
    </row>
    <row r="1284" spans="2:8" s="439" customFormat="1" ht="14.25">
      <c r="B1284" s="2017"/>
      <c r="C1284" s="2016"/>
      <c r="D1284" s="1997"/>
      <c r="E1284" s="1997"/>
      <c r="F1284" s="1904"/>
      <c r="G1284" s="1905"/>
      <c r="H1284" s="441"/>
    </row>
    <row r="1285" spans="2:8" s="439" customFormat="1" ht="14.25">
      <c r="B1285" s="2005" t="s">
        <v>772</v>
      </c>
      <c r="C1285" s="2016" t="s">
        <v>773</v>
      </c>
      <c r="D1285" s="1997" t="s">
        <v>397</v>
      </c>
      <c r="E1285" s="1997">
        <v>1008</v>
      </c>
      <c r="F1285" s="1904">
        <v>0</v>
      </c>
      <c r="G1285" s="1905">
        <f t="shared" si="94"/>
        <v>0</v>
      </c>
      <c r="H1285" s="441"/>
    </row>
    <row r="1286" spans="2:8" s="439" customFormat="1" ht="14.25">
      <c r="B1286" s="2017"/>
      <c r="C1286" s="2016"/>
      <c r="D1286" s="1997"/>
      <c r="E1286" s="1997"/>
      <c r="F1286" s="1904"/>
      <c r="G1286" s="1905"/>
      <c r="H1286" s="441"/>
    </row>
    <row r="1287" spans="2:8" s="439" customFormat="1" ht="28.5">
      <c r="B1287" s="2005" t="s">
        <v>774</v>
      </c>
      <c r="C1287" s="2016" t="s">
        <v>775</v>
      </c>
      <c r="D1287" s="1997" t="s">
        <v>252</v>
      </c>
      <c r="E1287" s="1997">
        <v>5</v>
      </c>
      <c r="F1287" s="1904">
        <v>0</v>
      </c>
      <c r="G1287" s="1905">
        <f t="shared" si="94"/>
        <v>0</v>
      </c>
      <c r="H1287" s="441"/>
    </row>
    <row r="1288" spans="2:8" s="439" customFormat="1" ht="14.25">
      <c r="B1288" s="1893"/>
      <c r="C1288" s="2012"/>
      <c r="D1288" s="1964"/>
      <c r="E1288" s="1964"/>
      <c r="F1288" s="1904"/>
      <c r="G1288" s="1905"/>
      <c r="H1288" s="441"/>
    </row>
    <row r="1289" spans="2:8" s="439" customFormat="1" ht="42.75">
      <c r="B1289" s="1893" t="s">
        <v>776</v>
      </c>
      <c r="C1289" s="2012" t="s">
        <v>777</v>
      </c>
      <c r="D1289" s="1964" t="s">
        <v>397</v>
      </c>
      <c r="E1289" s="1964">
        <v>485</v>
      </c>
      <c r="F1289" s="1904">
        <v>0</v>
      </c>
      <c r="G1289" s="1905">
        <f t="shared" si="94"/>
        <v>0</v>
      </c>
      <c r="H1289" s="441"/>
    </row>
    <row r="1290" spans="2:8" s="439" customFormat="1" ht="14.25">
      <c r="B1290" s="2018"/>
      <c r="C1290" s="2019"/>
      <c r="D1290" s="1996"/>
      <c r="E1290" s="1996"/>
      <c r="F1290" s="1904"/>
      <c r="G1290" s="1905"/>
      <c r="H1290" s="441"/>
    </row>
    <row r="1291" spans="2:8" s="439" customFormat="1" ht="42.75">
      <c r="B1291" s="2005" t="s">
        <v>778</v>
      </c>
      <c r="C1291" s="2016" t="s">
        <v>779</v>
      </c>
      <c r="D1291" s="1997" t="s">
        <v>397</v>
      </c>
      <c r="E1291" s="1997">
        <v>960</v>
      </c>
      <c r="F1291" s="1904">
        <v>0</v>
      </c>
      <c r="G1291" s="1905">
        <f t="shared" si="94"/>
        <v>0</v>
      </c>
      <c r="H1291" s="441"/>
    </row>
    <row r="1292" spans="2:8" s="439" customFormat="1" ht="14.25">
      <c r="B1292" s="1893"/>
      <c r="C1292" s="2012"/>
      <c r="D1292" s="1964"/>
      <c r="E1292" s="1964"/>
      <c r="F1292" s="1904"/>
      <c r="G1292" s="1905"/>
      <c r="H1292" s="441"/>
    </row>
    <row r="1293" spans="2:8" s="439" customFormat="1" ht="28.5">
      <c r="B1293" s="1893" t="s">
        <v>780</v>
      </c>
      <c r="C1293" s="2013" t="s">
        <v>781</v>
      </c>
      <c r="D1293" s="1964"/>
      <c r="E1293" s="2014">
        <v>0.05</v>
      </c>
      <c r="F1293" s="1904">
        <v>0</v>
      </c>
      <c r="G1293" s="1905">
        <f t="shared" si="94"/>
        <v>0</v>
      </c>
      <c r="H1293" s="441"/>
    </row>
    <row r="1294" spans="2:8" s="439" customFormat="1" ht="14.25">
      <c r="B1294" s="540"/>
      <c r="C1294" s="1761"/>
      <c r="D1294" s="1996"/>
      <c r="E1294" s="1952"/>
      <c r="F1294" s="1904"/>
      <c r="G1294" s="1905"/>
      <c r="H1294" s="441"/>
    </row>
    <row r="1295" spans="2:8" s="439" customFormat="1" ht="15">
      <c r="B1295" s="2010" t="s">
        <v>782</v>
      </c>
      <c r="C1295" s="2011" t="s">
        <v>783</v>
      </c>
      <c r="D1295" s="1964"/>
      <c r="E1295" s="1964"/>
      <c r="F1295" s="1904"/>
      <c r="G1295" s="1905"/>
      <c r="H1295" s="441"/>
    </row>
    <row r="1296" spans="2:8" s="439" customFormat="1" ht="14.25">
      <c r="B1296" s="1893"/>
      <c r="C1296" s="2012"/>
      <c r="D1296" s="1964"/>
      <c r="E1296" s="1964"/>
      <c r="F1296" s="1904"/>
      <c r="G1296" s="1905"/>
      <c r="H1296" s="441"/>
    </row>
    <row r="1297" spans="2:8" s="439" customFormat="1" ht="28.5">
      <c r="B1297" s="1893" t="s">
        <v>784</v>
      </c>
      <c r="C1297" s="2012" t="s">
        <v>785</v>
      </c>
      <c r="D1297" s="1964" t="s">
        <v>60</v>
      </c>
      <c r="E1297" s="1964">
        <v>1</v>
      </c>
      <c r="F1297" s="1904">
        <v>0</v>
      </c>
      <c r="G1297" s="1905">
        <f t="shared" si="94"/>
        <v>0</v>
      </c>
      <c r="H1297" s="441"/>
    </row>
    <row r="1298" spans="2:8" s="439" customFormat="1" ht="14.25">
      <c r="B1298" s="1893"/>
      <c r="C1298" s="2012"/>
      <c r="D1298" s="1964"/>
      <c r="E1298" s="1964"/>
      <c r="F1298" s="1904"/>
      <c r="G1298" s="1905"/>
      <c r="H1298" s="441"/>
    </row>
    <row r="1299" spans="2:8" s="439" customFormat="1" ht="28.5">
      <c r="B1299" s="1893" t="s">
        <v>786</v>
      </c>
      <c r="C1299" s="2012" t="s">
        <v>787</v>
      </c>
      <c r="D1299" s="1964" t="s">
        <v>60</v>
      </c>
      <c r="E1299" s="1964">
        <v>1</v>
      </c>
      <c r="F1299" s="1904">
        <v>0</v>
      </c>
      <c r="G1299" s="1905">
        <f t="shared" si="94"/>
        <v>0</v>
      </c>
      <c r="H1299" s="441"/>
    </row>
    <row r="1300" spans="2:8" s="439" customFormat="1" ht="14.25">
      <c r="B1300" s="1893"/>
      <c r="C1300" s="2012"/>
      <c r="D1300" s="1964"/>
      <c r="E1300" s="1964"/>
      <c r="F1300" s="1904"/>
      <c r="G1300" s="1905"/>
      <c r="H1300" s="441"/>
    </row>
    <row r="1301" spans="2:8" s="439" customFormat="1" ht="28.5">
      <c r="B1301" s="1893" t="s">
        <v>788</v>
      </c>
      <c r="C1301" s="2012" t="s">
        <v>789</v>
      </c>
      <c r="D1301" s="1964" t="s">
        <v>60</v>
      </c>
      <c r="E1301" s="1964">
        <v>1</v>
      </c>
      <c r="F1301" s="1904">
        <v>0</v>
      </c>
      <c r="G1301" s="1905">
        <f t="shared" si="94"/>
        <v>0</v>
      </c>
      <c r="H1301" s="441"/>
    </row>
    <row r="1302" spans="2:8" s="439" customFormat="1" ht="14.25">
      <c r="B1302" s="1893"/>
      <c r="C1302" s="2012"/>
      <c r="D1302" s="1964"/>
      <c r="E1302" s="1964"/>
      <c r="F1302" s="1904"/>
      <c r="G1302" s="1905"/>
      <c r="H1302" s="441"/>
    </row>
    <row r="1303" spans="2:8" s="439" customFormat="1" ht="14.25">
      <c r="B1303" s="1893" t="s">
        <v>790</v>
      </c>
      <c r="C1303" s="2012" t="s">
        <v>791</v>
      </c>
      <c r="D1303" s="1964" t="s">
        <v>60</v>
      </c>
      <c r="E1303" s="1964">
        <v>1</v>
      </c>
      <c r="F1303" s="1904">
        <v>0</v>
      </c>
      <c r="G1303" s="1905">
        <f t="shared" si="94"/>
        <v>0</v>
      </c>
      <c r="H1303" s="441"/>
    </row>
    <row r="1304" spans="2:8" s="439" customFormat="1" ht="14.25">
      <c r="B1304" s="1893"/>
      <c r="C1304" s="2012"/>
      <c r="D1304" s="1964"/>
      <c r="E1304" s="1964"/>
      <c r="F1304" s="1904"/>
      <c r="G1304" s="1905"/>
      <c r="H1304" s="441"/>
    </row>
    <row r="1305" spans="2:8" s="439" customFormat="1" ht="28.5">
      <c r="B1305" s="1893" t="s">
        <v>792</v>
      </c>
      <c r="C1305" s="2012" t="s">
        <v>793</v>
      </c>
      <c r="D1305" s="1964" t="s">
        <v>60</v>
      </c>
      <c r="E1305" s="1964">
        <v>1</v>
      </c>
      <c r="F1305" s="1904">
        <v>0</v>
      </c>
      <c r="G1305" s="1905">
        <f t="shared" si="94"/>
        <v>0</v>
      </c>
      <c r="H1305" s="441"/>
    </row>
    <row r="1306" spans="2:8" s="439" customFormat="1" ht="14.25">
      <c r="B1306" s="1893"/>
      <c r="C1306" s="2012"/>
      <c r="D1306" s="1964"/>
      <c r="E1306" s="1964"/>
      <c r="F1306" s="1904"/>
      <c r="G1306" s="1905"/>
      <c r="H1306" s="441"/>
    </row>
    <row r="1307" spans="2:8" s="439" customFormat="1" ht="28.5">
      <c r="B1307" s="1893" t="s">
        <v>794</v>
      </c>
      <c r="C1307" s="2012" t="s">
        <v>795</v>
      </c>
      <c r="D1307" s="1964" t="s">
        <v>60</v>
      </c>
      <c r="E1307" s="1964">
        <v>1</v>
      </c>
      <c r="F1307" s="1904">
        <v>0</v>
      </c>
      <c r="G1307" s="1905">
        <f t="shared" si="94"/>
        <v>0</v>
      </c>
      <c r="H1307" s="441"/>
    </row>
    <row r="1308" spans="2:8" s="439" customFormat="1" ht="14.25">
      <c r="B1308" s="1893"/>
      <c r="C1308" s="2012"/>
      <c r="D1308" s="1964"/>
      <c r="E1308" s="1964"/>
      <c r="F1308" s="1904"/>
      <c r="G1308" s="1905"/>
      <c r="H1308" s="441"/>
    </row>
    <row r="1309" spans="2:8" s="439" customFormat="1" ht="42.75">
      <c r="B1309" s="1893" t="s">
        <v>796</v>
      </c>
      <c r="C1309" s="2012" t="s">
        <v>797</v>
      </c>
      <c r="D1309" s="1964" t="s">
        <v>60</v>
      </c>
      <c r="E1309" s="1964">
        <v>1</v>
      </c>
      <c r="F1309" s="1904">
        <v>0</v>
      </c>
      <c r="G1309" s="1905">
        <f t="shared" si="94"/>
        <v>0</v>
      </c>
      <c r="H1309" s="441"/>
    </row>
    <row r="1310" spans="2:8" s="439" customFormat="1" ht="14.25">
      <c r="B1310" s="1893"/>
      <c r="C1310" s="2012"/>
      <c r="D1310" s="1964"/>
      <c r="E1310" s="1964"/>
      <c r="F1310" s="1969"/>
      <c r="G1310" s="1957"/>
      <c r="H1310" s="441"/>
    </row>
    <row r="1311" spans="2:8" s="439" customFormat="1" ht="14.25">
      <c r="B1311" s="541"/>
      <c r="C1311" s="1762"/>
      <c r="D1311" s="1976"/>
      <c r="E1311" s="1975"/>
      <c r="F1311" s="1979"/>
      <c r="G1311" s="544"/>
      <c r="H1311" s="441"/>
    </row>
    <row r="1312" spans="2:8" s="439" customFormat="1" ht="15.75">
      <c r="B1312" s="2463" t="s">
        <v>2207</v>
      </c>
      <c r="C1312" s="2464"/>
      <c r="D1312" s="2464"/>
      <c r="E1312" s="2464"/>
      <c r="F1312" s="2465"/>
      <c r="G1312" s="2025"/>
      <c r="H1312" s="441"/>
    </row>
    <row r="1313" spans="2:8" s="439" customFormat="1" ht="18">
      <c r="B1313" s="539"/>
      <c r="C1313" s="1652"/>
      <c r="D1313" s="1819"/>
      <c r="E1313" s="559"/>
      <c r="F1313" s="1970"/>
      <c r="G1313" s="1971"/>
      <c r="H1313" s="441"/>
    </row>
    <row r="1314" spans="2:8" s="439" customFormat="1" ht="14.25">
      <c r="B1314" s="1857"/>
      <c r="C1314" s="2002"/>
      <c r="D1314" s="1997"/>
      <c r="E1314" s="1955"/>
      <c r="F1314" s="1956"/>
      <c r="G1314" s="1957"/>
      <c r="H1314" s="441"/>
    </row>
    <row r="1315" spans="2:8" s="439" customFormat="1" ht="15">
      <c r="B1315" s="2003" t="s">
        <v>564</v>
      </c>
      <c r="C1315" s="2004" t="s">
        <v>741</v>
      </c>
      <c r="D1315" s="1997"/>
      <c r="E1315" s="1997"/>
      <c r="F1315" s="1956"/>
      <c r="G1315" s="1957"/>
      <c r="H1315" s="441"/>
    </row>
    <row r="1316" spans="2:8" s="439" customFormat="1" ht="15">
      <c r="B1316" s="2003"/>
      <c r="C1316" s="2004"/>
      <c r="D1316" s="1997"/>
      <c r="E1316" s="1997"/>
      <c r="F1316" s="1956"/>
      <c r="G1316" s="1957"/>
      <c r="H1316" s="441"/>
    </row>
    <row r="1317" spans="2:8" s="439" customFormat="1" ht="14.25">
      <c r="B1317" s="2005" t="s">
        <v>742</v>
      </c>
      <c r="C1317" s="2006" t="s">
        <v>743</v>
      </c>
      <c r="D1317" s="1997" t="s">
        <v>60</v>
      </c>
      <c r="E1317" s="1997">
        <v>1</v>
      </c>
      <c r="F1317" s="1904">
        <v>0</v>
      </c>
      <c r="G1317" s="1905">
        <f t="shared" ref="G1317:G1344" si="95">E1317*F1317</f>
        <v>0</v>
      </c>
      <c r="H1317" s="441"/>
    </row>
    <row r="1318" spans="2:8" s="439" customFormat="1" ht="15">
      <c r="B1318" s="2020"/>
      <c r="C1318" s="2011"/>
      <c r="D1318" s="2021"/>
      <c r="E1318" s="2021"/>
      <c r="F1318" s="1904"/>
      <c r="G1318" s="1905"/>
      <c r="H1318" s="441"/>
    </row>
    <row r="1319" spans="2:8" s="439" customFormat="1" ht="15">
      <c r="B1319" s="2010" t="s">
        <v>644</v>
      </c>
      <c r="C1319" s="2011" t="s">
        <v>750</v>
      </c>
      <c r="D1319" s="1964"/>
      <c r="E1319" s="1964"/>
      <c r="F1319" s="1904"/>
      <c r="G1319" s="1905"/>
      <c r="H1319" s="441"/>
    </row>
    <row r="1320" spans="2:8" s="439" customFormat="1" ht="14.25">
      <c r="B1320" s="1893"/>
      <c r="C1320" s="2007"/>
      <c r="D1320" s="1964"/>
      <c r="E1320" s="1964"/>
      <c r="F1320" s="1904"/>
      <c r="G1320" s="1905"/>
      <c r="H1320" s="441"/>
    </row>
    <row r="1321" spans="2:8" s="439" customFormat="1" ht="14.25">
      <c r="B1321" s="2005"/>
      <c r="C1321" s="2022" t="s">
        <v>798</v>
      </c>
      <c r="D1321" s="1997"/>
      <c r="E1321" s="1997"/>
      <c r="F1321" s="1904"/>
      <c r="G1321" s="1905"/>
      <c r="H1321" s="441"/>
    </row>
    <row r="1322" spans="2:8" s="439" customFormat="1" ht="14.25">
      <c r="B1322" s="1893"/>
      <c r="C1322" s="2012"/>
      <c r="D1322" s="1964"/>
      <c r="E1322" s="2014"/>
      <c r="F1322" s="1904"/>
      <c r="G1322" s="1905"/>
      <c r="H1322" s="441"/>
    </row>
    <row r="1323" spans="2:8" s="439" customFormat="1" ht="14.25">
      <c r="B1323" s="1893"/>
      <c r="C1323" s="2012"/>
      <c r="D1323" s="1964"/>
      <c r="E1323" s="2014"/>
      <c r="F1323" s="1904"/>
      <c r="G1323" s="1905"/>
      <c r="H1323" s="441"/>
    </row>
    <row r="1324" spans="2:8" s="439" customFormat="1" ht="15">
      <c r="B1324" s="2010" t="s">
        <v>647</v>
      </c>
      <c r="C1324" s="2011" t="s">
        <v>48</v>
      </c>
      <c r="D1324" s="1964"/>
      <c r="E1324" s="2014"/>
      <c r="F1324" s="1904"/>
      <c r="G1324" s="1905"/>
      <c r="H1324" s="441"/>
    </row>
    <row r="1325" spans="2:8" s="439" customFormat="1" ht="14.25">
      <c r="B1325" s="2015"/>
      <c r="C1325" s="2012"/>
      <c r="D1325" s="1964"/>
      <c r="E1325" s="1964"/>
      <c r="F1325" s="1904"/>
      <c r="G1325" s="1905"/>
      <c r="H1325" s="441"/>
    </row>
    <row r="1326" spans="2:8" s="439" customFormat="1" ht="57">
      <c r="B1326" s="1893" t="s">
        <v>762</v>
      </c>
      <c r="C1326" s="2013" t="s">
        <v>799</v>
      </c>
      <c r="D1326" s="1964" t="s">
        <v>397</v>
      </c>
      <c r="E1326" s="1964">
        <v>480</v>
      </c>
      <c r="F1326" s="1904">
        <v>0</v>
      </c>
      <c r="G1326" s="1905">
        <f t="shared" si="95"/>
        <v>0</v>
      </c>
      <c r="H1326" s="441"/>
    </row>
    <row r="1327" spans="2:8" s="439" customFormat="1" ht="14.25">
      <c r="B1327" s="1893"/>
      <c r="C1327" s="2012"/>
      <c r="D1327" s="1964"/>
      <c r="E1327" s="1964"/>
      <c r="F1327" s="1904"/>
      <c r="G1327" s="1905"/>
      <c r="H1327" s="441"/>
    </row>
    <row r="1328" spans="2:8" s="439" customFormat="1" ht="57">
      <c r="B1328" s="1893" t="s">
        <v>764</v>
      </c>
      <c r="C1328" s="2012" t="s">
        <v>800</v>
      </c>
      <c r="D1328" s="1964" t="s">
        <v>397</v>
      </c>
      <c r="E1328" s="1964">
        <v>480</v>
      </c>
      <c r="F1328" s="1904">
        <v>0</v>
      </c>
      <c r="G1328" s="1905">
        <f t="shared" si="95"/>
        <v>0</v>
      </c>
      <c r="H1328" s="441"/>
    </row>
    <row r="1329" spans="2:8" s="439" customFormat="1" ht="14.25">
      <c r="B1329" s="1893"/>
      <c r="C1329" s="2012"/>
      <c r="D1329" s="1964"/>
      <c r="E1329" s="1964"/>
      <c r="F1329" s="1904"/>
      <c r="G1329" s="1905"/>
      <c r="H1329" s="441"/>
    </row>
    <row r="1330" spans="2:8" s="439" customFormat="1" ht="71.25">
      <c r="B1330" s="1893" t="s">
        <v>766</v>
      </c>
      <c r="C1330" s="2012" t="s">
        <v>801</v>
      </c>
      <c r="D1330" s="1964" t="s">
        <v>60</v>
      </c>
      <c r="E1330" s="1964">
        <v>1</v>
      </c>
      <c r="F1330" s="1904">
        <v>0</v>
      </c>
      <c r="G1330" s="1905">
        <f t="shared" si="95"/>
        <v>0</v>
      </c>
      <c r="H1330" s="441"/>
    </row>
    <row r="1331" spans="2:8" s="439" customFormat="1" ht="14.25">
      <c r="B1331" s="1893"/>
      <c r="C1331" s="2012"/>
      <c r="D1331" s="1964"/>
      <c r="E1331" s="1964"/>
      <c r="F1331" s="1904"/>
      <c r="G1331" s="1905"/>
      <c r="H1331" s="441"/>
    </row>
    <row r="1332" spans="2:8" s="439" customFormat="1" ht="71.25">
      <c r="B1332" s="1893" t="s">
        <v>768</v>
      </c>
      <c r="C1332" s="2012" t="s">
        <v>802</v>
      </c>
      <c r="D1332" s="1964" t="s">
        <v>60</v>
      </c>
      <c r="E1332" s="1964">
        <v>1</v>
      </c>
      <c r="F1332" s="1904">
        <v>0</v>
      </c>
      <c r="G1332" s="1905">
        <f t="shared" si="95"/>
        <v>0</v>
      </c>
      <c r="H1332" s="441"/>
    </row>
    <row r="1333" spans="2:8" s="439" customFormat="1" ht="14.25">
      <c r="B1333" s="1893"/>
      <c r="C1333" s="2012"/>
      <c r="D1333" s="1964"/>
      <c r="E1333" s="1964"/>
      <c r="F1333" s="1904"/>
      <c r="G1333" s="1905"/>
      <c r="H1333" s="441"/>
    </row>
    <row r="1334" spans="2:8" s="439" customFormat="1" ht="85.5">
      <c r="B1334" s="2005" t="s">
        <v>770</v>
      </c>
      <c r="C1334" s="2016" t="s">
        <v>803</v>
      </c>
      <c r="D1334" s="1964" t="s">
        <v>60</v>
      </c>
      <c r="E1334" s="1964">
        <v>2</v>
      </c>
      <c r="F1334" s="1904">
        <v>0</v>
      </c>
      <c r="G1334" s="1905">
        <f t="shared" si="95"/>
        <v>0</v>
      </c>
      <c r="H1334" s="441"/>
    </row>
    <row r="1335" spans="2:8" s="439" customFormat="1" ht="14.25">
      <c r="B1335" s="2017"/>
      <c r="C1335" s="2016"/>
      <c r="D1335" s="1997"/>
      <c r="E1335" s="1997"/>
      <c r="F1335" s="1904"/>
      <c r="G1335" s="1905"/>
      <c r="H1335" s="441"/>
    </row>
    <row r="1336" spans="2:8" s="439" customFormat="1" ht="28.5">
      <c r="B1336" s="2005" t="s">
        <v>778</v>
      </c>
      <c r="C1336" s="2016" t="s">
        <v>804</v>
      </c>
      <c r="D1336" s="1997" t="s">
        <v>397</v>
      </c>
      <c r="E1336" s="1997">
        <v>480</v>
      </c>
      <c r="F1336" s="1904">
        <v>0</v>
      </c>
      <c r="G1336" s="1905">
        <f t="shared" si="95"/>
        <v>0</v>
      </c>
      <c r="H1336" s="441"/>
    </row>
    <row r="1337" spans="2:8" s="439" customFormat="1" ht="14.25">
      <c r="B1337" s="1893"/>
      <c r="C1337" s="2012"/>
      <c r="D1337" s="1964"/>
      <c r="E1337" s="1964"/>
      <c r="F1337" s="1904"/>
      <c r="G1337" s="1905"/>
      <c r="H1337" s="441"/>
    </row>
    <row r="1338" spans="2:8" s="439" customFormat="1" ht="28.5">
      <c r="B1338" s="1893" t="s">
        <v>780</v>
      </c>
      <c r="C1338" s="2013" t="s">
        <v>781</v>
      </c>
      <c r="D1338" s="1964"/>
      <c r="E1338" s="2014">
        <v>0.05</v>
      </c>
      <c r="F1338" s="1904">
        <v>0</v>
      </c>
      <c r="G1338" s="1905">
        <f t="shared" si="95"/>
        <v>0</v>
      </c>
      <c r="H1338" s="441"/>
    </row>
    <row r="1339" spans="2:8" s="439" customFormat="1" ht="14.25">
      <c r="B1339" s="1857"/>
      <c r="C1339" s="2002"/>
      <c r="D1339" s="1997"/>
      <c r="E1339" s="1955"/>
      <c r="F1339" s="1904"/>
      <c r="G1339" s="1905"/>
      <c r="H1339" s="441"/>
    </row>
    <row r="1340" spans="2:8" s="439" customFormat="1" ht="15">
      <c r="B1340" s="2010" t="s">
        <v>782</v>
      </c>
      <c r="C1340" s="2011" t="s">
        <v>783</v>
      </c>
      <c r="D1340" s="1964"/>
      <c r="E1340" s="1964"/>
      <c r="F1340" s="1904"/>
      <c r="G1340" s="1905"/>
      <c r="H1340" s="441"/>
    </row>
    <row r="1341" spans="2:8" s="439" customFormat="1" ht="14.25">
      <c r="B1341" s="1893"/>
      <c r="C1341" s="2012"/>
      <c r="D1341" s="1964"/>
      <c r="E1341" s="1964"/>
      <c r="F1341" s="1904"/>
      <c r="G1341" s="1905"/>
      <c r="H1341" s="441"/>
    </row>
    <row r="1342" spans="2:8" s="439" customFormat="1" ht="28.5">
      <c r="B1342" s="1893" t="s">
        <v>784</v>
      </c>
      <c r="C1342" s="2012" t="s">
        <v>785</v>
      </c>
      <c r="D1342" s="1964" t="s">
        <v>60</v>
      </c>
      <c r="E1342" s="1964">
        <v>1</v>
      </c>
      <c r="F1342" s="1904">
        <v>0</v>
      </c>
      <c r="G1342" s="1905">
        <f t="shared" si="95"/>
        <v>0</v>
      </c>
      <c r="H1342" s="441"/>
    </row>
    <row r="1343" spans="2:8" s="439" customFormat="1" ht="14.25">
      <c r="B1343" s="1893"/>
      <c r="C1343" s="2012"/>
      <c r="D1343" s="1964"/>
      <c r="E1343" s="1964"/>
      <c r="F1343" s="1904"/>
      <c r="G1343" s="1905"/>
      <c r="H1343" s="441"/>
    </row>
    <row r="1344" spans="2:8" s="439" customFormat="1" ht="28.5">
      <c r="B1344" s="1893" t="s">
        <v>786</v>
      </c>
      <c r="C1344" s="2012" t="s">
        <v>787</v>
      </c>
      <c r="D1344" s="1964" t="s">
        <v>60</v>
      </c>
      <c r="E1344" s="1964">
        <v>1</v>
      </c>
      <c r="F1344" s="1904">
        <v>0</v>
      </c>
      <c r="G1344" s="1905">
        <f t="shared" si="95"/>
        <v>0</v>
      </c>
      <c r="H1344" s="441"/>
    </row>
    <row r="1345" spans="2:8" s="439" customFormat="1" ht="14.25">
      <c r="B1345" s="1893"/>
      <c r="C1345" s="2012"/>
      <c r="D1345" s="1964"/>
      <c r="E1345" s="1964"/>
      <c r="F1345" s="1904"/>
      <c r="G1345" s="1905"/>
      <c r="H1345" s="441"/>
    </row>
    <row r="1346" spans="2:8" s="439" customFormat="1">
      <c r="B1346" s="561"/>
      <c r="C1346" s="1764"/>
      <c r="D1346" s="1980"/>
      <c r="E1346" s="1980"/>
      <c r="F1346" s="1979"/>
      <c r="G1346" s="544"/>
      <c r="H1346" s="441"/>
    </row>
    <row r="1347" spans="2:8" s="439" customFormat="1" ht="15.75">
      <c r="B1347" s="2463" t="s">
        <v>2205</v>
      </c>
      <c r="C1347" s="2464"/>
      <c r="D1347" s="2464"/>
      <c r="E1347" s="2464"/>
      <c r="F1347" s="2464"/>
      <c r="G1347" s="2026"/>
      <c r="H1347" s="441"/>
    </row>
    <row r="1348" spans="2:8" s="439" customFormat="1" ht="18">
      <c r="B1348" s="539"/>
      <c r="C1348" s="1652"/>
      <c r="D1348" s="1819"/>
      <c r="E1348" s="559"/>
      <c r="F1348" s="1970"/>
      <c r="G1348" s="1971"/>
      <c r="H1348" s="441"/>
    </row>
    <row r="1349" spans="2:8" s="439" customFormat="1" ht="15">
      <c r="B1349" s="2003" t="s">
        <v>564</v>
      </c>
      <c r="C1349" s="2004" t="s">
        <v>741</v>
      </c>
      <c r="D1349" s="1997"/>
      <c r="E1349" s="1997"/>
      <c r="F1349" s="1956"/>
      <c r="G1349" s="1957"/>
      <c r="H1349" s="441"/>
    </row>
    <row r="1350" spans="2:8" s="439" customFormat="1" ht="15">
      <c r="B1350" s="2003"/>
      <c r="C1350" s="2004"/>
      <c r="D1350" s="1997"/>
      <c r="E1350" s="1997"/>
      <c r="F1350" s="1956"/>
      <c r="G1350" s="1957"/>
      <c r="H1350" s="441"/>
    </row>
    <row r="1351" spans="2:8" s="439" customFormat="1" ht="14.25">
      <c r="B1351" s="2005" t="s">
        <v>742</v>
      </c>
      <c r="C1351" s="2006" t="s">
        <v>743</v>
      </c>
      <c r="D1351" s="1997" t="s">
        <v>60</v>
      </c>
      <c r="E1351" s="1997">
        <v>1</v>
      </c>
      <c r="F1351" s="1904">
        <v>0</v>
      </c>
      <c r="G1351" s="1905">
        <f t="shared" ref="G1351:G1405" si="96">E1351*F1351</f>
        <v>0</v>
      </c>
      <c r="H1351" s="441"/>
    </row>
    <row r="1352" spans="2:8" s="439" customFormat="1" ht="14.25">
      <c r="B1352" s="2005"/>
      <c r="C1352" s="2006"/>
      <c r="D1352" s="1997"/>
      <c r="E1352" s="1997"/>
      <c r="F1352" s="1904"/>
      <c r="G1352" s="1905"/>
      <c r="H1352" s="441"/>
    </row>
    <row r="1353" spans="2:8" s="439" customFormat="1" ht="14.25">
      <c r="B1353" s="2005" t="s">
        <v>744</v>
      </c>
      <c r="C1353" s="2006" t="s">
        <v>745</v>
      </c>
      <c r="D1353" s="1997" t="s">
        <v>397</v>
      </c>
      <c r="E1353" s="1997">
        <v>32</v>
      </c>
      <c r="F1353" s="1904">
        <v>0</v>
      </c>
      <c r="G1353" s="1905">
        <f t="shared" si="96"/>
        <v>0</v>
      </c>
      <c r="H1353" s="441"/>
    </row>
    <row r="1354" spans="2:8" s="439" customFormat="1" ht="14.25">
      <c r="B1354" s="1893"/>
      <c r="C1354" s="2007"/>
      <c r="D1354" s="1964"/>
      <c r="E1354" s="1964"/>
      <c r="F1354" s="1904"/>
      <c r="G1354" s="1905"/>
      <c r="H1354" s="441"/>
    </row>
    <row r="1355" spans="2:8" s="439" customFormat="1" ht="28.5">
      <c r="B1355" s="1893" t="s">
        <v>746</v>
      </c>
      <c r="C1355" s="2008" t="s">
        <v>747</v>
      </c>
      <c r="D1355" s="1964" t="s">
        <v>60</v>
      </c>
      <c r="E1355" s="1964">
        <v>1</v>
      </c>
      <c r="F1355" s="1904">
        <v>0</v>
      </c>
      <c r="G1355" s="1905">
        <f t="shared" si="96"/>
        <v>0</v>
      </c>
      <c r="H1355" s="441"/>
    </row>
    <row r="1356" spans="2:8" s="439" customFormat="1" ht="14.25">
      <c r="B1356" s="1893"/>
      <c r="C1356" s="2007"/>
      <c r="D1356" s="1964"/>
      <c r="E1356" s="1964"/>
      <c r="F1356" s="1904"/>
      <c r="G1356" s="1905"/>
      <c r="H1356" s="441"/>
    </row>
    <row r="1357" spans="2:8" s="439" customFormat="1" ht="42.75">
      <c r="B1357" s="2005" t="s">
        <v>748</v>
      </c>
      <c r="C1357" s="2009" t="s">
        <v>749</v>
      </c>
      <c r="D1357" s="1997" t="s">
        <v>60</v>
      </c>
      <c r="E1357" s="1997">
        <v>1</v>
      </c>
      <c r="F1357" s="1904">
        <v>0</v>
      </c>
      <c r="G1357" s="1905">
        <f t="shared" si="96"/>
        <v>0</v>
      </c>
      <c r="H1357" s="441"/>
    </row>
    <row r="1358" spans="2:8" s="439" customFormat="1" ht="15">
      <c r="B1358" s="2020"/>
      <c r="C1358" s="2011"/>
      <c r="D1358" s="2021"/>
      <c r="E1358" s="2021"/>
      <c r="F1358" s="1904"/>
      <c r="G1358" s="1905"/>
      <c r="H1358" s="441"/>
    </row>
    <row r="1359" spans="2:8" s="439" customFormat="1" ht="15">
      <c r="B1359" s="2010" t="s">
        <v>644</v>
      </c>
      <c r="C1359" s="2011" t="s">
        <v>750</v>
      </c>
      <c r="D1359" s="1964"/>
      <c r="E1359" s="1964"/>
      <c r="F1359" s="1904"/>
      <c r="G1359" s="1905"/>
      <c r="H1359" s="441"/>
    </row>
    <row r="1360" spans="2:8" s="439" customFormat="1" ht="14.25">
      <c r="B1360" s="1893"/>
      <c r="C1360" s="2007"/>
      <c r="D1360" s="1964"/>
      <c r="E1360" s="1964"/>
      <c r="F1360" s="1904"/>
      <c r="G1360" s="1905"/>
      <c r="H1360" s="441"/>
    </row>
    <row r="1361" spans="2:8" s="439" customFormat="1" ht="85.5">
      <c r="B1361" s="1893" t="s">
        <v>751</v>
      </c>
      <c r="C1361" s="2012" t="s">
        <v>752</v>
      </c>
      <c r="D1361" s="1964" t="s">
        <v>397</v>
      </c>
      <c r="E1361" s="1964">
        <v>2</v>
      </c>
      <c r="F1361" s="1904">
        <v>0</v>
      </c>
      <c r="G1361" s="1905">
        <f t="shared" si="96"/>
        <v>0</v>
      </c>
      <c r="H1361" s="441"/>
    </row>
    <row r="1362" spans="2:8" s="439" customFormat="1" ht="14.25">
      <c r="B1362" s="1893"/>
      <c r="C1362" s="2013"/>
      <c r="D1362" s="1964"/>
      <c r="E1362" s="1964"/>
      <c r="F1362" s="1904"/>
      <c r="G1362" s="1905"/>
      <c r="H1362" s="441"/>
    </row>
    <row r="1363" spans="2:8" s="439" customFormat="1" ht="85.5">
      <c r="B1363" s="1893" t="s">
        <v>753</v>
      </c>
      <c r="C1363" s="2012" t="s">
        <v>754</v>
      </c>
      <c r="D1363" s="1964" t="s">
        <v>397</v>
      </c>
      <c r="E1363" s="1964">
        <v>32</v>
      </c>
      <c r="F1363" s="1904">
        <v>0</v>
      </c>
      <c r="G1363" s="1905">
        <f t="shared" si="96"/>
        <v>0</v>
      </c>
      <c r="H1363" s="441"/>
    </row>
    <row r="1364" spans="2:8" s="439" customFormat="1" ht="14.25">
      <c r="B1364" s="1893"/>
      <c r="C1364" s="2013"/>
      <c r="D1364" s="1964"/>
      <c r="E1364" s="1964"/>
      <c r="F1364" s="1904"/>
      <c r="G1364" s="1905"/>
      <c r="H1364" s="441"/>
    </row>
    <row r="1365" spans="2:8" s="439" customFormat="1" ht="57">
      <c r="B1365" s="1893" t="s">
        <v>755</v>
      </c>
      <c r="C1365" s="2012" t="s">
        <v>805</v>
      </c>
      <c r="D1365" s="1964" t="s">
        <v>60</v>
      </c>
      <c r="E1365" s="1964">
        <v>1</v>
      </c>
      <c r="F1365" s="1904">
        <v>0</v>
      </c>
      <c r="G1365" s="1905">
        <f t="shared" si="96"/>
        <v>0</v>
      </c>
      <c r="H1365" s="441"/>
    </row>
    <row r="1366" spans="2:8" s="439" customFormat="1" ht="14.25">
      <c r="B1366" s="1893"/>
      <c r="C1366" s="2013"/>
      <c r="D1366" s="1964"/>
      <c r="E1366" s="1964"/>
      <c r="F1366" s="1904"/>
      <c r="G1366" s="1905"/>
      <c r="H1366" s="441"/>
    </row>
    <row r="1367" spans="2:8" s="439" customFormat="1" ht="57">
      <c r="B1367" s="1893" t="s">
        <v>757</v>
      </c>
      <c r="C1367" s="2012" t="s">
        <v>806</v>
      </c>
      <c r="D1367" s="1964" t="s">
        <v>60</v>
      </c>
      <c r="E1367" s="1964">
        <v>1</v>
      </c>
      <c r="F1367" s="1904">
        <v>0</v>
      </c>
      <c r="G1367" s="1905">
        <f t="shared" si="96"/>
        <v>0</v>
      </c>
      <c r="H1367" s="441"/>
    </row>
    <row r="1368" spans="2:8" s="439" customFormat="1" ht="14.25">
      <c r="B1368" s="1893"/>
      <c r="C1368" s="2013"/>
      <c r="D1368" s="1964"/>
      <c r="E1368" s="1964"/>
      <c r="F1368" s="1904"/>
      <c r="G1368" s="1905"/>
      <c r="H1368" s="441"/>
    </row>
    <row r="1369" spans="2:8" s="439" customFormat="1" ht="72.75">
      <c r="B1369" s="1893" t="s">
        <v>759</v>
      </c>
      <c r="C1369" s="2012" t="s">
        <v>807</v>
      </c>
      <c r="D1369" s="1964" t="s">
        <v>60</v>
      </c>
      <c r="E1369" s="1964">
        <v>1</v>
      </c>
      <c r="F1369" s="1904">
        <v>0</v>
      </c>
      <c r="G1369" s="1905">
        <f t="shared" si="96"/>
        <v>0</v>
      </c>
      <c r="H1369" s="441"/>
    </row>
    <row r="1370" spans="2:8" s="439" customFormat="1" ht="14.25">
      <c r="B1370" s="1893"/>
      <c r="C1370" s="2013"/>
      <c r="D1370" s="1964"/>
      <c r="E1370" s="1964"/>
      <c r="F1370" s="1904"/>
      <c r="G1370" s="1905"/>
      <c r="H1370" s="441"/>
    </row>
    <row r="1371" spans="2:8" s="439" customFormat="1" ht="71.25">
      <c r="B1371" s="1893" t="s">
        <v>761</v>
      </c>
      <c r="C1371" s="2012" t="s">
        <v>758</v>
      </c>
      <c r="D1371" s="1964" t="s">
        <v>60</v>
      </c>
      <c r="E1371" s="1964">
        <v>1</v>
      </c>
      <c r="F1371" s="1904">
        <v>0</v>
      </c>
      <c r="G1371" s="1905">
        <f t="shared" si="96"/>
        <v>0</v>
      </c>
      <c r="H1371" s="441"/>
    </row>
    <row r="1372" spans="2:8" s="439" customFormat="1" ht="14.25">
      <c r="B1372" s="1857"/>
      <c r="C1372" s="2002"/>
      <c r="D1372" s="1997"/>
      <c r="E1372" s="1955"/>
      <c r="F1372" s="1904"/>
      <c r="G1372" s="1905"/>
      <c r="H1372" s="441"/>
    </row>
    <row r="1373" spans="2:8" s="439" customFormat="1" ht="128.25">
      <c r="B1373" s="1893" t="s">
        <v>808</v>
      </c>
      <c r="C1373" s="2012" t="s">
        <v>760</v>
      </c>
      <c r="D1373" s="1964" t="s">
        <v>60</v>
      </c>
      <c r="E1373" s="1964">
        <v>1</v>
      </c>
      <c r="F1373" s="1904">
        <v>0</v>
      </c>
      <c r="G1373" s="1905">
        <f t="shared" si="96"/>
        <v>0</v>
      </c>
      <c r="H1373" s="441"/>
    </row>
    <row r="1374" spans="2:8" s="439" customFormat="1" ht="14.25">
      <c r="B1374" s="1893"/>
      <c r="C1374" s="2013"/>
      <c r="D1374" s="1964"/>
      <c r="E1374" s="1964"/>
      <c r="F1374" s="1904"/>
      <c r="G1374" s="1905"/>
      <c r="H1374" s="441"/>
    </row>
    <row r="1375" spans="2:8" s="439" customFormat="1" ht="15">
      <c r="B1375" s="2010" t="s">
        <v>647</v>
      </c>
      <c r="C1375" s="2011" t="s">
        <v>48</v>
      </c>
      <c r="D1375" s="1964"/>
      <c r="E1375" s="2014"/>
      <c r="F1375" s="1904"/>
      <c r="G1375" s="1905"/>
      <c r="H1375" s="441"/>
    </row>
    <row r="1376" spans="2:8" s="439" customFormat="1" ht="14.25">
      <c r="B1376" s="2015"/>
      <c r="C1376" s="2012"/>
      <c r="D1376" s="1964"/>
      <c r="E1376" s="1964"/>
      <c r="F1376" s="1904"/>
      <c r="G1376" s="1905"/>
      <c r="H1376" s="441"/>
    </row>
    <row r="1377" spans="2:8" s="439" customFormat="1" ht="16.5">
      <c r="B1377" s="1893" t="s">
        <v>762</v>
      </c>
      <c r="C1377" s="2013" t="s">
        <v>809</v>
      </c>
      <c r="D1377" s="1964" t="s">
        <v>397</v>
      </c>
      <c r="E1377" s="1964">
        <v>52</v>
      </c>
      <c r="F1377" s="1904">
        <v>0</v>
      </c>
      <c r="G1377" s="1905">
        <f t="shared" si="96"/>
        <v>0</v>
      </c>
      <c r="H1377" s="441"/>
    </row>
    <row r="1378" spans="2:8" s="439" customFormat="1" ht="14.25">
      <c r="B1378" s="1893"/>
      <c r="C1378" s="2012"/>
      <c r="D1378" s="1964"/>
      <c r="E1378" s="1964"/>
      <c r="F1378" s="1904"/>
      <c r="G1378" s="1905"/>
      <c r="H1378" s="441"/>
    </row>
    <row r="1379" spans="2:8" s="439" customFormat="1" ht="45">
      <c r="B1379" s="1893" t="s">
        <v>764</v>
      </c>
      <c r="C1379" s="2012" t="s">
        <v>810</v>
      </c>
      <c r="D1379" s="1964" t="s">
        <v>397</v>
      </c>
      <c r="E1379" s="1964">
        <v>32</v>
      </c>
      <c r="F1379" s="1904">
        <v>0</v>
      </c>
      <c r="G1379" s="1905">
        <f t="shared" si="96"/>
        <v>0</v>
      </c>
      <c r="H1379" s="441"/>
    </row>
    <row r="1380" spans="2:8" s="439" customFormat="1" ht="14.25">
      <c r="B1380" s="1893"/>
      <c r="C1380" s="2012"/>
      <c r="D1380" s="1964"/>
      <c r="E1380" s="1964"/>
      <c r="F1380" s="1904"/>
      <c r="G1380" s="1905"/>
      <c r="H1380" s="441"/>
    </row>
    <row r="1381" spans="2:8" s="439" customFormat="1" ht="42.75">
      <c r="B1381" s="1893" t="s">
        <v>766</v>
      </c>
      <c r="C1381" s="2012" t="s">
        <v>811</v>
      </c>
      <c r="D1381" s="1964" t="s">
        <v>60</v>
      </c>
      <c r="E1381" s="1964">
        <v>1</v>
      </c>
      <c r="F1381" s="1904">
        <v>0</v>
      </c>
      <c r="G1381" s="1905">
        <f t="shared" si="96"/>
        <v>0</v>
      </c>
      <c r="H1381" s="441"/>
    </row>
    <row r="1382" spans="2:8" s="439" customFormat="1" ht="14.25">
      <c r="B1382" s="1893"/>
      <c r="C1382" s="2012"/>
      <c r="D1382" s="1964"/>
      <c r="E1382" s="1964"/>
      <c r="F1382" s="1904"/>
      <c r="G1382" s="1905"/>
      <c r="H1382" s="441"/>
    </row>
    <row r="1383" spans="2:8" s="439" customFormat="1" ht="42.75">
      <c r="B1383" s="1893" t="s">
        <v>768</v>
      </c>
      <c r="C1383" s="2012" t="s">
        <v>812</v>
      </c>
      <c r="D1383" s="1964" t="s">
        <v>60</v>
      </c>
      <c r="E1383" s="1964">
        <v>1</v>
      </c>
      <c r="F1383" s="1904">
        <v>0</v>
      </c>
      <c r="G1383" s="1905">
        <f t="shared" si="96"/>
        <v>0</v>
      </c>
      <c r="H1383" s="441"/>
    </row>
    <row r="1384" spans="2:8" s="439" customFormat="1" ht="14.25">
      <c r="B1384" s="1893"/>
      <c r="C1384" s="2012"/>
      <c r="D1384" s="1964"/>
      <c r="E1384" s="1964"/>
      <c r="F1384" s="1904"/>
      <c r="G1384" s="1905"/>
      <c r="H1384" s="441"/>
    </row>
    <row r="1385" spans="2:8" s="439" customFormat="1" ht="14.25">
      <c r="B1385" s="1893" t="s">
        <v>770</v>
      </c>
      <c r="C1385" s="2012" t="s">
        <v>813</v>
      </c>
      <c r="D1385" s="1964"/>
      <c r="E1385" s="1964"/>
      <c r="F1385" s="1904"/>
      <c r="G1385" s="1905"/>
      <c r="H1385" s="441"/>
    </row>
    <row r="1386" spans="2:8" s="439" customFormat="1" ht="200.25">
      <c r="B1386" s="2023" t="s">
        <v>669</v>
      </c>
      <c r="C1386" s="1860" t="s">
        <v>814</v>
      </c>
      <c r="D1386" s="1960" t="s">
        <v>252</v>
      </c>
      <c r="E1386" s="1960">
        <v>1</v>
      </c>
      <c r="F1386" s="1904">
        <v>0</v>
      </c>
      <c r="G1386" s="1905">
        <f t="shared" si="96"/>
        <v>0</v>
      </c>
      <c r="H1386" s="441"/>
    </row>
    <row r="1387" spans="2:8" s="439" customFormat="1" ht="99.75">
      <c r="B1387" s="2023" t="s">
        <v>669</v>
      </c>
      <c r="C1387" s="1860" t="s">
        <v>815</v>
      </c>
      <c r="D1387" s="1960" t="s">
        <v>252</v>
      </c>
      <c r="E1387" s="1960">
        <v>1</v>
      </c>
      <c r="F1387" s="1904">
        <v>0</v>
      </c>
      <c r="G1387" s="1905">
        <f t="shared" si="96"/>
        <v>0</v>
      </c>
      <c r="H1387" s="441"/>
    </row>
    <row r="1388" spans="2:8" s="439" customFormat="1" ht="14.25">
      <c r="B1388" s="1893"/>
      <c r="C1388" s="2012"/>
      <c r="D1388" s="1964"/>
      <c r="E1388" s="1964"/>
      <c r="F1388" s="1904"/>
      <c r="G1388" s="1905"/>
      <c r="H1388" s="441"/>
    </row>
    <row r="1389" spans="2:8" s="439" customFormat="1" ht="14.25">
      <c r="B1389" s="1893" t="s">
        <v>772</v>
      </c>
      <c r="C1389" s="2012" t="s">
        <v>816</v>
      </c>
      <c r="D1389" s="1964"/>
      <c r="E1389" s="1964"/>
      <c r="F1389" s="1904"/>
      <c r="G1389" s="1905"/>
      <c r="H1389" s="441"/>
    </row>
    <row r="1390" spans="2:8" s="439" customFormat="1" ht="42.75">
      <c r="B1390" s="1893" t="s">
        <v>568</v>
      </c>
      <c r="C1390" s="2012" t="s">
        <v>817</v>
      </c>
      <c r="D1390" s="1964" t="s">
        <v>252</v>
      </c>
      <c r="E1390" s="1964">
        <v>1</v>
      </c>
      <c r="F1390" s="1904">
        <v>0</v>
      </c>
      <c r="G1390" s="1905">
        <f t="shared" si="96"/>
        <v>0</v>
      </c>
      <c r="H1390" s="441"/>
    </row>
    <row r="1391" spans="2:8" s="439" customFormat="1" ht="42.75">
      <c r="B1391" s="1893" t="s">
        <v>568</v>
      </c>
      <c r="C1391" s="2012" t="s">
        <v>818</v>
      </c>
      <c r="D1391" s="1964" t="s">
        <v>252</v>
      </c>
      <c r="E1391" s="1964">
        <v>1</v>
      </c>
      <c r="F1391" s="1904">
        <v>0</v>
      </c>
      <c r="G1391" s="1905">
        <f t="shared" si="96"/>
        <v>0</v>
      </c>
      <c r="H1391" s="441"/>
    </row>
    <row r="1392" spans="2:8" s="439" customFormat="1" ht="14.25">
      <c r="B1392" s="540"/>
      <c r="C1392" s="1761"/>
      <c r="D1392" s="1996"/>
      <c r="E1392" s="1952"/>
      <c r="F1392" s="1904"/>
      <c r="G1392" s="1905"/>
      <c r="H1392" s="441"/>
    </row>
    <row r="1393" spans="2:8" s="439" customFormat="1" ht="14.25">
      <c r="B1393" s="1893" t="s">
        <v>568</v>
      </c>
      <c r="C1393" s="2012" t="s">
        <v>819</v>
      </c>
      <c r="D1393" s="1964" t="s">
        <v>252</v>
      </c>
      <c r="E1393" s="1964">
        <v>1</v>
      </c>
      <c r="F1393" s="1904">
        <v>0</v>
      </c>
      <c r="G1393" s="1905">
        <f t="shared" si="96"/>
        <v>0</v>
      </c>
      <c r="H1393" s="441"/>
    </row>
    <row r="1394" spans="2:8" s="439" customFormat="1" ht="57">
      <c r="B1394" s="1893" t="s">
        <v>568</v>
      </c>
      <c r="C1394" s="2012" t="s">
        <v>820</v>
      </c>
      <c r="D1394" s="1964" t="s">
        <v>252</v>
      </c>
      <c r="E1394" s="1964">
        <v>1</v>
      </c>
      <c r="F1394" s="1904">
        <v>0</v>
      </c>
      <c r="G1394" s="1905">
        <f t="shared" si="96"/>
        <v>0</v>
      </c>
      <c r="H1394" s="441"/>
    </row>
    <row r="1395" spans="2:8" s="439" customFormat="1" ht="28.5">
      <c r="B1395" s="1893" t="s">
        <v>568</v>
      </c>
      <c r="C1395" s="2012" t="s">
        <v>821</v>
      </c>
      <c r="D1395" s="1964" t="s">
        <v>60</v>
      </c>
      <c r="E1395" s="1964">
        <v>1</v>
      </c>
      <c r="F1395" s="1904">
        <v>0</v>
      </c>
      <c r="G1395" s="1905">
        <f t="shared" si="96"/>
        <v>0</v>
      </c>
      <c r="H1395" s="441"/>
    </row>
    <row r="1396" spans="2:8" s="439" customFormat="1" ht="28.5">
      <c r="B1396" s="1893" t="s">
        <v>568</v>
      </c>
      <c r="C1396" s="2012" t="s">
        <v>822</v>
      </c>
      <c r="D1396" s="1964" t="s">
        <v>60</v>
      </c>
      <c r="E1396" s="1964">
        <v>1</v>
      </c>
      <c r="F1396" s="1904">
        <v>0</v>
      </c>
      <c r="G1396" s="1905">
        <f t="shared" si="96"/>
        <v>0</v>
      </c>
      <c r="H1396" s="441"/>
    </row>
    <row r="1397" spans="2:8" s="439" customFormat="1" ht="14.25">
      <c r="B1397" s="1893"/>
      <c r="C1397" s="2012"/>
      <c r="D1397" s="1964"/>
      <c r="E1397" s="1964"/>
      <c r="F1397" s="1904">
        <v>0</v>
      </c>
      <c r="G1397" s="1905">
        <f t="shared" si="96"/>
        <v>0</v>
      </c>
      <c r="H1397" s="441"/>
    </row>
    <row r="1398" spans="2:8" s="439" customFormat="1" ht="28.5">
      <c r="B1398" s="2005" t="s">
        <v>774</v>
      </c>
      <c r="C1398" s="2016" t="s">
        <v>771</v>
      </c>
      <c r="D1398" s="1997" t="s">
        <v>397</v>
      </c>
      <c r="E1398" s="1997">
        <v>64</v>
      </c>
      <c r="F1398" s="1904">
        <v>0</v>
      </c>
      <c r="G1398" s="1905">
        <f t="shared" si="96"/>
        <v>0</v>
      </c>
      <c r="H1398" s="441"/>
    </row>
    <row r="1399" spans="2:8" s="439" customFormat="1" ht="14.25">
      <c r="B1399" s="2017"/>
      <c r="C1399" s="2016"/>
      <c r="D1399" s="1997"/>
      <c r="E1399" s="1997"/>
      <c r="F1399" s="1904">
        <v>0</v>
      </c>
      <c r="G1399" s="1905">
        <f t="shared" si="96"/>
        <v>0</v>
      </c>
      <c r="H1399" s="441"/>
    </row>
    <row r="1400" spans="2:8" s="439" customFormat="1" ht="14.25">
      <c r="B1400" s="2005" t="s">
        <v>776</v>
      </c>
      <c r="C1400" s="2016" t="s">
        <v>773</v>
      </c>
      <c r="D1400" s="1997" t="s">
        <v>397</v>
      </c>
      <c r="E1400" s="1997">
        <v>33.6</v>
      </c>
      <c r="F1400" s="1904">
        <v>0</v>
      </c>
      <c r="G1400" s="1905">
        <f t="shared" si="96"/>
        <v>0</v>
      </c>
      <c r="H1400" s="441"/>
    </row>
    <row r="1401" spans="2:8" s="439" customFormat="1" ht="14.25">
      <c r="B1401" s="2017"/>
      <c r="C1401" s="2016"/>
      <c r="D1401" s="1997"/>
      <c r="E1401" s="1997"/>
      <c r="F1401" s="1904">
        <v>0</v>
      </c>
      <c r="G1401" s="1905">
        <f t="shared" si="96"/>
        <v>0</v>
      </c>
      <c r="H1401" s="441"/>
    </row>
    <row r="1402" spans="2:8" s="439" customFormat="1" ht="28.5">
      <c r="B1402" s="2005" t="s">
        <v>778</v>
      </c>
      <c r="C1402" s="2016" t="s">
        <v>775</v>
      </c>
      <c r="D1402" s="1997" t="s">
        <v>252</v>
      </c>
      <c r="E1402" s="1997">
        <v>3</v>
      </c>
      <c r="F1402" s="1904">
        <v>0</v>
      </c>
      <c r="G1402" s="1905">
        <f t="shared" si="96"/>
        <v>0</v>
      </c>
      <c r="H1402" s="441"/>
    </row>
    <row r="1403" spans="2:8" s="439" customFormat="1" ht="14.25">
      <c r="B1403" s="1893"/>
      <c r="C1403" s="2012"/>
      <c r="D1403" s="1964"/>
      <c r="E1403" s="1964"/>
      <c r="F1403" s="1904">
        <v>0</v>
      </c>
      <c r="G1403" s="1905">
        <f t="shared" si="96"/>
        <v>0</v>
      </c>
      <c r="H1403" s="441"/>
    </row>
    <row r="1404" spans="2:8" s="439" customFormat="1" ht="42.75">
      <c r="B1404" s="1893" t="s">
        <v>780</v>
      </c>
      <c r="C1404" s="2012" t="s">
        <v>777</v>
      </c>
      <c r="D1404" s="1964" t="s">
        <v>397</v>
      </c>
      <c r="E1404" s="1964">
        <v>35</v>
      </c>
      <c r="F1404" s="1904">
        <v>0</v>
      </c>
      <c r="G1404" s="1905">
        <f t="shared" si="96"/>
        <v>0</v>
      </c>
      <c r="H1404" s="441"/>
    </row>
    <row r="1405" spans="2:8" s="439" customFormat="1" ht="42.75">
      <c r="B1405" s="2005" t="s">
        <v>823</v>
      </c>
      <c r="C1405" s="2016" t="s">
        <v>779</v>
      </c>
      <c r="D1405" s="1997" t="s">
        <v>397</v>
      </c>
      <c r="E1405" s="1997">
        <v>32</v>
      </c>
      <c r="F1405" s="1904">
        <v>0</v>
      </c>
      <c r="G1405" s="1905">
        <f t="shared" si="96"/>
        <v>0</v>
      </c>
      <c r="H1405" s="441"/>
    </row>
    <row r="1406" spans="2:8" s="439" customFormat="1" ht="14.25">
      <c r="B1406" s="1893"/>
      <c r="C1406" s="2012"/>
      <c r="D1406" s="1964"/>
      <c r="E1406" s="1964"/>
      <c r="F1406" s="1904"/>
      <c r="G1406" s="1905"/>
      <c r="H1406" s="441"/>
    </row>
    <row r="1407" spans="2:8" s="439" customFormat="1" ht="15">
      <c r="B1407" s="2010" t="s">
        <v>782</v>
      </c>
      <c r="C1407" s="2011" t="s">
        <v>783</v>
      </c>
      <c r="D1407" s="1964"/>
      <c r="E1407" s="1964"/>
      <c r="F1407" s="1904"/>
      <c r="G1407" s="1905"/>
      <c r="H1407" s="441"/>
    </row>
    <row r="1408" spans="2:8" s="439" customFormat="1" ht="14.25">
      <c r="B1408" s="1893"/>
      <c r="C1408" s="2012"/>
      <c r="D1408" s="1964"/>
      <c r="E1408" s="1964"/>
      <c r="F1408" s="1904"/>
      <c r="G1408" s="1905"/>
      <c r="H1408" s="441"/>
    </row>
    <row r="1409" spans="2:8" s="439" customFormat="1" ht="28.5">
      <c r="B1409" s="1893" t="s">
        <v>784</v>
      </c>
      <c r="C1409" s="2012" t="s">
        <v>785</v>
      </c>
      <c r="D1409" s="1964" t="s">
        <v>60</v>
      </c>
      <c r="E1409" s="1964">
        <v>1</v>
      </c>
      <c r="F1409" s="1904">
        <v>0</v>
      </c>
      <c r="G1409" s="1905">
        <f t="shared" ref="G1409:G1415" si="97">E1409*F1409</f>
        <v>0</v>
      </c>
      <c r="H1409" s="441"/>
    </row>
    <row r="1410" spans="2:8" s="439" customFormat="1" ht="14.25">
      <c r="B1410" s="1893"/>
      <c r="C1410" s="2012"/>
      <c r="D1410" s="1964"/>
      <c r="E1410" s="1964"/>
      <c r="F1410" s="1904"/>
      <c r="G1410" s="1905"/>
      <c r="H1410" s="441"/>
    </row>
    <row r="1411" spans="2:8" s="439" customFormat="1" ht="28.5">
      <c r="B1411" s="1893" t="s">
        <v>786</v>
      </c>
      <c r="C1411" s="2012" t="s">
        <v>787</v>
      </c>
      <c r="D1411" s="1964" t="s">
        <v>60</v>
      </c>
      <c r="E1411" s="1964">
        <v>1</v>
      </c>
      <c r="F1411" s="1904">
        <v>0</v>
      </c>
      <c r="G1411" s="1905">
        <f t="shared" si="97"/>
        <v>0</v>
      </c>
      <c r="H1411" s="441"/>
    </row>
    <row r="1412" spans="2:8" s="439" customFormat="1" ht="14.25">
      <c r="B1412" s="1893"/>
      <c r="C1412" s="2012"/>
      <c r="D1412" s="1964"/>
      <c r="E1412" s="1964"/>
      <c r="F1412" s="1904"/>
      <c r="G1412" s="1905"/>
      <c r="H1412" s="441"/>
    </row>
    <row r="1413" spans="2:8" s="439" customFormat="1" ht="42.75">
      <c r="B1413" s="2024" t="s">
        <v>788</v>
      </c>
      <c r="C1413" s="2012" t="s">
        <v>824</v>
      </c>
      <c r="D1413" s="1874" t="s">
        <v>60</v>
      </c>
      <c r="E1413" s="1874">
        <v>1</v>
      </c>
      <c r="F1413" s="1904">
        <v>0</v>
      </c>
      <c r="G1413" s="1905">
        <f t="shared" si="97"/>
        <v>0</v>
      </c>
      <c r="H1413" s="441"/>
    </row>
    <row r="1414" spans="2:8" s="439" customFormat="1" ht="14.25">
      <c r="B1414" s="1893"/>
      <c r="C1414" s="2012"/>
      <c r="D1414" s="1964"/>
      <c r="E1414" s="1964"/>
      <c r="F1414" s="1904"/>
      <c r="G1414" s="1905"/>
      <c r="H1414" s="441"/>
    </row>
    <row r="1415" spans="2:8" s="439" customFormat="1" ht="28.5">
      <c r="B1415" s="1893" t="s">
        <v>790</v>
      </c>
      <c r="C1415" s="2012" t="s">
        <v>789</v>
      </c>
      <c r="D1415" s="1964" t="s">
        <v>60</v>
      </c>
      <c r="E1415" s="1964">
        <v>1</v>
      </c>
      <c r="F1415" s="1904">
        <v>0</v>
      </c>
      <c r="G1415" s="1905">
        <f t="shared" si="97"/>
        <v>0</v>
      </c>
      <c r="H1415" s="441"/>
    </row>
    <row r="1416" spans="2:8" s="439" customFormat="1" ht="15" thickBot="1">
      <c r="B1416" s="1893"/>
      <c r="C1416" s="2012"/>
      <c r="D1416" s="1964"/>
      <c r="E1416" s="1964"/>
      <c r="F1416" s="1904"/>
      <c r="G1416" s="1905"/>
      <c r="H1416" s="441"/>
    </row>
    <row r="1417" spans="2:8" s="439" customFormat="1" ht="13.5" thickTop="1">
      <c r="B1417" s="557"/>
      <c r="C1417" s="1760"/>
      <c r="D1417" s="1972"/>
      <c r="E1417" s="1972"/>
      <c r="F1417" s="1973"/>
      <c r="G1417" s="1974"/>
      <c r="H1417" s="441"/>
    </row>
    <row r="1418" spans="2:8" s="439" customFormat="1" ht="15.75">
      <c r="B1418" s="2463" t="s">
        <v>2206</v>
      </c>
      <c r="C1418" s="2464"/>
      <c r="D1418" s="2464"/>
      <c r="E1418" s="2464"/>
      <c r="F1418" s="2465"/>
      <c r="G1418" s="2025"/>
      <c r="H1418" s="441"/>
    </row>
    <row r="1419" spans="2:8" s="439" customFormat="1" ht="18">
      <c r="B1419" s="1854"/>
      <c r="C1419" s="1856"/>
      <c r="D1419" s="1995"/>
      <c r="E1419" s="1949"/>
      <c r="F1419" s="1950"/>
      <c r="G1419" s="1951"/>
      <c r="H1419" s="441"/>
    </row>
    <row r="1420" spans="2:8" s="439" customFormat="1" ht="14.25">
      <c r="B1420" s="1857"/>
      <c r="C1420" s="2002"/>
      <c r="D1420" s="1997"/>
      <c r="E1420" s="1955"/>
      <c r="F1420" s="1956"/>
      <c r="G1420" s="1957"/>
      <c r="H1420" s="441"/>
    </row>
    <row r="1421" spans="2:8" s="439" customFormat="1" ht="15">
      <c r="B1421" s="2003" t="s">
        <v>564</v>
      </c>
      <c r="C1421" s="2004" t="s">
        <v>741</v>
      </c>
      <c r="D1421" s="1997"/>
      <c r="E1421" s="1997"/>
      <c r="F1421" s="1956"/>
      <c r="G1421" s="1957"/>
      <c r="H1421" s="441"/>
    </row>
    <row r="1422" spans="2:8" s="439" customFormat="1" ht="15">
      <c r="B1422" s="2003"/>
      <c r="C1422" s="2004"/>
      <c r="D1422" s="1997"/>
      <c r="E1422" s="1997"/>
      <c r="F1422" s="1956"/>
      <c r="G1422" s="1957"/>
      <c r="H1422" s="441"/>
    </row>
    <row r="1423" spans="2:8" s="439" customFormat="1" ht="14.25">
      <c r="B1423" s="2005" t="s">
        <v>742</v>
      </c>
      <c r="C1423" s="2006" t="s">
        <v>743</v>
      </c>
      <c r="D1423" s="1997" t="s">
        <v>60</v>
      </c>
      <c r="E1423" s="1997">
        <v>1</v>
      </c>
      <c r="F1423" s="1904">
        <v>0</v>
      </c>
      <c r="G1423" s="1905">
        <f t="shared" ref="G1423:G1475" si="98">E1423*F1423</f>
        <v>0</v>
      </c>
      <c r="H1423" s="441"/>
    </row>
    <row r="1424" spans="2:8" s="439" customFormat="1" ht="14.25">
      <c r="B1424" s="2005"/>
      <c r="C1424" s="2006"/>
      <c r="D1424" s="1997"/>
      <c r="E1424" s="1997"/>
      <c r="F1424" s="1904"/>
      <c r="G1424" s="1905"/>
      <c r="H1424" s="441"/>
    </row>
    <row r="1425" spans="2:8" s="439" customFormat="1" ht="14.25">
      <c r="B1425" s="2005" t="s">
        <v>744</v>
      </c>
      <c r="C1425" s="2006" t="s">
        <v>745</v>
      </c>
      <c r="D1425" s="1997" t="s">
        <v>397</v>
      </c>
      <c r="E1425" s="1997">
        <v>20</v>
      </c>
      <c r="F1425" s="1904">
        <v>0</v>
      </c>
      <c r="G1425" s="1905">
        <f t="shared" si="98"/>
        <v>0</v>
      </c>
      <c r="H1425" s="441"/>
    </row>
    <row r="1426" spans="2:8" s="439" customFormat="1" ht="14.25">
      <c r="B1426" s="1893"/>
      <c r="C1426" s="2007"/>
      <c r="D1426" s="1964"/>
      <c r="E1426" s="1964"/>
      <c r="F1426" s="1904"/>
      <c r="G1426" s="1905"/>
      <c r="H1426" s="441"/>
    </row>
    <row r="1427" spans="2:8" s="439" customFormat="1" ht="28.5">
      <c r="B1427" s="1893" t="s">
        <v>746</v>
      </c>
      <c r="C1427" s="2008" t="s">
        <v>747</v>
      </c>
      <c r="D1427" s="1964" t="s">
        <v>60</v>
      </c>
      <c r="E1427" s="1964">
        <v>1</v>
      </c>
      <c r="F1427" s="1904">
        <v>0</v>
      </c>
      <c r="G1427" s="1905">
        <f t="shared" si="98"/>
        <v>0</v>
      </c>
      <c r="H1427" s="441"/>
    </row>
    <row r="1428" spans="2:8" s="439" customFormat="1" ht="14.25">
      <c r="B1428" s="1893"/>
      <c r="C1428" s="2007"/>
      <c r="D1428" s="1964"/>
      <c r="E1428" s="1964"/>
      <c r="F1428" s="1904"/>
      <c r="G1428" s="1905"/>
      <c r="H1428" s="441"/>
    </row>
    <row r="1429" spans="2:8" s="439" customFormat="1" ht="42.75">
      <c r="B1429" s="2005" t="s">
        <v>748</v>
      </c>
      <c r="C1429" s="2009" t="s">
        <v>749</v>
      </c>
      <c r="D1429" s="1997" t="s">
        <v>60</v>
      </c>
      <c r="E1429" s="1997">
        <v>1</v>
      </c>
      <c r="F1429" s="1904">
        <v>0</v>
      </c>
      <c r="G1429" s="1905">
        <f t="shared" si="98"/>
        <v>0</v>
      </c>
      <c r="H1429" s="441"/>
    </row>
    <row r="1430" spans="2:8" s="439" customFormat="1" ht="14.25">
      <c r="B1430" s="2005"/>
      <c r="C1430" s="2002"/>
      <c r="D1430" s="1997"/>
      <c r="E1430" s="1997"/>
      <c r="F1430" s="1904"/>
      <c r="G1430" s="1905"/>
      <c r="H1430" s="441"/>
    </row>
    <row r="1431" spans="2:8" s="439" customFormat="1" ht="15">
      <c r="B1431" s="2010" t="s">
        <v>644</v>
      </c>
      <c r="C1431" s="2011" t="s">
        <v>750</v>
      </c>
      <c r="D1431" s="1964"/>
      <c r="E1431" s="1964"/>
      <c r="F1431" s="1904"/>
      <c r="G1431" s="1905"/>
      <c r="H1431" s="441"/>
    </row>
    <row r="1432" spans="2:8" s="439" customFormat="1" ht="14.25">
      <c r="B1432" s="1893"/>
      <c r="C1432" s="2007"/>
      <c r="D1432" s="1964"/>
      <c r="E1432" s="1964"/>
      <c r="F1432" s="1904"/>
      <c r="G1432" s="1905"/>
      <c r="H1432" s="441"/>
    </row>
    <row r="1433" spans="2:8" s="439" customFormat="1" ht="85.5">
      <c r="B1433" s="1893" t="s">
        <v>751</v>
      </c>
      <c r="C1433" s="2012" t="s">
        <v>752</v>
      </c>
      <c r="D1433" s="1964" t="s">
        <v>397</v>
      </c>
      <c r="E1433" s="1964">
        <v>2</v>
      </c>
      <c r="F1433" s="1904">
        <v>0</v>
      </c>
      <c r="G1433" s="1905">
        <f t="shared" si="98"/>
        <v>0</v>
      </c>
      <c r="H1433" s="441"/>
    </row>
    <row r="1434" spans="2:8" s="439" customFormat="1" ht="14.25">
      <c r="B1434" s="1893"/>
      <c r="C1434" s="2013"/>
      <c r="D1434" s="1964"/>
      <c r="E1434" s="1964"/>
      <c r="F1434" s="1904"/>
      <c r="G1434" s="1905"/>
      <c r="H1434" s="441"/>
    </row>
    <row r="1435" spans="2:8" s="439" customFormat="1" ht="85.5">
      <c r="B1435" s="1893" t="s">
        <v>753</v>
      </c>
      <c r="C1435" s="2012" t="s">
        <v>754</v>
      </c>
      <c r="D1435" s="1964" t="s">
        <v>397</v>
      </c>
      <c r="E1435" s="1964">
        <v>18</v>
      </c>
      <c r="F1435" s="1904">
        <v>0</v>
      </c>
      <c r="G1435" s="1905">
        <f t="shared" si="98"/>
        <v>0</v>
      </c>
      <c r="H1435" s="441"/>
    </row>
    <row r="1436" spans="2:8" s="439" customFormat="1" ht="14.25">
      <c r="B1436" s="1893"/>
      <c r="C1436" s="2013"/>
      <c r="D1436" s="1964"/>
      <c r="E1436" s="1964"/>
      <c r="F1436" s="1904"/>
      <c r="G1436" s="1905"/>
      <c r="H1436" s="441"/>
    </row>
    <row r="1437" spans="2:8" s="439" customFormat="1" ht="57">
      <c r="B1437" s="1893" t="s">
        <v>755</v>
      </c>
      <c r="C1437" s="2012" t="s">
        <v>805</v>
      </c>
      <c r="D1437" s="1964" t="s">
        <v>60</v>
      </c>
      <c r="E1437" s="1964">
        <v>1</v>
      </c>
      <c r="F1437" s="1904">
        <v>0</v>
      </c>
      <c r="G1437" s="1905">
        <f t="shared" si="98"/>
        <v>0</v>
      </c>
      <c r="H1437" s="441"/>
    </row>
    <row r="1438" spans="2:8" s="439" customFormat="1" ht="14.25">
      <c r="B1438" s="1893"/>
      <c r="C1438" s="2013"/>
      <c r="D1438" s="1964"/>
      <c r="E1438" s="1964"/>
      <c r="F1438" s="1904"/>
      <c r="G1438" s="1905"/>
      <c r="H1438" s="441"/>
    </row>
    <row r="1439" spans="2:8" s="439" customFormat="1" ht="57">
      <c r="B1439" s="1893" t="s">
        <v>757</v>
      </c>
      <c r="C1439" s="2012" t="s">
        <v>825</v>
      </c>
      <c r="D1439" s="1964" t="s">
        <v>60</v>
      </c>
      <c r="E1439" s="1964">
        <v>1</v>
      </c>
      <c r="F1439" s="1904">
        <v>0</v>
      </c>
      <c r="G1439" s="1905">
        <f t="shared" si="98"/>
        <v>0</v>
      </c>
      <c r="H1439" s="441"/>
    </row>
    <row r="1440" spans="2:8" s="439" customFormat="1" ht="14.25">
      <c r="B1440" s="1893"/>
      <c r="C1440" s="2013"/>
      <c r="D1440" s="1964"/>
      <c r="E1440" s="1964"/>
      <c r="F1440" s="1904"/>
      <c r="G1440" s="1905"/>
      <c r="H1440" s="441"/>
    </row>
    <row r="1441" spans="2:8" s="439" customFormat="1" ht="72.75">
      <c r="B1441" s="1893" t="s">
        <v>759</v>
      </c>
      <c r="C1441" s="2012" t="s">
        <v>826</v>
      </c>
      <c r="D1441" s="1964" t="s">
        <v>60</v>
      </c>
      <c r="E1441" s="1964">
        <v>1</v>
      </c>
      <c r="F1441" s="1904">
        <v>0</v>
      </c>
      <c r="G1441" s="1905">
        <f t="shared" si="98"/>
        <v>0</v>
      </c>
      <c r="H1441" s="441"/>
    </row>
    <row r="1442" spans="2:8" s="439" customFormat="1" ht="14.25">
      <c r="B1442" s="1893"/>
      <c r="C1442" s="2013"/>
      <c r="D1442" s="1964"/>
      <c r="E1442" s="1964"/>
      <c r="F1442" s="1904"/>
      <c r="G1442" s="1905"/>
      <c r="H1442" s="441"/>
    </row>
    <row r="1443" spans="2:8" s="439" customFormat="1" ht="71.25">
      <c r="B1443" s="1893" t="s">
        <v>761</v>
      </c>
      <c r="C1443" s="2012" t="s">
        <v>758</v>
      </c>
      <c r="D1443" s="1964" t="s">
        <v>60</v>
      </c>
      <c r="E1443" s="1964">
        <v>1</v>
      </c>
      <c r="F1443" s="1904">
        <v>0</v>
      </c>
      <c r="G1443" s="1905">
        <f t="shared" si="98"/>
        <v>0</v>
      </c>
      <c r="H1443" s="441"/>
    </row>
    <row r="1444" spans="2:8" s="439" customFormat="1" ht="14.25">
      <c r="B1444" s="1893"/>
      <c r="C1444" s="2012"/>
      <c r="D1444" s="1964"/>
      <c r="E1444" s="2014"/>
      <c r="F1444" s="1904"/>
      <c r="G1444" s="1905"/>
      <c r="H1444" s="441"/>
    </row>
    <row r="1445" spans="2:8" s="439" customFormat="1" ht="128.25">
      <c r="B1445" s="1893" t="s">
        <v>808</v>
      </c>
      <c r="C1445" s="2012" t="s">
        <v>760</v>
      </c>
      <c r="D1445" s="1964" t="s">
        <v>60</v>
      </c>
      <c r="E1445" s="1964">
        <v>1</v>
      </c>
      <c r="F1445" s="1904">
        <v>0</v>
      </c>
      <c r="G1445" s="1905">
        <f t="shared" si="98"/>
        <v>0</v>
      </c>
      <c r="H1445" s="441"/>
    </row>
    <row r="1446" spans="2:8" s="439" customFormat="1" ht="14.25">
      <c r="B1446" s="1893"/>
      <c r="C1446" s="2012"/>
      <c r="D1446" s="1964"/>
      <c r="E1446" s="2014"/>
      <c r="F1446" s="1904"/>
      <c r="G1446" s="1905"/>
      <c r="H1446" s="441"/>
    </row>
    <row r="1447" spans="2:8" s="439" customFormat="1" ht="15">
      <c r="B1447" s="2010" t="s">
        <v>647</v>
      </c>
      <c r="C1447" s="2011" t="s">
        <v>48</v>
      </c>
      <c r="D1447" s="1964"/>
      <c r="E1447" s="2014"/>
      <c r="F1447" s="1904"/>
      <c r="G1447" s="1905"/>
      <c r="H1447" s="441"/>
    </row>
    <row r="1448" spans="2:8" s="439" customFormat="1" ht="14.25">
      <c r="B1448" s="2015"/>
      <c r="C1448" s="2012"/>
      <c r="D1448" s="1964"/>
      <c r="E1448" s="1964"/>
      <c r="F1448" s="1904"/>
      <c r="G1448" s="1905"/>
      <c r="H1448" s="441"/>
    </row>
    <row r="1449" spans="2:8" s="439" customFormat="1" ht="16.5">
      <c r="B1449" s="1893" t="s">
        <v>762</v>
      </c>
      <c r="C1449" s="2013" t="s">
        <v>763</v>
      </c>
      <c r="D1449" s="1964" t="s">
        <v>397</v>
      </c>
      <c r="E1449" s="1964">
        <v>35</v>
      </c>
      <c r="F1449" s="1904">
        <v>0</v>
      </c>
      <c r="G1449" s="1905">
        <f t="shared" si="98"/>
        <v>0</v>
      </c>
      <c r="H1449" s="441"/>
    </row>
    <row r="1450" spans="2:8" s="439" customFormat="1" ht="14.25">
      <c r="B1450" s="1893"/>
      <c r="C1450" s="2012"/>
      <c r="D1450" s="1964"/>
      <c r="E1450" s="1964"/>
      <c r="F1450" s="1904"/>
      <c r="G1450" s="1905"/>
      <c r="H1450" s="441"/>
    </row>
    <row r="1451" spans="2:8" s="439" customFormat="1" ht="45">
      <c r="B1451" s="1893" t="s">
        <v>764</v>
      </c>
      <c r="C1451" s="2012" t="s">
        <v>765</v>
      </c>
      <c r="D1451" s="1964" t="s">
        <v>397</v>
      </c>
      <c r="E1451" s="1964">
        <v>20</v>
      </c>
      <c r="F1451" s="1904">
        <v>0</v>
      </c>
      <c r="G1451" s="1905">
        <f t="shared" si="98"/>
        <v>0</v>
      </c>
      <c r="H1451" s="441"/>
    </row>
    <row r="1452" spans="2:8" s="439" customFormat="1" ht="14.25">
      <c r="B1452" s="1893"/>
      <c r="C1452" s="2012"/>
      <c r="D1452" s="1964"/>
      <c r="E1452" s="1964"/>
      <c r="F1452" s="1904"/>
      <c r="G1452" s="1905"/>
      <c r="H1452" s="441"/>
    </row>
    <row r="1453" spans="2:8" s="439" customFormat="1" ht="42.75">
      <c r="B1453" s="1893" t="s">
        <v>766</v>
      </c>
      <c r="C1453" s="2012" t="s">
        <v>827</v>
      </c>
      <c r="D1453" s="1964" t="s">
        <v>60</v>
      </c>
      <c r="E1453" s="1964">
        <v>1</v>
      </c>
      <c r="F1453" s="1904">
        <v>0</v>
      </c>
      <c r="G1453" s="1905">
        <f t="shared" si="98"/>
        <v>0</v>
      </c>
      <c r="H1453" s="441"/>
    </row>
    <row r="1454" spans="2:8" s="439" customFormat="1" ht="14.25">
      <c r="B1454" s="1893"/>
      <c r="C1454" s="2012"/>
      <c r="D1454" s="1964"/>
      <c r="E1454" s="1964"/>
      <c r="F1454" s="1904"/>
      <c r="G1454" s="1905"/>
      <c r="H1454" s="441"/>
    </row>
    <row r="1455" spans="2:8" s="439" customFormat="1" ht="42.75">
      <c r="B1455" s="1893" t="s">
        <v>768</v>
      </c>
      <c r="C1455" s="2012" t="s">
        <v>828</v>
      </c>
      <c r="D1455" s="1964" t="s">
        <v>60</v>
      </c>
      <c r="E1455" s="1964">
        <v>1</v>
      </c>
      <c r="F1455" s="1904">
        <v>0</v>
      </c>
      <c r="G1455" s="1905">
        <f t="shared" si="98"/>
        <v>0</v>
      </c>
      <c r="H1455" s="441"/>
    </row>
    <row r="1456" spans="2:8" s="439" customFormat="1" ht="14.25">
      <c r="B1456" s="1893"/>
      <c r="C1456" s="2012"/>
      <c r="D1456" s="1964"/>
      <c r="E1456" s="1964"/>
      <c r="F1456" s="1904"/>
      <c r="G1456" s="1905"/>
      <c r="H1456" s="441"/>
    </row>
    <row r="1457" spans="2:8" s="439" customFormat="1" ht="15">
      <c r="B1457" s="1893" t="s">
        <v>770</v>
      </c>
      <c r="C1457" s="2012" t="s">
        <v>813</v>
      </c>
      <c r="D1457" s="2021"/>
      <c r="E1457" s="2021"/>
      <c r="F1457" s="1904"/>
      <c r="G1457" s="1905"/>
      <c r="H1457" s="441"/>
    </row>
    <row r="1458" spans="2:8" s="439" customFormat="1" ht="200.25">
      <c r="B1458" s="2023" t="s">
        <v>669</v>
      </c>
      <c r="C1458" s="1860" t="s">
        <v>829</v>
      </c>
      <c r="D1458" s="1960" t="s">
        <v>252</v>
      </c>
      <c r="E1458" s="1960">
        <v>1</v>
      </c>
      <c r="F1458" s="1904">
        <v>0</v>
      </c>
      <c r="G1458" s="1905">
        <f t="shared" si="98"/>
        <v>0</v>
      </c>
      <c r="H1458" s="441"/>
    </row>
    <row r="1459" spans="2:8" s="439" customFormat="1" ht="99.75">
      <c r="B1459" s="2023" t="s">
        <v>669</v>
      </c>
      <c r="C1459" s="1860" t="s">
        <v>830</v>
      </c>
      <c r="D1459" s="1960" t="s">
        <v>252</v>
      </c>
      <c r="E1459" s="1960">
        <v>1</v>
      </c>
      <c r="F1459" s="1904">
        <v>0</v>
      </c>
      <c r="G1459" s="1905">
        <f t="shared" si="98"/>
        <v>0</v>
      </c>
      <c r="H1459" s="441"/>
    </row>
    <row r="1460" spans="2:8" s="439" customFormat="1" ht="14.25">
      <c r="B1460" s="1893"/>
      <c r="C1460" s="2012"/>
      <c r="D1460" s="1964"/>
      <c r="E1460" s="1964"/>
      <c r="F1460" s="1904"/>
      <c r="G1460" s="1905"/>
      <c r="H1460" s="441"/>
    </row>
    <row r="1461" spans="2:8" s="439" customFormat="1" ht="15">
      <c r="B1461" s="1893" t="s">
        <v>772</v>
      </c>
      <c r="C1461" s="2012" t="s">
        <v>816</v>
      </c>
      <c r="D1461" s="2021"/>
      <c r="E1461" s="2021"/>
      <c r="F1461" s="1904"/>
      <c r="G1461" s="1905"/>
      <c r="H1461" s="441"/>
    </row>
    <row r="1462" spans="2:8" s="439" customFormat="1" ht="42.75">
      <c r="B1462" s="1893" t="s">
        <v>568</v>
      </c>
      <c r="C1462" s="2012" t="s">
        <v>817</v>
      </c>
      <c r="D1462" s="1964" t="s">
        <v>252</v>
      </c>
      <c r="E1462" s="1964">
        <v>1</v>
      </c>
      <c r="F1462" s="1904">
        <v>0</v>
      </c>
      <c r="G1462" s="1905">
        <f t="shared" si="98"/>
        <v>0</v>
      </c>
      <c r="H1462" s="441"/>
    </row>
    <row r="1463" spans="2:8" s="439" customFormat="1" ht="42.75">
      <c r="B1463" s="1893" t="s">
        <v>568</v>
      </c>
      <c r="C1463" s="2012" t="s">
        <v>818</v>
      </c>
      <c r="D1463" s="1964" t="s">
        <v>252</v>
      </c>
      <c r="E1463" s="1964">
        <v>1</v>
      </c>
      <c r="F1463" s="1904">
        <v>0</v>
      </c>
      <c r="G1463" s="1905">
        <f t="shared" si="98"/>
        <v>0</v>
      </c>
      <c r="H1463" s="441"/>
    </row>
    <row r="1464" spans="2:8" s="439" customFormat="1" ht="14.25">
      <c r="B1464" s="1893" t="s">
        <v>568</v>
      </c>
      <c r="C1464" s="2012" t="s">
        <v>819</v>
      </c>
      <c r="D1464" s="1964" t="s">
        <v>252</v>
      </c>
      <c r="E1464" s="1964">
        <v>1</v>
      </c>
      <c r="F1464" s="1904">
        <v>0</v>
      </c>
      <c r="G1464" s="1905">
        <f t="shared" si="98"/>
        <v>0</v>
      </c>
      <c r="H1464" s="441"/>
    </row>
    <row r="1465" spans="2:8" s="439" customFormat="1" ht="57">
      <c r="B1465" s="1893" t="s">
        <v>568</v>
      </c>
      <c r="C1465" s="2012" t="s">
        <v>820</v>
      </c>
      <c r="D1465" s="1964" t="s">
        <v>252</v>
      </c>
      <c r="E1465" s="1964">
        <v>1</v>
      </c>
      <c r="F1465" s="1904">
        <v>0</v>
      </c>
      <c r="G1465" s="1905">
        <f t="shared" si="98"/>
        <v>0</v>
      </c>
      <c r="H1465" s="441"/>
    </row>
    <row r="1466" spans="2:8" s="439" customFormat="1" ht="28.5">
      <c r="B1466" s="1893" t="s">
        <v>568</v>
      </c>
      <c r="C1466" s="2012" t="s">
        <v>821</v>
      </c>
      <c r="D1466" s="1964" t="s">
        <v>60</v>
      </c>
      <c r="E1466" s="1964">
        <v>1</v>
      </c>
      <c r="F1466" s="1904">
        <v>0</v>
      </c>
      <c r="G1466" s="1905">
        <f t="shared" si="98"/>
        <v>0</v>
      </c>
      <c r="H1466" s="441"/>
    </row>
    <row r="1467" spans="2:8" s="439" customFormat="1" ht="28.5">
      <c r="B1467" s="1893" t="s">
        <v>568</v>
      </c>
      <c r="C1467" s="2012" t="s">
        <v>822</v>
      </c>
      <c r="D1467" s="1964" t="s">
        <v>60</v>
      </c>
      <c r="E1467" s="1964">
        <v>1</v>
      </c>
      <c r="F1467" s="1904">
        <v>0</v>
      </c>
      <c r="G1467" s="1905">
        <f t="shared" si="98"/>
        <v>0</v>
      </c>
      <c r="H1467" s="441"/>
    </row>
    <row r="1468" spans="2:8" s="439" customFormat="1" ht="14.25">
      <c r="B1468" s="1893"/>
      <c r="C1468" s="2012"/>
      <c r="D1468" s="1964"/>
      <c r="E1468" s="1964"/>
      <c r="F1468" s="1904"/>
      <c r="G1468" s="1905"/>
      <c r="H1468" s="441"/>
    </row>
    <row r="1469" spans="2:8" s="439" customFormat="1" ht="28.5">
      <c r="B1469" s="2005" t="s">
        <v>774</v>
      </c>
      <c r="C1469" s="2016" t="s">
        <v>771</v>
      </c>
      <c r="D1469" s="1997" t="s">
        <v>397</v>
      </c>
      <c r="E1469" s="1997">
        <v>40</v>
      </c>
      <c r="F1469" s="1904">
        <v>0</v>
      </c>
      <c r="G1469" s="1905">
        <f t="shared" si="98"/>
        <v>0</v>
      </c>
      <c r="H1469" s="441"/>
    </row>
    <row r="1470" spans="2:8" s="439" customFormat="1" ht="14.25">
      <c r="B1470" s="540"/>
      <c r="C1470" s="1761"/>
      <c r="D1470" s="1996"/>
      <c r="E1470" s="1952"/>
      <c r="F1470" s="1904"/>
      <c r="G1470" s="1905"/>
      <c r="H1470" s="441"/>
    </row>
    <row r="1471" spans="2:8" s="439" customFormat="1" ht="14.25">
      <c r="B1471" s="2005" t="s">
        <v>776</v>
      </c>
      <c r="C1471" s="2016" t="s">
        <v>773</v>
      </c>
      <c r="D1471" s="1997" t="s">
        <v>397</v>
      </c>
      <c r="E1471" s="1997">
        <v>21</v>
      </c>
      <c r="F1471" s="1904">
        <v>0</v>
      </c>
      <c r="G1471" s="1905">
        <f t="shared" si="98"/>
        <v>0</v>
      </c>
      <c r="H1471" s="441"/>
    </row>
    <row r="1472" spans="2:8" s="439" customFormat="1" ht="14.25">
      <c r="B1472" s="2017"/>
      <c r="C1472" s="2016"/>
      <c r="D1472" s="1997"/>
      <c r="E1472" s="1997"/>
      <c r="F1472" s="1904"/>
      <c r="G1472" s="1905"/>
      <c r="H1472" s="441"/>
    </row>
    <row r="1473" spans="2:8" s="439" customFormat="1" ht="28.5">
      <c r="B1473" s="2005" t="s">
        <v>778</v>
      </c>
      <c r="C1473" s="2016" t="s">
        <v>775</v>
      </c>
      <c r="D1473" s="1997" t="s">
        <v>252</v>
      </c>
      <c r="E1473" s="1997">
        <v>3</v>
      </c>
      <c r="F1473" s="1904">
        <v>0</v>
      </c>
      <c r="G1473" s="1905">
        <f t="shared" si="98"/>
        <v>0</v>
      </c>
      <c r="H1473" s="441"/>
    </row>
    <row r="1474" spans="2:8" s="439" customFormat="1" ht="14.25">
      <c r="B1474" s="1893"/>
      <c r="C1474" s="2012"/>
      <c r="D1474" s="1964"/>
      <c r="E1474" s="1964"/>
      <c r="F1474" s="1904"/>
      <c r="G1474" s="1905"/>
      <c r="H1474" s="441"/>
    </row>
    <row r="1475" spans="2:8" s="439" customFormat="1" ht="42.75">
      <c r="B1475" s="1893" t="s">
        <v>780</v>
      </c>
      <c r="C1475" s="2012" t="s">
        <v>777</v>
      </c>
      <c r="D1475" s="1964" t="s">
        <v>397</v>
      </c>
      <c r="E1475" s="1964">
        <v>25</v>
      </c>
      <c r="F1475" s="1904">
        <v>0</v>
      </c>
      <c r="G1475" s="1905">
        <f t="shared" si="98"/>
        <v>0</v>
      </c>
      <c r="H1475" s="441"/>
    </row>
    <row r="1476" spans="2:8" s="439" customFormat="1" ht="14.25">
      <c r="B1476" s="1857"/>
      <c r="C1476" s="2002"/>
      <c r="D1476" s="1997"/>
      <c r="E1476" s="1955"/>
      <c r="F1476" s="1904"/>
      <c r="G1476" s="1905"/>
      <c r="H1476" s="441"/>
    </row>
    <row r="1477" spans="2:8" s="439" customFormat="1" ht="42.75">
      <c r="B1477" s="2005" t="s">
        <v>823</v>
      </c>
      <c r="C1477" s="2016" t="s">
        <v>779</v>
      </c>
      <c r="D1477" s="1997" t="s">
        <v>397</v>
      </c>
      <c r="E1477" s="1997">
        <v>20</v>
      </c>
      <c r="F1477" s="1904">
        <v>0</v>
      </c>
      <c r="G1477" s="1905">
        <f t="shared" ref="G1477:G1487" si="99">E1477*F1477</f>
        <v>0</v>
      </c>
      <c r="H1477" s="441"/>
    </row>
    <row r="1478" spans="2:8" s="439" customFormat="1" ht="14.25">
      <c r="B1478" s="540"/>
      <c r="C1478" s="1761"/>
      <c r="D1478" s="1996"/>
      <c r="E1478" s="1952"/>
      <c r="F1478" s="1904"/>
      <c r="G1478" s="1905"/>
      <c r="H1478" s="441"/>
    </row>
    <row r="1479" spans="2:8" s="439" customFormat="1" ht="15">
      <c r="B1479" s="2010" t="s">
        <v>782</v>
      </c>
      <c r="C1479" s="2011" t="s">
        <v>783</v>
      </c>
      <c r="D1479" s="1964"/>
      <c r="E1479" s="1964"/>
      <c r="F1479" s="1904"/>
      <c r="G1479" s="1905"/>
      <c r="H1479" s="441"/>
    </row>
    <row r="1480" spans="2:8" s="439" customFormat="1" ht="14.25">
      <c r="B1480" s="1893"/>
      <c r="C1480" s="2012"/>
      <c r="D1480" s="1964"/>
      <c r="E1480" s="1964"/>
      <c r="F1480" s="1904"/>
      <c r="G1480" s="1905"/>
      <c r="H1480" s="441"/>
    </row>
    <row r="1481" spans="2:8" s="439" customFormat="1" ht="28.5">
      <c r="B1481" s="1893" t="s">
        <v>784</v>
      </c>
      <c r="C1481" s="2012" t="s">
        <v>785</v>
      </c>
      <c r="D1481" s="1964" t="s">
        <v>60</v>
      </c>
      <c r="E1481" s="1964">
        <v>1</v>
      </c>
      <c r="F1481" s="1904">
        <v>0</v>
      </c>
      <c r="G1481" s="1905">
        <f t="shared" si="99"/>
        <v>0</v>
      </c>
      <c r="H1481" s="441"/>
    </row>
    <row r="1482" spans="2:8" s="439" customFormat="1" ht="14.25">
      <c r="B1482" s="1893"/>
      <c r="C1482" s="2012"/>
      <c r="D1482" s="1964"/>
      <c r="E1482" s="1964"/>
      <c r="F1482" s="1904"/>
      <c r="G1482" s="1905"/>
      <c r="H1482" s="441"/>
    </row>
    <row r="1483" spans="2:8" s="439" customFormat="1" ht="28.5">
      <c r="B1483" s="1893" t="s">
        <v>786</v>
      </c>
      <c r="C1483" s="2012" t="s">
        <v>787</v>
      </c>
      <c r="D1483" s="1964" t="s">
        <v>60</v>
      </c>
      <c r="E1483" s="1964">
        <v>1</v>
      </c>
      <c r="F1483" s="1904">
        <v>0</v>
      </c>
      <c r="G1483" s="1905">
        <f t="shared" si="99"/>
        <v>0</v>
      </c>
      <c r="H1483" s="441"/>
    </row>
    <row r="1484" spans="2:8" s="439" customFormat="1" ht="14.25">
      <c r="B1484" s="1893"/>
      <c r="C1484" s="2012"/>
      <c r="D1484" s="1964"/>
      <c r="E1484" s="1964"/>
      <c r="F1484" s="1904"/>
      <c r="G1484" s="1905"/>
      <c r="H1484" s="441"/>
    </row>
    <row r="1485" spans="2:8" s="439" customFormat="1" ht="42.75">
      <c r="B1485" s="2024" t="s">
        <v>788</v>
      </c>
      <c r="C1485" s="2012" t="s">
        <v>824</v>
      </c>
      <c r="D1485" s="1874" t="s">
        <v>60</v>
      </c>
      <c r="E1485" s="1874">
        <v>1</v>
      </c>
      <c r="F1485" s="1904">
        <v>0</v>
      </c>
      <c r="G1485" s="1905">
        <f t="shared" si="99"/>
        <v>0</v>
      </c>
      <c r="H1485" s="441"/>
    </row>
    <row r="1486" spans="2:8" s="439" customFormat="1" ht="14.25">
      <c r="B1486" s="1893"/>
      <c r="C1486" s="2012"/>
      <c r="D1486" s="1964"/>
      <c r="E1486" s="1964"/>
      <c r="F1486" s="1904"/>
      <c r="G1486" s="1905"/>
      <c r="H1486" s="441"/>
    </row>
    <row r="1487" spans="2:8" s="439" customFormat="1" ht="28.5">
      <c r="B1487" s="1893" t="s">
        <v>790</v>
      </c>
      <c r="C1487" s="2012" t="s">
        <v>789</v>
      </c>
      <c r="D1487" s="1964" t="s">
        <v>60</v>
      </c>
      <c r="E1487" s="1964">
        <v>1</v>
      </c>
      <c r="F1487" s="1904">
        <v>0</v>
      </c>
      <c r="G1487" s="1905">
        <f t="shared" si="99"/>
        <v>0</v>
      </c>
      <c r="H1487" s="441"/>
    </row>
    <row r="1488" spans="2:8" s="439" customFormat="1" ht="14.25">
      <c r="B1488" s="1893"/>
      <c r="C1488" s="2012"/>
      <c r="D1488" s="1964"/>
      <c r="E1488" s="1964"/>
      <c r="F1488" s="1969"/>
      <c r="G1488" s="1957"/>
      <c r="H1488" s="441"/>
    </row>
    <row r="1489" spans="2:8" s="439" customFormat="1" ht="15.75">
      <c r="B1489" s="2466" t="s">
        <v>2204</v>
      </c>
      <c r="C1489" s="2466"/>
      <c r="D1489" s="2466"/>
      <c r="E1489" s="2466"/>
      <c r="F1489" s="2466"/>
      <c r="G1489" s="2000">
        <f>SUM(G637:G1487)</f>
        <v>0</v>
      </c>
      <c r="H1489" s="441"/>
    </row>
    <row r="1490" spans="2:8" s="439" customFormat="1" ht="14.25">
      <c r="B1490" s="556"/>
      <c r="C1490" s="1763"/>
      <c r="D1490" s="1998"/>
      <c r="E1490" s="1486"/>
      <c r="F1490" s="1977"/>
      <c r="G1490" s="1978"/>
      <c r="H1490" s="441"/>
    </row>
    <row r="1491" spans="2:8" s="439" customFormat="1">
      <c r="B1491" s="438"/>
      <c r="C1491" s="1734"/>
      <c r="D1491" s="1982"/>
      <c r="E1491" s="1906"/>
      <c r="F1491" s="399"/>
      <c r="G1491" s="387"/>
      <c r="H1491" s="441"/>
    </row>
    <row r="1492" spans="2:8" s="439" customFormat="1">
      <c r="B1492" s="438"/>
      <c r="C1492" s="1734"/>
      <c r="D1492" s="1982"/>
      <c r="E1492" s="1906"/>
      <c r="F1492" s="399"/>
      <c r="G1492" s="387"/>
      <c r="H1492" s="441"/>
    </row>
  </sheetData>
  <mergeCells count="23">
    <mergeCell ref="B1489:F1489"/>
    <mergeCell ref="B1347:F1347"/>
    <mergeCell ref="B1418:F1418"/>
    <mergeCell ref="B1312:F1312"/>
    <mergeCell ref="B1249:F1249"/>
    <mergeCell ref="H725:H730"/>
    <mergeCell ref="B633:G633"/>
    <mergeCell ref="C725:C730"/>
    <mergeCell ref="B846:F846"/>
    <mergeCell ref="B1047:F1047"/>
    <mergeCell ref="B630:G630"/>
    <mergeCell ref="B629:G629"/>
    <mergeCell ref="C5:F5"/>
    <mergeCell ref="B49:G49"/>
    <mergeCell ref="B142:G142"/>
    <mergeCell ref="B143:G143"/>
    <mergeCell ref="B144:G144"/>
    <mergeCell ref="B623:G623"/>
    <mergeCell ref="B624:G624"/>
    <mergeCell ref="B625:G625"/>
    <mergeCell ref="B626:G626"/>
    <mergeCell ref="B627:G627"/>
    <mergeCell ref="B628:G628"/>
  </mergeCells>
  <pageMargins left="0.75" right="0.75" top="1" bottom="1" header="0" footer="0"/>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187E-A829-49EE-8853-7C01CC1547C0}">
  <sheetPr>
    <tabColor rgb="FFFFFF00"/>
  </sheetPr>
  <dimension ref="B1:AH517"/>
  <sheetViews>
    <sheetView topLeftCell="A34" zoomScaleNormal="100" zoomScaleSheetLayoutView="55" workbookViewId="0">
      <selection activeCell="C47" sqref="C47"/>
    </sheetView>
  </sheetViews>
  <sheetFormatPr defaultColWidth="11.140625" defaultRowHeight="12.75"/>
  <cols>
    <col min="1" max="1" width="4.7109375" style="101" customWidth="1"/>
    <col min="2" max="2" width="9.140625" style="657" customWidth="1"/>
    <col min="3" max="3" width="50.42578125" style="658" customWidth="1"/>
    <col min="4" max="4" width="6.140625" style="658" bestFit="1" customWidth="1"/>
    <col min="5" max="5" width="10.28515625" style="659" customWidth="1"/>
    <col min="6" max="6" width="13.5703125" style="660" customWidth="1"/>
    <col min="7" max="7" width="14.28515625" style="661" customWidth="1"/>
    <col min="8" max="8" width="5.85546875" style="73" customWidth="1"/>
    <col min="9" max="9" width="14.5703125" style="73" customWidth="1"/>
    <col min="10" max="10" width="10" style="73" customWidth="1"/>
    <col min="11" max="11" width="6.42578125" style="73" customWidth="1"/>
    <col min="12" max="12" width="2.42578125" style="73" customWidth="1"/>
    <col min="13" max="34" width="9.140625" style="73" customWidth="1"/>
    <col min="35" max="256" width="11.140625" style="101"/>
    <col min="257" max="257" width="9.140625" style="101" customWidth="1"/>
    <col min="258" max="258" width="50.42578125" style="101" customWidth="1"/>
    <col min="259" max="259" width="6.140625" style="101" bestFit="1" customWidth="1"/>
    <col min="260" max="260" width="10.28515625" style="101" customWidth="1"/>
    <col min="261" max="261" width="13.5703125" style="101" customWidth="1"/>
    <col min="262" max="262" width="14.28515625" style="101" customWidth="1"/>
    <col min="263" max="263" width="5.85546875" style="101" customWidth="1"/>
    <col min="264" max="264" width="14.5703125" style="101" customWidth="1"/>
    <col min="265" max="265" width="10" style="101" customWidth="1"/>
    <col min="266" max="266" width="6.42578125" style="101" customWidth="1"/>
    <col min="267" max="267" width="2.42578125" style="101" customWidth="1"/>
    <col min="268" max="268" width="9.140625" style="101" customWidth="1"/>
    <col min="269" max="269" width="12.5703125" style="101" customWidth="1"/>
    <col min="270" max="290" width="9.140625" style="101" customWidth="1"/>
    <col min="291" max="512" width="11.140625" style="101"/>
    <col min="513" max="513" width="9.140625" style="101" customWidth="1"/>
    <col min="514" max="514" width="50.42578125" style="101" customWidth="1"/>
    <col min="515" max="515" width="6.140625" style="101" bestFit="1" customWidth="1"/>
    <col min="516" max="516" width="10.28515625" style="101" customWidth="1"/>
    <col min="517" max="517" width="13.5703125" style="101" customWidth="1"/>
    <col min="518" max="518" width="14.28515625" style="101" customWidth="1"/>
    <col min="519" max="519" width="5.85546875" style="101" customWidth="1"/>
    <col min="520" max="520" width="14.5703125" style="101" customWidth="1"/>
    <col min="521" max="521" width="10" style="101" customWidth="1"/>
    <col min="522" max="522" width="6.42578125" style="101" customWidth="1"/>
    <col min="523" max="523" width="2.42578125" style="101" customWidth="1"/>
    <col min="524" max="524" width="9.140625" style="101" customWidth="1"/>
    <col min="525" max="525" width="12.5703125" style="101" customWidth="1"/>
    <col min="526" max="546" width="9.140625" style="101" customWidth="1"/>
    <col min="547" max="768" width="11.140625" style="101"/>
    <col min="769" max="769" width="9.140625" style="101" customWidth="1"/>
    <col min="770" max="770" width="50.42578125" style="101" customWidth="1"/>
    <col min="771" max="771" width="6.140625" style="101" bestFit="1" customWidth="1"/>
    <col min="772" max="772" width="10.28515625" style="101" customWidth="1"/>
    <col min="773" max="773" width="13.5703125" style="101" customWidth="1"/>
    <col min="774" max="774" width="14.28515625" style="101" customWidth="1"/>
    <col min="775" max="775" width="5.85546875" style="101" customWidth="1"/>
    <col min="776" max="776" width="14.5703125" style="101" customWidth="1"/>
    <col min="777" max="777" width="10" style="101" customWidth="1"/>
    <col min="778" max="778" width="6.42578125" style="101" customWidth="1"/>
    <col min="779" max="779" width="2.42578125" style="101" customWidth="1"/>
    <col min="780" max="780" width="9.140625" style="101" customWidth="1"/>
    <col min="781" max="781" width="12.5703125" style="101" customWidth="1"/>
    <col min="782" max="802" width="9.140625" style="101" customWidth="1"/>
    <col min="803" max="1024" width="11.140625" style="101"/>
    <col min="1025" max="1025" width="9.140625" style="101" customWidth="1"/>
    <col min="1026" max="1026" width="50.42578125" style="101" customWidth="1"/>
    <col min="1027" max="1027" width="6.140625" style="101" bestFit="1" customWidth="1"/>
    <col min="1028" max="1028" width="10.28515625" style="101" customWidth="1"/>
    <col min="1029" max="1029" width="13.5703125" style="101" customWidth="1"/>
    <col min="1030" max="1030" width="14.28515625" style="101" customWidth="1"/>
    <col min="1031" max="1031" width="5.85546875" style="101" customWidth="1"/>
    <col min="1032" max="1032" width="14.5703125" style="101" customWidth="1"/>
    <col min="1033" max="1033" width="10" style="101" customWidth="1"/>
    <col min="1034" max="1034" width="6.42578125" style="101" customWidth="1"/>
    <col min="1035" max="1035" width="2.42578125" style="101" customWidth="1"/>
    <col min="1036" max="1036" width="9.140625" style="101" customWidth="1"/>
    <col min="1037" max="1037" width="12.5703125" style="101" customWidth="1"/>
    <col min="1038" max="1058" width="9.140625" style="101" customWidth="1"/>
    <col min="1059" max="1280" width="11.140625" style="101"/>
    <col min="1281" max="1281" width="9.140625" style="101" customWidth="1"/>
    <col min="1282" max="1282" width="50.42578125" style="101" customWidth="1"/>
    <col min="1283" max="1283" width="6.140625" style="101" bestFit="1" customWidth="1"/>
    <col min="1284" max="1284" width="10.28515625" style="101" customWidth="1"/>
    <col min="1285" max="1285" width="13.5703125" style="101" customWidth="1"/>
    <col min="1286" max="1286" width="14.28515625" style="101" customWidth="1"/>
    <col min="1287" max="1287" width="5.85546875" style="101" customWidth="1"/>
    <col min="1288" max="1288" width="14.5703125" style="101" customWidth="1"/>
    <col min="1289" max="1289" width="10" style="101" customWidth="1"/>
    <col min="1290" max="1290" width="6.42578125" style="101" customWidth="1"/>
    <col min="1291" max="1291" width="2.42578125" style="101" customWidth="1"/>
    <col min="1292" max="1292" width="9.140625" style="101" customWidth="1"/>
    <col min="1293" max="1293" width="12.5703125" style="101" customWidth="1"/>
    <col min="1294" max="1314" width="9.140625" style="101" customWidth="1"/>
    <col min="1315" max="1536" width="11.140625" style="101"/>
    <col min="1537" max="1537" width="9.140625" style="101" customWidth="1"/>
    <col min="1538" max="1538" width="50.42578125" style="101" customWidth="1"/>
    <col min="1539" max="1539" width="6.140625" style="101" bestFit="1" customWidth="1"/>
    <col min="1540" max="1540" width="10.28515625" style="101" customWidth="1"/>
    <col min="1541" max="1541" width="13.5703125" style="101" customWidth="1"/>
    <col min="1542" max="1542" width="14.28515625" style="101" customWidth="1"/>
    <col min="1543" max="1543" width="5.85546875" style="101" customWidth="1"/>
    <col min="1544" max="1544" width="14.5703125" style="101" customWidth="1"/>
    <col min="1545" max="1545" width="10" style="101" customWidth="1"/>
    <col min="1546" max="1546" width="6.42578125" style="101" customWidth="1"/>
    <col min="1547" max="1547" width="2.42578125" style="101" customWidth="1"/>
    <col min="1548" max="1548" width="9.140625" style="101" customWidth="1"/>
    <col min="1549" max="1549" width="12.5703125" style="101" customWidth="1"/>
    <col min="1550" max="1570" width="9.140625" style="101" customWidth="1"/>
    <col min="1571" max="1792" width="11.140625" style="101"/>
    <col min="1793" max="1793" width="9.140625" style="101" customWidth="1"/>
    <col min="1794" max="1794" width="50.42578125" style="101" customWidth="1"/>
    <col min="1795" max="1795" width="6.140625" style="101" bestFit="1" customWidth="1"/>
    <col min="1796" max="1796" width="10.28515625" style="101" customWidth="1"/>
    <col min="1797" max="1797" width="13.5703125" style="101" customWidth="1"/>
    <col min="1798" max="1798" width="14.28515625" style="101" customWidth="1"/>
    <col min="1799" max="1799" width="5.85546875" style="101" customWidth="1"/>
    <col min="1800" max="1800" width="14.5703125" style="101" customWidth="1"/>
    <col min="1801" max="1801" width="10" style="101" customWidth="1"/>
    <col min="1802" max="1802" width="6.42578125" style="101" customWidth="1"/>
    <col min="1803" max="1803" width="2.42578125" style="101" customWidth="1"/>
    <col min="1804" max="1804" width="9.140625" style="101" customWidth="1"/>
    <col min="1805" max="1805" width="12.5703125" style="101" customWidth="1"/>
    <col min="1806" max="1826" width="9.140625" style="101" customWidth="1"/>
    <col min="1827" max="2048" width="11.140625" style="101"/>
    <col min="2049" max="2049" width="9.140625" style="101" customWidth="1"/>
    <col min="2050" max="2050" width="50.42578125" style="101" customWidth="1"/>
    <col min="2051" max="2051" width="6.140625" style="101" bestFit="1" customWidth="1"/>
    <col min="2052" max="2052" width="10.28515625" style="101" customWidth="1"/>
    <col min="2053" max="2053" width="13.5703125" style="101" customWidth="1"/>
    <col min="2054" max="2054" width="14.28515625" style="101" customWidth="1"/>
    <col min="2055" max="2055" width="5.85546875" style="101" customWidth="1"/>
    <col min="2056" max="2056" width="14.5703125" style="101" customWidth="1"/>
    <col min="2057" max="2057" width="10" style="101" customWidth="1"/>
    <col min="2058" max="2058" width="6.42578125" style="101" customWidth="1"/>
    <col min="2059" max="2059" width="2.42578125" style="101" customWidth="1"/>
    <col min="2060" max="2060" width="9.140625" style="101" customWidth="1"/>
    <col min="2061" max="2061" width="12.5703125" style="101" customWidth="1"/>
    <col min="2062" max="2082" width="9.140625" style="101" customWidth="1"/>
    <col min="2083" max="2304" width="11.140625" style="101"/>
    <col min="2305" max="2305" width="9.140625" style="101" customWidth="1"/>
    <col min="2306" max="2306" width="50.42578125" style="101" customWidth="1"/>
    <col min="2307" max="2307" width="6.140625" style="101" bestFit="1" customWidth="1"/>
    <col min="2308" max="2308" width="10.28515625" style="101" customWidth="1"/>
    <col min="2309" max="2309" width="13.5703125" style="101" customWidth="1"/>
    <col min="2310" max="2310" width="14.28515625" style="101" customWidth="1"/>
    <col min="2311" max="2311" width="5.85546875" style="101" customWidth="1"/>
    <col min="2312" max="2312" width="14.5703125" style="101" customWidth="1"/>
    <col min="2313" max="2313" width="10" style="101" customWidth="1"/>
    <col min="2314" max="2314" width="6.42578125" style="101" customWidth="1"/>
    <col min="2315" max="2315" width="2.42578125" style="101" customWidth="1"/>
    <col min="2316" max="2316" width="9.140625" style="101" customWidth="1"/>
    <col min="2317" max="2317" width="12.5703125" style="101" customWidth="1"/>
    <col min="2318" max="2338" width="9.140625" style="101" customWidth="1"/>
    <col min="2339" max="2560" width="11.140625" style="101"/>
    <col min="2561" max="2561" width="9.140625" style="101" customWidth="1"/>
    <col min="2562" max="2562" width="50.42578125" style="101" customWidth="1"/>
    <col min="2563" max="2563" width="6.140625" style="101" bestFit="1" customWidth="1"/>
    <col min="2564" max="2564" width="10.28515625" style="101" customWidth="1"/>
    <col min="2565" max="2565" width="13.5703125" style="101" customWidth="1"/>
    <col min="2566" max="2566" width="14.28515625" style="101" customWidth="1"/>
    <col min="2567" max="2567" width="5.85546875" style="101" customWidth="1"/>
    <col min="2568" max="2568" width="14.5703125" style="101" customWidth="1"/>
    <col min="2569" max="2569" width="10" style="101" customWidth="1"/>
    <col min="2570" max="2570" width="6.42578125" style="101" customWidth="1"/>
    <col min="2571" max="2571" width="2.42578125" style="101" customWidth="1"/>
    <col min="2572" max="2572" width="9.140625" style="101" customWidth="1"/>
    <col min="2573" max="2573" width="12.5703125" style="101" customWidth="1"/>
    <col min="2574" max="2594" width="9.140625" style="101" customWidth="1"/>
    <col min="2595" max="2816" width="11.140625" style="101"/>
    <col min="2817" max="2817" width="9.140625" style="101" customWidth="1"/>
    <col min="2818" max="2818" width="50.42578125" style="101" customWidth="1"/>
    <col min="2819" max="2819" width="6.140625" style="101" bestFit="1" customWidth="1"/>
    <col min="2820" max="2820" width="10.28515625" style="101" customWidth="1"/>
    <col min="2821" max="2821" width="13.5703125" style="101" customWidth="1"/>
    <col min="2822" max="2822" width="14.28515625" style="101" customWidth="1"/>
    <col min="2823" max="2823" width="5.85546875" style="101" customWidth="1"/>
    <col min="2824" max="2824" width="14.5703125" style="101" customWidth="1"/>
    <col min="2825" max="2825" width="10" style="101" customWidth="1"/>
    <col min="2826" max="2826" width="6.42578125" style="101" customWidth="1"/>
    <col min="2827" max="2827" width="2.42578125" style="101" customWidth="1"/>
    <col min="2828" max="2828" width="9.140625" style="101" customWidth="1"/>
    <col min="2829" max="2829" width="12.5703125" style="101" customWidth="1"/>
    <col min="2830" max="2850" width="9.140625" style="101" customWidth="1"/>
    <col min="2851" max="3072" width="11.140625" style="101"/>
    <col min="3073" max="3073" width="9.140625" style="101" customWidth="1"/>
    <col min="3074" max="3074" width="50.42578125" style="101" customWidth="1"/>
    <col min="3075" max="3075" width="6.140625" style="101" bestFit="1" customWidth="1"/>
    <col min="3076" max="3076" width="10.28515625" style="101" customWidth="1"/>
    <col min="3077" max="3077" width="13.5703125" style="101" customWidth="1"/>
    <col min="3078" max="3078" width="14.28515625" style="101" customWidth="1"/>
    <col min="3079" max="3079" width="5.85546875" style="101" customWidth="1"/>
    <col min="3080" max="3080" width="14.5703125" style="101" customWidth="1"/>
    <col min="3081" max="3081" width="10" style="101" customWidth="1"/>
    <col min="3082" max="3082" width="6.42578125" style="101" customWidth="1"/>
    <col min="3083" max="3083" width="2.42578125" style="101" customWidth="1"/>
    <col min="3084" max="3084" width="9.140625" style="101" customWidth="1"/>
    <col min="3085" max="3085" width="12.5703125" style="101" customWidth="1"/>
    <col min="3086" max="3106" width="9.140625" style="101" customWidth="1"/>
    <col min="3107" max="3328" width="11.140625" style="101"/>
    <col min="3329" max="3329" width="9.140625" style="101" customWidth="1"/>
    <col min="3330" max="3330" width="50.42578125" style="101" customWidth="1"/>
    <col min="3331" max="3331" width="6.140625" style="101" bestFit="1" customWidth="1"/>
    <col min="3332" max="3332" width="10.28515625" style="101" customWidth="1"/>
    <col min="3333" max="3333" width="13.5703125" style="101" customWidth="1"/>
    <col min="3334" max="3334" width="14.28515625" style="101" customWidth="1"/>
    <col min="3335" max="3335" width="5.85546875" style="101" customWidth="1"/>
    <col min="3336" max="3336" width="14.5703125" style="101" customWidth="1"/>
    <col min="3337" max="3337" width="10" style="101" customWidth="1"/>
    <col min="3338" max="3338" width="6.42578125" style="101" customWidth="1"/>
    <col min="3339" max="3339" width="2.42578125" style="101" customWidth="1"/>
    <col min="3340" max="3340" width="9.140625" style="101" customWidth="1"/>
    <col min="3341" max="3341" width="12.5703125" style="101" customWidth="1"/>
    <col min="3342" max="3362" width="9.140625" style="101" customWidth="1"/>
    <col min="3363" max="3584" width="11.140625" style="101"/>
    <col min="3585" max="3585" width="9.140625" style="101" customWidth="1"/>
    <col min="3586" max="3586" width="50.42578125" style="101" customWidth="1"/>
    <col min="3587" max="3587" width="6.140625" style="101" bestFit="1" customWidth="1"/>
    <col min="3588" max="3588" width="10.28515625" style="101" customWidth="1"/>
    <col min="3589" max="3589" width="13.5703125" style="101" customWidth="1"/>
    <col min="3590" max="3590" width="14.28515625" style="101" customWidth="1"/>
    <col min="3591" max="3591" width="5.85546875" style="101" customWidth="1"/>
    <col min="3592" max="3592" width="14.5703125" style="101" customWidth="1"/>
    <col min="3593" max="3593" width="10" style="101" customWidth="1"/>
    <col min="3594" max="3594" width="6.42578125" style="101" customWidth="1"/>
    <col min="3595" max="3595" width="2.42578125" style="101" customWidth="1"/>
    <col min="3596" max="3596" width="9.140625" style="101" customWidth="1"/>
    <col min="3597" max="3597" width="12.5703125" style="101" customWidth="1"/>
    <col min="3598" max="3618" width="9.140625" style="101" customWidth="1"/>
    <col min="3619" max="3840" width="11.140625" style="101"/>
    <col min="3841" max="3841" width="9.140625" style="101" customWidth="1"/>
    <col min="3842" max="3842" width="50.42578125" style="101" customWidth="1"/>
    <col min="3843" max="3843" width="6.140625" style="101" bestFit="1" customWidth="1"/>
    <col min="3844" max="3844" width="10.28515625" style="101" customWidth="1"/>
    <col min="3845" max="3845" width="13.5703125" style="101" customWidth="1"/>
    <col min="3846" max="3846" width="14.28515625" style="101" customWidth="1"/>
    <col min="3847" max="3847" width="5.85546875" style="101" customWidth="1"/>
    <col min="3848" max="3848" width="14.5703125" style="101" customWidth="1"/>
    <col min="3849" max="3849" width="10" style="101" customWidth="1"/>
    <col min="3850" max="3850" width="6.42578125" style="101" customWidth="1"/>
    <col min="3851" max="3851" width="2.42578125" style="101" customWidth="1"/>
    <col min="3852" max="3852" width="9.140625" style="101" customWidth="1"/>
    <col min="3853" max="3853" width="12.5703125" style="101" customWidth="1"/>
    <col min="3854" max="3874" width="9.140625" style="101" customWidth="1"/>
    <col min="3875" max="4096" width="11.140625" style="101"/>
    <col min="4097" max="4097" width="9.140625" style="101" customWidth="1"/>
    <col min="4098" max="4098" width="50.42578125" style="101" customWidth="1"/>
    <col min="4099" max="4099" width="6.140625" style="101" bestFit="1" customWidth="1"/>
    <col min="4100" max="4100" width="10.28515625" style="101" customWidth="1"/>
    <col min="4101" max="4101" width="13.5703125" style="101" customWidth="1"/>
    <col min="4102" max="4102" width="14.28515625" style="101" customWidth="1"/>
    <col min="4103" max="4103" width="5.85546875" style="101" customWidth="1"/>
    <col min="4104" max="4104" width="14.5703125" style="101" customWidth="1"/>
    <col min="4105" max="4105" width="10" style="101" customWidth="1"/>
    <col min="4106" max="4106" width="6.42578125" style="101" customWidth="1"/>
    <col min="4107" max="4107" width="2.42578125" style="101" customWidth="1"/>
    <col min="4108" max="4108" width="9.140625" style="101" customWidth="1"/>
    <col min="4109" max="4109" width="12.5703125" style="101" customWidth="1"/>
    <col min="4110" max="4130" width="9.140625" style="101" customWidth="1"/>
    <col min="4131" max="4352" width="11.140625" style="101"/>
    <col min="4353" max="4353" width="9.140625" style="101" customWidth="1"/>
    <col min="4354" max="4354" width="50.42578125" style="101" customWidth="1"/>
    <col min="4355" max="4355" width="6.140625" style="101" bestFit="1" customWidth="1"/>
    <col min="4356" max="4356" width="10.28515625" style="101" customWidth="1"/>
    <col min="4357" max="4357" width="13.5703125" style="101" customWidth="1"/>
    <col min="4358" max="4358" width="14.28515625" style="101" customWidth="1"/>
    <col min="4359" max="4359" width="5.85546875" style="101" customWidth="1"/>
    <col min="4360" max="4360" width="14.5703125" style="101" customWidth="1"/>
    <col min="4361" max="4361" width="10" style="101" customWidth="1"/>
    <col min="4362" max="4362" width="6.42578125" style="101" customWidth="1"/>
    <col min="4363" max="4363" width="2.42578125" style="101" customWidth="1"/>
    <col min="4364" max="4364" width="9.140625" style="101" customWidth="1"/>
    <col min="4365" max="4365" width="12.5703125" style="101" customWidth="1"/>
    <col min="4366" max="4386" width="9.140625" style="101" customWidth="1"/>
    <col min="4387" max="4608" width="11.140625" style="101"/>
    <col min="4609" max="4609" width="9.140625" style="101" customWidth="1"/>
    <col min="4610" max="4610" width="50.42578125" style="101" customWidth="1"/>
    <col min="4611" max="4611" width="6.140625" style="101" bestFit="1" customWidth="1"/>
    <col min="4612" max="4612" width="10.28515625" style="101" customWidth="1"/>
    <col min="4613" max="4613" width="13.5703125" style="101" customWidth="1"/>
    <col min="4614" max="4614" width="14.28515625" style="101" customWidth="1"/>
    <col min="4615" max="4615" width="5.85546875" style="101" customWidth="1"/>
    <col min="4616" max="4616" width="14.5703125" style="101" customWidth="1"/>
    <col min="4617" max="4617" width="10" style="101" customWidth="1"/>
    <col min="4618" max="4618" width="6.42578125" style="101" customWidth="1"/>
    <col min="4619" max="4619" width="2.42578125" style="101" customWidth="1"/>
    <col min="4620" max="4620" width="9.140625" style="101" customWidth="1"/>
    <col min="4621" max="4621" width="12.5703125" style="101" customWidth="1"/>
    <col min="4622" max="4642" width="9.140625" style="101" customWidth="1"/>
    <col min="4643" max="4864" width="11.140625" style="101"/>
    <col min="4865" max="4865" width="9.140625" style="101" customWidth="1"/>
    <col min="4866" max="4866" width="50.42578125" style="101" customWidth="1"/>
    <col min="4867" max="4867" width="6.140625" style="101" bestFit="1" customWidth="1"/>
    <col min="4868" max="4868" width="10.28515625" style="101" customWidth="1"/>
    <col min="4869" max="4869" width="13.5703125" style="101" customWidth="1"/>
    <col min="4870" max="4870" width="14.28515625" style="101" customWidth="1"/>
    <col min="4871" max="4871" width="5.85546875" style="101" customWidth="1"/>
    <col min="4872" max="4872" width="14.5703125" style="101" customWidth="1"/>
    <col min="4873" max="4873" width="10" style="101" customWidth="1"/>
    <col min="4874" max="4874" width="6.42578125" style="101" customWidth="1"/>
    <col min="4875" max="4875" width="2.42578125" style="101" customWidth="1"/>
    <col min="4876" max="4876" width="9.140625" style="101" customWidth="1"/>
    <col min="4877" max="4877" width="12.5703125" style="101" customWidth="1"/>
    <col min="4878" max="4898" width="9.140625" style="101" customWidth="1"/>
    <col min="4899" max="5120" width="11.140625" style="101"/>
    <col min="5121" max="5121" width="9.140625" style="101" customWidth="1"/>
    <col min="5122" max="5122" width="50.42578125" style="101" customWidth="1"/>
    <col min="5123" max="5123" width="6.140625" style="101" bestFit="1" customWidth="1"/>
    <col min="5124" max="5124" width="10.28515625" style="101" customWidth="1"/>
    <col min="5125" max="5125" width="13.5703125" style="101" customWidth="1"/>
    <col min="5126" max="5126" width="14.28515625" style="101" customWidth="1"/>
    <col min="5127" max="5127" width="5.85546875" style="101" customWidth="1"/>
    <col min="5128" max="5128" width="14.5703125" style="101" customWidth="1"/>
    <col min="5129" max="5129" width="10" style="101" customWidth="1"/>
    <col min="5130" max="5130" width="6.42578125" style="101" customWidth="1"/>
    <col min="5131" max="5131" width="2.42578125" style="101" customWidth="1"/>
    <col min="5132" max="5132" width="9.140625" style="101" customWidth="1"/>
    <col min="5133" max="5133" width="12.5703125" style="101" customWidth="1"/>
    <col min="5134" max="5154" width="9.140625" style="101" customWidth="1"/>
    <col min="5155" max="5376" width="11.140625" style="101"/>
    <col min="5377" max="5377" width="9.140625" style="101" customWidth="1"/>
    <col min="5378" max="5378" width="50.42578125" style="101" customWidth="1"/>
    <col min="5379" max="5379" width="6.140625" style="101" bestFit="1" customWidth="1"/>
    <col min="5380" max="5380" width="10.28515625" style="101" customWidth="1"/>
    <col min="5381" max="5381" width="13.5703125" style="101" customWidth="1"/>
    <col min="5382" max="5382" width="14.28515625" style="101" customWidth="1"/>
    <col min="5383" max="5383" width="5.85546875" style="101" customWidth="1"/>
    <col min="5384" max="5384" width="14.5703125" style="101" customWidth="1"/>
    <col min="5385" max="5385" width="10" style="101" customWidth="1"/>
    <col min="5386" max="5386" width="6.42578125" style="101" customWidth="1"/>
    <col min="5387" max="5387" width="2.42578125" style="101" customWidth="1"/>
    <col min="5388" max="5388" width="9.140625" style="101" customWidth="1"/>
    <col min="5389" max="5389" width="12.5703125" style="101" customWidth="1"/>
    <col min="5390" max="5410" width="9.140625" style="101" customWidth="1"/>
    <col min="5411" max="5632" width="11.140625" style="101"/>
    <col min="5633" max="5633" width="9.140625" style="101" customWidth="1"/>
    <col min="5634" max="5634" width="50.42578125" style="101" customWidth="1"/>
    <col min="5635" max="5635" width="6.140625" style="101" bestFit="1" customWidth="1"/>
    <col min="5636" max="5636" width="10.28515625" style="101" customWidth="1"/>
    <col min="5637" max="5637" width="13.5703125" style="101" customWidth="1"/>
    <col min="5638" max="5638" width="14.28515625" style="101" customWidth="1"/>
    <col min="5639" max="5639" width="5.85546875" style="101" customWidth="1"/>
    <col min="5640" max="5640" width="14.5703125" style="101" customWidth="1"/>
    <col min="5641" max="5641" width="10" style="101" customWidth="1"/>
    <col min="5642" max="5642" width="6.42578125" style="101" customWidth="1"/>
    <col min="5643" max="5643" width="2.42578125" style="101" customWidth="1"/>
    <col min="5644" max="5644" width="9.140625" style="101" customWidth="1"/>
    <col min="5645" max="5645" width="12.5703125" style="101" customWidth="1"/>
    <col min="5646" max="5666" width="9.140625" style="101" customWidth="1"/>
    <col min="5667" max="5888" width="11.140625" style="101"/>
    <col min="5889" max="5889" width="9.140625" style="101" customWidth="1"/>
    <col min="5890" max="5890" width="50.42578125" style="101" customWidth="1"/>
    <col min="5891" max="5891" width="6.140625" style="101" bestFit="1" customWidth="1"/>
    <col min="5892" max="5892" width="10.28515625" style="101" customWidth="1"/>
    <col min="5893" max="5893" width="13.5703125" style="101" customWidth="1"/>
    <col min="5894" max="5894" width="14.28515625" style="101" customWidth="1"/>
    <col min="5895" max="5895" width="5.85546875" style="101" customWidth="1"/>
    <col min="5896" max="5896" width="14.5703125" style="101" customWidth="1"/>
    <col min="5897" max="5897" width="10" style="101" customWidth="1"/>
    <col min="5898" max="5898" width="6.42578125" style="101" customWidth="1"/>
    <col min="5899" max="5899" width="2.42578125" style="101" customWidth="1"/>
    <col min="5900" max="5900" width="9.140625" style="101" customWidth="1"/>
    <col min="5901" max="5901" width="12.5703125" style="101" customWidth="1"/>
    <col min="5902" max="5922" width="9.140625" style="101" customWidth="1"/>
    <col min="5923" max="6144" width="11.140625" style="101"/>
    <col min="6145" max="6145" width="9.140625" style="101" customWidth="1"/>
    <col min="6146" max="6146" width="50.42578125" style="101" customWidth="1"/>
    <col min="6147" max="6147" width="6.140625" style="101" bestFit="1" customWidth="1"/>
    <col min="6148" max="6148" width="10.28515625" style="101" customWidth="1"/>
    <col min="6149" max="6149" width="13.5703125" style="101" customWidth="1"/>
    <col min="6150" max="6150" width="14.28515625" style="101" customWidth="1"/>
    <col min="6151" max="6151" width="5.85546875" style="101" customWidth="1"/>
    <col min="6152" max="6152" width="14.5703125" style="101" customWidth="1"/>
    <col min="6153" max="6153" width="10" style="101" customWidth="1"/>
    <col min="6154" max="6154" width="6.42578125" style="101" customWidth="1"/>
    <col min="6155" max="6155" width="2.42578125" style="101" customWidth="1"/>
    <col min="6156" max="6156" width="9.140625" style="101" customWidth="1"/>
    <col min="6157" max="6157" width="12.5703125" style="101" customWidth="1"/>
    <col min="6158" max="6178" width="9.140625" style="101" customWidth="1"/>
    <col min="6179" max="6400" width="11.140625" style="101"/>
    <col min="6401" max="6401" width="9.140625" style="101" customWidth="1"/>
    <col min="6402" max="6402" width="50.42578125" style="101" customWidth="1"/>
    <col min="6403" max="6403" width="6.140625" style="101" bestFit="1" customWidth="1"/>
    <col min="6404" max="6404" width="10.28515625" style="101" customWidth="1"/>
    <col min="6405" max="6405" width="13.5703125" style="101" customWidth="1"/>
    <col min="6406" max="6406" width="14.28515625" style="101" customWidth="1"/>
    <col min="6407" max="6407" width="5.85546875" style="101" customWidth="1"/>
    <col min="6408" max="6408" width="14.5703125" style="101" customWidth="1"/>
    <col min="6409" max="6409" width="10" style="101" customWidth="1"/>
    <col min="6410" max="6410" width="6.42578125" style="101" customWidth="1"/>
    <col min="6411" max="6411" width="2.42578125" style="101" customWidth="1"/>
    <col min="6412" max="6412" width="9.140625" style="101" customWidth="1"/>
    <col min="6413" max="6413" width="12.5703125" style="101" customWidth="1"/>
    <col min="6414" max="6434" width="9.140625" style="101" customWidth="1"/>
    <col min="6435" max="6656" width="11.140625" style="101"/>
    <col min="6657" max="6657" width="9.140625" style="101" customWidth="1"/>
    <col min="6658" max="6658" width="50.42578125" style="101" customWidth="1"/>
    <col min="6659" max="6659" width="6.140625" style="101" bestFit="1" customWidth="1"/>
    <col min="6660" max="6660" width="10.28515625" style="101" customWidth="1"/>
    <col min="6661" max="6661" width="13.5703125" style="101" customWidth="1"/>
    <col min="6662" max="6662" width="14.28515625" style="101" customWidth="1"/>
    <col min="6663" max="6663" width="5.85546875" style="101" customWidth="1"/>
    <col min="6664" max="6664" width="14.5703125" style="101" customWidth="1"/>
    <col min="6665" max="6665" width="10" style="101" customWidth="1"/>
    <col min="6666" max="6666" width="6.42578125" style="101" customWidth="1"/>
    <col min="6667" max="6667" width="2.42578125" style="101" customWidth="1"/>
    <col min="6668" max="6668" width="9.140625" style="101" customWidth="1"/>
    <col min="6669" max="6669" width="12.5703125" style="101" customWidth="1"/>
    <col min="6670" max="6690" width="9.140625" style="101" customWidth="1"/>
    <col min="6691" max="6912" width="11.140625" style="101"/>
    <col min="6913" max="6913" width="9.140625" style="101" customWidth="1"/>
    <col min="6914" max="6914" width="50.42578125" style="101" customWidth="1"/>
    <col min="6915" max="6915" width="6.140625" style="101" bestFit="1" customWidth="1"/>
    <col min="6916" max="6916" width="10.28515625" style="101" customWidth="1"/>
    <col min="6917" max="6917" width="13.5703125" style="101" customWidth="1"/>
    <col min="6918" max="6918" width="14.28515625" style="101" customWidth="1"/>
    <col min="6919" max="6919" width="5.85546875" style="101" customWidth="1"/>
    <col min="6920" max="6920" width="14.5703125" style="101" customWidth="1"/>
    <col min="6921" max="6921" width="10" style="101" customWidth="1"/>
    <col min="6922" max="6922" width="6.42578125" style="101" customWidth="1"/>
    <col min="6923" max="6923" width="2.42578125" style="101" customWidth="1"/>
    <col min="6924" max="6924" width="9.140625" style="101" customWidth="1"/>
    <col min="6925" max="6925" width="12.5703125" style="101" customWidth="1"/>
    <col min="6926" max="6946" width="9.140625" style="101" customWidth="1"/>
    <col min="6947" max="7168" width="11.140625" style="101"/>
    <col min="7169" max="7169" width="9.140625" style="101" customWidth="1"/>
    <col min="7170" max="7170" width="50.42578125" style="101" customWidth="1"/>
    <col min="7171" max="7171" width="6.140625" style="101" bestFit="1" customWidth="1"/>
    <col min="7172" max="7172" width="10.28515625" style="101" customWidth="1"/>
    <col min="7173" max="7173" width="13.5703125" style="101" customWidth="1"/>
    <col min="7174" max="7174" width="14.28515625" style="101" customWidth="1"/>
    <col min="7175" max="7175" width="5.85546875" style="101" customWidth="1"/>
    <col min="7176" max="7176" width="14.5703125" style="101" customWidth="1"/>
    <col min="7177" max="7177" width="10" style="101" customWidth="1"/>
    <col min="7178" max="7178" width="6.42578125" style="101" customWidth="1"/>
    <col min="7179" max="7179" width="2.42578125" style="101" customWidth="1"/>
    <col min="7180" max="7180" width="9.140625" style="101" customWidth="1"/>
    <col min="7181" max="7181" width="12.5703125" style="101" customWidth="1"/>
    <col min="7182" max="7202" width="9.140625" style="101" customWidth="1"/>
    <col min="7203" max="7424" width="11.140625" style="101"/>
    <col min="7425" max="7425" width="9.140625" style="101" customWidth="1"/>
    <col min="7426" max="7426" width="50.42578125" style="101" customWidth="1"/>
    <col min="7427" max="7427" width="6.140625" style="101" bestFit="1" customWidth="1"/>
    <col min="7428" max="7428" width="10.28515625" style="101" customWidth="1"/>
    <col min="7429" max="7429" width="13.5703125" style="101" customWidth="1"/>
    <col min="7430" max="7430" width="14.28515625" style="101" customWidth="1"/>
    <col min="7431" max="7431" width="5.85546875" style="101" customWidth="1"/>
    <col min="7432" max="7432" width="14.5703125" style="101" customWidth="1"/>
    <col min="7433" max="7433" width="10" style="101" customWidth="1"/>
    <col min="7434" max="7434" width="6.42578125" style="101" customWidth="1"/>
    <col min="7435" max="7435" width="2.42578125" style="101" customWidth="1"/>
    <col min="7436" max="7436" width="9.140625" style="101" customWidth="1"/>
    <col min="7437" max="7437" width="12.5703125" style="101" customWidth="1"/>
    <col min="7438" max="7458" width="9.140625" style="101" customWidth="1"/>
    <col min="7459" max="7680" width="11.140625" style="101"/>
    <col min="7681" max="7681" width="9.140625" style="101" customWidth="1"/>
    <col min="7682" max="7682" width="50.42578125" style="101" customWidth="1"/>
    <col min="7683" max="7683" width="6.140625" style="101" bestFit="1" customWidth="1"/>
    <col min="7684" max="7684" width="10.28515625" style="101" customWidth="1"/>
    <col min="7685" max="7685" width="13.5703125" style="101" customWidth="1"/>
    <col min="7686" max="7686" width="14.28515625" style="101" customWidth="1"/>
    <col min="7687" max="7687" width="5.85546875" style="101" customWidth="1"/>
    <col min="7688" max="7688" width="14.5703125" style="101" customWidth="1"/>
    <col min="7689" max="7689" width="10" style="101" customWidth="1"/>
    <col min="7690" max="7690" width="6.42578125" style="101" customWidth="1"/>
    <col min="7691" max="7691" width="2.42578125" style="101" customWidth="1"/>
    <col min="7692" max="7692" width="9.140625" style="101" customWidth="1"/>
    <col min="7693" max="7693" width="12.5703125" style="101" customWidth="1"/>
    <col min="7694" max="7714" width="9.140625" style="101" customWidth="1"/>
    <col min="7715" max="7936" width="11.140625" style="101"/>
    <col min="7937" max="7937" width="9.140625" style="101" customWidth="1"/>
    <col min="7938" max="7938" width="50.42578125" style="101" customWidth="1"/>
    <col min="7939" max="7939" width="6.140625" style="101" bestFit="1" customWidth="1"/>
    <col min="7940" max="7940" width="10.28515625" style="101" customWidth="1"/>
    <col min="7941" max="7941" width="13.5703125" style="101" customWidth="1"/>
    <col min="7942" max="7942" width="14.28515625" style="101" customWidth="1"/>
    <col min="7943" max="7943" width="5.85546875" style="101" customWidth="1"/>
    <col min="7944" max="7944" width="14.5703125" style="101" customWidth="1"/>
    <col min="7945" max="7945" width="10" style="101" customWidth="1"/>
    <col min="7946" max="7946" width="6.42578125" style="101" customWidth="1"/>
    <col min="7947" max="7947" width="2.42578125" style="101" customWidth="1"/>
    <col min="7948" max="7948" width="9.140625" style="101" customWidth="1"/>
    <col min="7949" max="7949" width="12.5703125" style="101" customWidth="1"/>
    <col min="7950" max="7970" width="9.140625" style="101" customWidth="1"/>
    <col min="7971" max="8192" width="11.140625" style="101"/>
    <col min="8193" max="8193" width="9.140625" style="101" customWidth="1"/>
    <col min="8194" max="8194" width="50.42578125" style="101" customWidth="1"/>
    <col min="8195" max="8195" width="6.140625" style="101" bestFit="1" customWidth="1"/>
    <col min="8196" max="8196" width="10.28515625" style="101" customWidth="1"/>
    <col min="8197" max="8197" width="13.5703125" style="101" customWidth="1"/>
    <col min="8198" max="8198" width="14.28515625" style="101" customWidth="1"/>
    <col min="8199" max="8199" width="5.85546875" style="101" customWidth="1"/>
    <col min="8200" max="8200" width="14.5703125" style="101" customWidth="1"/>
    <col min="8201" max="8201" width="10" style="101" customWidth="1"/>
    <col min="8202" max="8202" width="6.42578125" style="101" customWidth="1"/>
    <col min="8203" max="8203" width="2.42578125" style="101" customWidth="1"/>
    <col min="8204" max="8204" width="9.140625" style="101" customWidth="1"/>
    <col min="8205" max="8205" width="12.5703125" style="101" customWidth="1"/>
    <col min="8206" max="8226" width="9.140625" style="101" customWidth="1"/>
    <col min="8227" max="8448" width="11.140625" style="101"/>
    <col min="8449" max="8449" width="9.140625" style="101" customWidth="1"/>
    <col min="8450" max="8450" width="50.42578125" style="101" customWidth="1"/>
    <col min="8451" max="8451" width="6.140625" style="101" bestFit="1" customWidth="1"/>
    <col min="8452" max="8452" width="10.28515625" style="101" customWidth="1"/>
    <col min="8453" max="8453" width="13.5703125" style="101" customWidth="1"/>
    <col min="8454" max="8454" width="14.28515625" style="101" customWidth="1"/>
    <col min="8455" max="8455" width="5.85546875" style="101" customWidth="1"/>
    <col min="8456" max="8456" width="14.5703125" style="101" customWidth="1"/>
    <col min="8457" max="8457" width="10" style="101" customWidth="1"/>
    <col min="8458" max="8458" width="6.42578125" style="101" customWidth="1"/>
    <col min="8459" max="8459" width="2.42578125" style="101" customWidth="1"/>
    <col min="8460" max="8460" width="9.140625" style="101" customWidth="1"/>
    <col min="8461" max="8461" width="12.5703125" style="101" customWidth="1"/>
    <col min="8462" max="8482" width="9.140625" style="101" customWidth="1"/>
    <col min="8483" max="8704" width="11.140625" style="101"/>
    <col min="8705" max="8705" width="9.140625" style="101" customWidth="1"/>
    <col min="8706" max="8706" width="50.42578125" style="101" customWidth="1"/>
    <col min="8707" max="8707" width="6.140625" style="101" bestFit="1" customWidth="1"/>
    <col min="8708" max="8708" width="10.28515625" style="101" customWidth="1"/>
    <col min="8709" max="8709" width="13.5703125" style="101" customWidth="1"/>
    <col min="8710" max="8710" width="14.28515625" style="101" customWidth="1"/>
    <col min="8711" max="8711" width="5.85546875" style="101" customWidth="1"/>
    <col min="8712" max="8712" width="14.5703125" style="101" customWidth="1"/>
    <col min="8713" max="8713" width="10" style="101" customWidth="1"/>
    <col min="8714" max="8714" width="6.42578125" style="101" customWidth="1"/>
    <col min="8715" max="8715" width="2.42578125" style="101" customWidth="1"/>
    <col min="8716" max="8716" width="9.140625" style="101" customWidth="1"/>
    <col min="8717" max="8717" width="12.5703125" style="101" customWidth="1"/>
    <col min="8718" max="8738" width="9.140625" style="101" customWidth="1"/>
    <col min="8739" max="8960" width="11.140625" style="101"/>
    <col min="8961" max="8961" width="9.140625" style="101" customWidth="1"/>
    <col min="8962" max="8962" width="50.42578125" style="101" customWidth="1"/>
    <col min="8963" max="8963" width="6.140625" style="101" bestFit="1" customWidth="1"/>
    <col min="8964" max="8964" width="10.28515625" style="101" customWidth="1"/>
    <col min="8965" max="8965" width="13.5703125" style="101" customWidth="1"/>
    <col min="8966" max="8966" width="14.28515625" style="101" customWidth="1"/>
    <col min="8967" max="8967" width="5.85546875" style="101" customWidth="1"/>
    <col min="8968" max="8968" width="14.5703125" style="101" customWidth="1"/>
    <col min="8969" max="8969" width="10" style="101" customWidth="1"/>
    <col min="8970" max="8970" width="6.42578125" style="101" customWidth="1"/>
    <col min="8971" max="8971" width="2.42578125" style="101" customWidth="1"/>
    <col min="8972" max="8972" width="9.140625" style="101" customWidth="1"/>
    <col min="8973" max="8973" width="12.5703125" style="101" customWidth="1"/>
    <col min="8974" max="8994" width="9.140625" style="101" customWidth="1"/>
    <col min="8995" max="9216" width="11.140625" style="101"/>
    <col min="9217" max="9217" width="9.140625" style="101" customWidth="1"/>
    <col min="9218" max="9218" width="50.42578125" style="101" customWidth="1"/>
    <col min="9219" max="9219" width="6.140625" style="101" bestFit="1" customWidth="1"/>
    <col min="9220" max="9220" width="10.28515625" style="101" customWidth="1"/>
    <col min="9221" max="9221" width="13.5703125" style="101" customWidth="1"/>
    <col min="9222" max="9222" width="14.28515625" style="101" customWidth="1"/>
    <col min="9223" max="9223" width="5.85546875" style="101" customWidth="1"/>
    <col min="9224" max="9224" width="14.5703125" style="101" customWidth="1"/>
    <col min="9225" max="9225" width="10" style="101" customWidth="1"/>
    <col min="9226" max="9226" width="6.42578125" style="101" customWidth="1"/>
    <col min="9227" max="9227" width="2.42578125" style="101" customWidth="1"/>
    <col min="9228" max="9228" width="9.140625" style="101" customWidth="1"/>
    <col min="9229" max="9229" width="12.5703125" style="101" customWidth="1"/>
    <col min="9230" max="9250" width="9.140625" style="101" customWidth="1"/>
    <col min="9251" max="9472" width="11.140625" style="101"/>
    <col min="9473" max="9473" width="9.140625" style="101" customWidth="1"/>
    <col min="9474" max="9474" width="50.42578125" style="101" customWidth="1"/>
    <col min="9475" max="9475" width="6.140625" style="101" bestFit="1" customWidth="1"/>
    <col min="9476" max="9476" width="10.28515625" style="101" customWidth="1"/>
    <col min="9477" max="9477" width="13.5703125" style="101" customWidth="1"/>
    <col min="9478" max="9478" width="14.28515625" style="101" customWidth="1"/>
    <col min="9479" max="9479" width="5.85546875" style="101" customWidth="1"/>
    <col min="9480" max="9480" width="14.5703125" style="101" customWidth="1"/>
    <col min="9481" max="9481" width="10" style="101" customWidth="1"/>
    <col min="9482" max="9482" width="6.42578125" style="101" customWidth="1"/>
    <col min="9483" max="9483" width="2.42578125" style="101" customWidth="1"/>
    <col min="9484" max="9484" width="9.140625" style="101" customWidth="1"/>
    <col min="9485" max="9485" width="12.5703125" style="101" customWidth="1"/>
    <col min="9486" max="9506" width="9.140625" style="101" customWidth="1"/>
    <col min="9507" max="9728" width="11.140625" style="101"/>
    <col min="9729" max="9729" width="9.140625" style="101" customWidth="1"/>
    <col min="9730" max="9730" width="50.42578125" style="101" customWidth="1"/>
    <col min="9731" max="9731" width="6.140625" style="101" bestFit="1" customWidth="1"/>
    <col min="9732" max="9732" width="10.28515625" style="101" customWidth="1"/>
    <col min="9733" max="9733" width="13.5703125" style="101" customWidth="1"/>
    <col min="9734" max="9734" width="14.28515625" style="101" customWidth="1"/>
    <col min="9735" max="9735" width="5.85546875" style="101" customWidth="1"/>
    <col min="9736" max="9736" width="14.5703125" style="101" customWidth="1"/>
    <col min="9737" max="9737" width="10" style="101" customWidth="1"/>
    <col min="9738" max="9738" width="6.42578125" style="101" customWidth="1"/>
    <col min="9739" max="9739" width="2.42578125" style="101" customWidth="1"/>
    <col min="9740" max="9740" width="9.140625" style="101" customWidth="1"/>
    <col min="9741" max="9741" width="12.5703125" style="101" customWidth="1"/>
    <col min="9742" max="9762" width="9.140625" style="101" customWidth="1"/>
    <col min="9763" max="9984" width="11.140625" style="101"/>
    <col min="9985" max="9985" width="9.140625" style="101" customWidth="1"/>
    <col min="9986" max="9986" width="50.42578125" style="101" customWidth="1"/>
    <col min="9987" max="9987" width="6.140625" style="101" bestFit="1" customWidth="1"/>
    <col min="9988" max="9988" width="10.28515625" style="101" customWidth="1"/>
    <col min="9989" max="9989" width="13.5703125" style="101" customWidth="1"/>
    <col min="9990" max="9990" width="14.28515625" style="101" customWidth="1"/>
    <col min="9991" max="9991" width="5.85546875" style="101" customWidth="1"/>
    <col min="9992" max="9992" width="14.5703125" style="101" customWidth="1"/>
    <col min="9993" max="9993" width="10" style="101" customWidth="1"/>
    <col min="9994" max="9994" width="6.42578125" style="101" customWidth="1"/>
    <col min="9995" max="9995" width="2.42578125" style="101" customWidth="1"/>
    <col min="9996" max="9996" width="9.140625" style="101" customWidth="1"/>
    <col min="9997" max="9997" width="12.5703125" style="101" customWidth="1"/>
    <col min="9998" max="10018" width="9.140625" style="101" customWidth="1"/>
    <col min="10019" max="10240" width="11.140625" style="101"/>
    <col min="10241" max="10241" width="9.140625" style="101" customWidth="1"/>
    <col min="10242" max="10242" width="50.42578125" style="101" customWidth="1"/>
    <col min="10243" max="10243" width="6.140625" style="101" bestFit="1" customWidth="1"/>
    <col min="10244" max="10244" width="10.28515625" style="101" customWidth="1"/>
    <col min="10245" max="10245" width="13.5703125" style="101" customWidth="1"/>
    <col min="10246" max="10246" width="14.28515625" style="101" customWidth="1"/>
    <col min="10247" max="10247" width="5.85546875" style="101" customWidth="1"/>
    <col min="10248" max="10248" width="14.5703125" style="101" customWidth="1"/>
    <col min="10249" max="10249" width="10" style="101" customWidth="1"/>
    <col min="10250" max="10250" width="6.42578125" style="101" customWidth="1"/>
    <col min="10251" max="10251" width="2.42578125" style="101" customWidth="1"/>
    <col min="10252" max="10252" width="9.140625" style="101" customWidth="1"/>
    <col min="10253" max="10253" width="12.5703125" style="101" customWidth="1"/>
    <col min="10254" max="10274" width="9.140625" style="101" customWidth="1"/>
    <col min="10275" max="10496" width="11.140625" style="101"/>
    <col min="10497" max="10497" width="9.140625" style="101" customWidth="1"/>
    <col min="10498" max="10498" width="50.42578125" style="101" customWidth="1"/>
    <col min="10499" max="10499" width="6.140625" style="101" bestFit="1" customWidth="1"/>
    <col min="10500" max="10500" width="10.28515625" style="101" customWidth="1"/>
    <col min="10501" max="10501" width="13.5703125" style="101" customWidth="1"/>
    <col min="10502" max="10502" width="14.28515625" style="101" customWidth="1"/>
    <col min="10503" max="10503" width="5.85546875" style="101" customWidth="1"/>
    <col min="10504" max="10504" width="14.5703125" style="101" customWidth="1"/>
    <col min="10505" max="10505" width="10" style="101" customWidth="1"/>
    <col min="10506" max="10506" width="6.42578125" style="101" customWidth="1"/>
    <col min="10507" max="10507" width="2.42578125" style="101" customWidth="1"/>
    <col min="10508" max="10508" width="9.140625" style="101" customWidth="1"/>
    <col min="10509" max="10509" width="12.5703125" style="101" customWidth="1"/>
    <col min="10510" max="10530" width="9.140625" style="101" customWidth="1"/>
    <col min="10531" max="10752" width="11.140625" style="101"/>
    <col min="10753" max="10753" width="9.140625" style="101" customWidth="1"/>
    <col min="10754" max="10754" width="50.42578125" style="101" customWidth="1"/>
    <col min="10755" max="10755" width="6.140625" style="101" bestFit="1" customWidth="1"/>
    <col min="10756" max="10756" width="10.28515625" style="101" customWidth="1"/>
    <col min="10757" max="10757" width="13.5703125" style="101" customWidth="1"/>
    <col min="10758" max="10758" width="14.28515625" style="101" customWidth="1"/>
    <col min="10759" max="10759" width="5.85546875" style="101" customWidth="1"/>
    <col min="10760" max="10760" width="14.5703125" style="101" customWidth="1"/>
    <col min="10761" max="10761" width="10" style="101" customWidth="1"/>
    <col min="10762" max="10762" width="6.42578125" style="101" customWidth="1"/>
    <col min="10763" max="10763" width="2.42578125" style="101" customWidth="1"/>
    <col min="10764" max="10764" width="9.140625" style="101" customWidth="1"/>
    <col min="10765" max="10765" width="12.5703125" style="101" customWidth="1"/>
    <col min="10766" max="10786" width="9.140625" style="101" customWidth="1"/>
    <col min="10787" max="11008" width="11.140625" style="101"/>
    <col min="11009" max="11009" width="9.140625" style="101" customWidth="1"/>
    <col min="11010" max="11010" width="50.42578125" style="101" customWidth="1"/>
    <col min="11011" max="11011" width="6.140625" style="101" bestFit="1" customWidth="1"/>
    <col min="11012" max="11012" width="10.28515625" style="101" customWidth="1"/>
    <col min="11013" max="11013" width="13.5703125" style="101" customWidth="1"/>
    <col min="11014" max="11014" width="14.28515625" style="101" customWidth="1"/>
    <col min="11015" max="11015" width="5.85546875" style="101" customWidth="1"/>
    <col min="11016" max="11016" width="14.5703125" style="101" customWidth="1"/>
    <col min="11017" max="11017" width="10" style="101" customWidth="1"/>
    <col min="11018" max="11018" width="6.42578125" style="101" customWidth="1"/>
    <col min="11019" max="11019" width="2.42578125" style="101" customWidth="1"/>
    <col min="11020" max="11020" width="9.140625" style="101" customWidth="1"/>
    <col min="11021" max="11021" width="12.5703125" style="101" customWidth="1"/>
    <col min="11022" max="11042" width="9.140625" style="101" customWidth="1"/>
    <col min="11043" max="11264" width="11.140625" style="101"/>
    <col min="11265" max="11265" width="9.140625" style="101" customWidth="1"/>
    <col min="11266" max="11266" width="50.42578125" style="101" customWidth="1"/>
    <col min="11267" max="11267" width="6.140625" style="101" bestFit="1" customWidth="1"/>
    <col min="11268" max="11268" width="10.28515625" style="101" customWidth="1"/>
    <col min="11269" max="11269" width="13.5703125" style="101" customWidth="1"/>
    <col min="11270" max="11270" width="14.28515625" style="101" customWidth="1"/>
    <col min="11271" max="11271" width="5.85546875" style="101" customWidth="1"/>
    <col min="11272" max="11272" width="14.5703125" style="101" customWidth="1"/>
    <col min="11273" max="11273" width="10" style="101" customWidth="1"/>
    <col min="11274" max="11274" width="6.42578125" style="101" customWidth="1"/>
    <col min="11275" max="11275" width="2.42578125" style="101" customWidth="1"/>
    <col min="11276" max="11276" width="9.140625" style="101" customWidth="1"/>
    <col min="11277" max="11277" width="12.5703125" style="101" customWidth="1"/>
    <col min="11278" max="11298" width="9.140625" style="101" customWidth="1"/>
    <col min="11299" max="11520" width="11.140625" style="101"/>
    <col min="11521" max="11521" width="9.140625" style="101" customWidth="1"/>
    <col min="11522" max="11522" width="50.42578125" style="101" customWidth="1"/>
    <col min="11523" max="11523" width="6.140625" style="101" bestFit="1" customWidth="1"/>
    <col min="11524" max="11524" width="10.28515625" style="101" customWidth="1"/>
    <col min="11525" max="11525" width="13.5703125" style="101" customWidth="1"/>
    <col min="11526" max="11526" width="14.28515625" style="101" customWidth="1"/>
    <col min="11527" max="11527" width="5.85546875" style="101" customWidth="1"/>
    <col min="11528" max="11528" width="14.5703125" style="101" customWidth="1"/>
    <col min="11529" max="11529" width="10" style="101" customWidth="1"/>
    <col min="11530" max="11530" width="6.42578125" style="101" customWidth="1"/>
    <col min="11531" max="11531" width="2.42578125" style="101" customWidth="1"/>
    <col min="11532" max="11532" width="9.140625" style="101" customWidth="1"/>
    <col min="11533" max="11533" width="12.5703125" style="101" customWidth="1"/>
    <col min="11534" max="11554" width="9.140625" style="101" customWidth="1"/>
    <col min="11555" max="11776" width="11.140625" style="101"/>
    <col min="11777" max="11777" width="9.140625" style="101" customWidth="1"/>
    <col min="11778" max="11778" width="50.42578125" style="101" customWidth="1"/>
    <col min="11779" max="11779" width="6.140625" style="101" bestFit="1" customWidth="1"/>
    <col min="11780" max="11780" width="10.28515625" style="101" customWidth="1"/>
    <col min="11781" max="11781" width="13.5703125" style="101" customWidth="1"/>
    <col min="11782" max="11782" width="14.28515625" style="101" customWidth="1"/>
    <col min="11783" max="11783" width="5.85546875" style="101" customWidth="1"/>
    <col min="11784" max="11784" width="14.5703125" style="101" customWidth="1"/>
    <col min="11785" max="11785" width="10" style="101" customWidth="1"/>
    <col min="11786" max="11786" width="6.42578125" style="101" customWidth="1"/>
    <col min="11787" max="11787" width="2.42578125" style="101" customWidth="1"/>
    <col min="11788" max="11788" width="9.140625" style="101" customWidth="1"/>
    <col min="11789" max="11789" width="12.5703125" style="101" customWidth="1"/>
    <col min="11790" max="11810" width="9.140625" style="101" customWidth="1"/>
    <col min="11811" max="12032" width="11.140625" style="101"/>
    <col min="12033" max="12033" width="9.140625" style="101" customWidth="1"/>
    <col min="12034" max="12034" width="50.42578125" style="101" customWidth="1"/>
    <col min="12035" max="12035" width="6.140625" style="101" bestFit="1" customWidth="1"/>
    <col min="12036" max="12036" width="10.28515625" style="101" customWidth="1"/>
    <col min="12037" max="12037" width="13.5703125" style="101" customWidth="1"/>
    <col min="12038" max="12038" width="14.28515625" style="101" customWidth="1"/>
    <col min="12039" max="12039" width="5.85546875" style="101" customWidth="1"/>
    <col min="12040" max="12040" width="14.5703125" style="101" customWidth="1"/>
    <col min="12041" max="12041" width="10" style="101" customWidth="1"/>
    <col min="12042" max="12042" width="6.42578125" style="101" customWidth="1"/>
    <col min="12043" max="12043" width="2.42578125" style="101" customWidth="1"/>
    <col min="12044" max="12044" width="9.140625" style="101" customWidth="1"/>
    <col min="12045" max="12045" width="12.5703125" style="101" customWidth="1"/>
    <col min="12046" max="12066" width="9.140625" style="101" customWidth="1"/>
    <col min="12067" max="12288" width="11.140625" style="101"/>
    <col min="12289" max="12289" width="9.140625" style="101" customWidth="1"/>
    <col min="12290" max="12290" width="50.42578125" style="101" customWidth="1"/>
    <col min="12291" max="12291" width="6.140625" style="101" bestFit="1" customWidth="1"/>
    <col min="12292" max="12292" width="10.28515625" style="101" customWidth="1"/>
    <col min="12293" max="12293" width="13.5703125" style="101" customWidth="1"/>
    <col min="12294" max="12294" width="14.28515625" style="101" customWidth="1"/>
    <col min="12295" max="12295" width="5.85546875" style="101" customWidth="1"/>
    <col min="12296" max="12296" width="14.5703125" style="101" customWidth="1"/>
    <col min="12297" max="12297" width="10" style="101" customWidth="1"/>
    <col min="12298" max="12298" width="6.42578125" style="101" customWidth="1"/>
    <col min="12299" max="12299" width="2.42578125" style="101" customWidth="1"/>
    <col min="12300" max="12300" width="9.140625" style="101" customWidth="1"/>
    <col min="12301" max="12301" width="12.5703125" style="101" customWidth="1"/>
    <col min="12302" max="12322" width="9.140625" style="101" customWidth="1"/>
    <col min="12323" max="12544" width="11.140625" style="101"/>
    <col min="12545" max="12545" width="9.140625" style="101" customWidth="1"/>
    <col min="12546" max="12546" width="50.42578125" style="101" customWidth="1"/>
    <col min="12547" max="12547" width="6.140625" style="101" bestFit="1" customWidth="1"/>
    <col min="12548" max="12548" width="10.28515625" style="101" customWidth="1"/>
    <col min="12549" max="12549" width="13.5703125" style="101" customWidth="1"/>
    <col min="12550" max="12550" width="14.28515625" style="101" customWidth="1"/>
    <col min="12551" max="12551" width="5.85546875" style="101" customWidth="1"/>
    <col min="12552" max="12552" width="14.5703125" style="101" customWidth="1"/>
    <col min="12553" max="12553" width="10" style="101" customWidth="1"/>
    <col min="12554" max="12554" width="6.42578125" style="101" customWidth="1"/>
    <col min="12555" max="12555" width="2.42578125" style="101" customWidth="1"/>
    <col min="12556" max="12556" width="9.140625" style="101" customWidth="1"/>
    <col min="12557" max="12557" width="12.5703125" style="101" customWidth="1"/>
    <col min="12558" max="12578" width="9.140625" style="101" customWidth="1"/>
    <col min="12579" max="12800" width="11.140625" style="101"/>
    <col min="12801" max="12801" width="9.140625" style="101" customWidth="1"/>
    <col min="12802" max="12802" width="50.42578125" style="101" customWidth="1"/>
    <col min="12803" max="12803" width="6.140625" style="101" bestFit="1" customWidth="1"/>
    <col min="12804" max="12804" width="10.28515625" style="101" customWidth="1"/>
    <col min="12805" max="12805" width="13.5703125" style="101" customWidth="1"/>
    <col min="12806" max="12806" width="14.28515625" style="101" customWidth="1"/>
    <col min="12807" max="12807" width="5.85546875" style="101" customWidth="1"/>
    <col min="12808" max="12808" width="14.5703125" style="101" customWidth="1"/>
    <col min="12809" max="12809" width="10" style="101" customWidth="1"/>
    <col min="12810" max="12810" width="6.42578125" style="101" customWidth="1"/>
    <col min="12811" max="12811" width="2.42578125" style="101" customWidth="1"/>
    <col min="12812" max="12812" width="9.140625" style="101" customWidth="1"/>
    <col min="12813" max="12813" width="12.5703125" style="101" customWidth="1"/>
    <col min="12814" max="12834" width="9.140625" style="101" customWidth="1"/>
    <col min="12835" max="13056" width="11.140625" style="101"/>
    <col min="13057" max="13057" width="9.140625" style="101" customWidth="1"/>
    <col min="13058" max="13058" width="50.42578125" style="101" customWidth="1"/>
    <col min="13059" max="13059" width="6.140625" style="101" bestFit="1" customWidth="1"/>
    <col min="13060" max="13060" width="10.28515625" style="101" customWidth="1"/>
    <col min="13061" max="13061" width="13.5703125" style="101" customWidth="1"/>
    <col min="13062" max="13062" width="14.28515625" style="101" customWidth="1"/>
    <col min="13063" max="13063" width="5.85546875" style="101" customWidth="1"/>
    <col min="13064" max="13064" width="14.5703125" style="101" customWidth="1"/>
    <col min="13065" max="13065" width="10" style="101" customWidth="1"/>
    <col min="13066" max="13066" width="6.42578125" style="101" customWidth="1"/>
    <col min="13067" max="13067" width="2.42578125" style="101" customWidth="1"/>
    <col min="13068" max="13068" width="9.140625" style="101" customWidth="1"/>
    <col min="13069" max="13069" width="12.5703125" style="101" customWidth="1"/>
    <col min="13070" max="13090" width="9.140625" style="101" customWidth="1"/>
    <col min="13091" max="13312" width="11.140625" style="101"/>
    <col min="13313" max="13313" width="9.140625" style="101" customWidth="1"/>
    <col min="13314" max="13314" width="50.42578125" style="101" customWidth="1"/>
    <col min="13315" max="13315" width="6.140625" style="101" bestFit="1" customWidth="1"/>
    <col min="13316" max="13316" width="10.28515625" style="101" customWidth="1"/>
    <col min="13317" max="13317" width="13.5703125" style="101" customWidth="1"/>
    <col min="13318" max="13318" width="14.28515625" style="101" customWidth="1"/>
    <col min="13319" max="13319" width="5.85546875" style="101" customWidth="1"/>
    <col min="13320" max="13320" width="14.5703125" style="101" customWidth="1"/>
    <col min="13321" max="13321" width="10" style="101" customWidth="1"/>
    <col min="13322" max="13322" width="6.42578125" style="101" customWidth="1"/>
    <col min="13323" max="13323" width="2.42578125" style="101" customWidth="1"/>
    <col min="13324" max="13324" width="9.140625" style="101" customWidth="1"/>
    <col min="13325" max="13325" width="12.5703125" style="101" customWidth="1"/>
    <col min="13326" max="13346" width="9.140625" style="101" customWidth="1"/>
    <col min="13347" max="13568" width="11.140625" style="101"/>
    <col min="13569" max="13569" width="9.140625" style="101" customWidth="1"/>
    <col min="13570" max="13570" width="50.42578125" style="101" customWidth="1"/>
    <col min="13571" max="13571" width="6.140625" style="101" bestFit="1" customWidth="1"/>
    <col min="13572" max="13572" width="10.28515625" style="101" customWidth="1"/>
    <col min="13573" max="13573" width="13.5703125" style="101" customWidth="1"/>
    <col min="13574" max="13574" width="14.28515625" style="101" customWidth="1"/>
    <col min="13575" max="13575" width="5.85546875" style="101" customWidth="1"/>
    <col min="13576" max="13576" width="14.5703125" style="101" customWidth="1"/>
    <col min="13577" max="13577" width="10" style="101" customWidth="1"/>
    <col min="13578" max="13578" width="6.42578125" style="101" customWidth="1"/>
    <col min="13579" max="13579" width="2.42578125" style="101" customWidth="1"/>
    <col min="13580" max="13580" width="9.140625" style="101" customWidth="1"/>
    <col min="13581" max="13581" width="12.5703125" style="101" customWidth="1"/>
    <col min="13582" max="13602" width="9.140625" style="101" customWidth="1"/>
    <col min="13603" max="13824" width="11.140625" style="101"/>
    <col min="13825" max="13825" width="9.140625" style="101" customWidth="1"/>
    <col min="13826" max="13826" width="50.42578125" style="101" customWidth="1"/>
    <col min="13827" max="13827" width="6.140625" style="101" bestFit="1" customWidth="1"/>
    <col min="13828" max="13828" width="10.28515625" style="101" customWidth="1"/>
    <col min="13829" max="13829" width="13.5703125" style="101" customWidth="1"/>
    <col min="13830" max="13830" width="14.28515625" style="101" customWidth="1"/>
    <col min="13831" max="13831" width="5.85546875" style="101" customWidth="1"/>
    <col min="13832" max="13832" width="14.5703125" style="101" customWidth="1"/>
    <col min="13833" max="13833" width="10" style="101" customWidth="1"/>
    <col min="13834" max="13834" width="6.42578125" style="101" customWidth="1"/>
    <col min="13835" max="13835" width="2.42578125" style="101" customWidth="1"/>
    <col min="13836" max="13836" width="9.140625" style="101" customWidth="1"/>
    <col min="13837" max="13837" width="12.5703125" style="101" customWidth="1"/>
    <col min="13838" max="13858" width="9.140625" style="101" customWidth="1"/>
    <col min="13859" max="14080" width="11.140625" style="101"/>
    <col min="14081" max="14081" width="9.140625" style="101" customWidth="1"/>
    <col min="14082" max="14082" width="50.42578125" style="101" customWidth="1"/>
    <col min="14083" max="14083" width="6.140625" style="101" bestFit="1" customWidth="1"/>
    <col min="14084" max="14084" width="10.28515625" style="101" customWidth="1"/>
    <col min="14085" max="14085" width="13.5703125" style="101" customWidth="1"/>
    <col min="14086" max="14086" width="14.28515625" style="101" customWidth="1"/>
    <col min="14087" max="14087" width="5.85546875" style="101" customWidth="1"/>
    <col min="14088" max="14088" width="14.5703125" style="101" customWidth="1"/>
    <col min="14089" max="14089" width="10" style="101" customWidth="1"/>
    <col min="14090" max="14090" width="6.42578125" style="101" customWidth="1"/>
    <col min="14091" max="14091" width="2.42578125" style="101" customWidth="1"/>
    <col min="14092" max="14092" width="9.140625" style="101" customWidth="1"/>
    <col min="14093" max="14093" width="12.5703125" style="101" customWidth="1"/>
    <col min="14094" max="14114" width="9.140625" style="101" customWidth="1"/>
    <col min="14115" max="14336" width="11.140625" style="101"/>
    <col min="14337" max="14337" width="9.140625" style="101" customWidth="1"/>
    <col min="14338" max="14338" width="50.42578125" style="101" customWidth="1"/>
    <col min="14339" max="14339" width="6.140625" style="101" bestFit="1" customWidth="1"/>
    <col min="14340" max="14340" width="10.28515625" style="101" customWidth="1"/>
    <col min="14341" max="14341" width="13.5703125" style="101" customWidth="1"/>
    <col min="14342" max="14342" width="14.28515625" style="101" customWidth="1"/>
    <col min="14343" max="14343" width="5.85546875" style="101" customWidth="1"/>
    <col min="14344" max="14344" width="14.5703125" style="101" customWidth="1"/>
    <col min="14345" max="14345" width="10" style="101" customWidth="1"/>
    <col min="14346" max="14346" width="6.42578125" style="101" customWidth="1"/>
    <col min="14347" max="14347" width="2.42578125" style="101" customWidth="1"/>
    <col min="14348" max="14348" width="9.140625" style="101" customWidth="1"/>
    <col min="14349" max="14349" width="12.5703125" style="101" customWidth="1"/>
    <col min="14350" max="14370" width="9.140625" style="101" customWidth="1"/>
    <col min="14371" max="14592" width="11.140625" style="101"/>
    <col min="14593" max="14593" width="9.140625" style="101" customWidth="1"/>
    <col min="14594" max="14594" width="50.42578125" style="101" customWidth="1"/>
    <col min="14595" max="14595" width="6.140625" style="101" bestFit="1" customWidth="1"/>
    <col min="14596" max="14596" width="10.28515625" style="101" customWidth="1"/>
    <col min="14597" max="14597" width="13.5703125" style="101" customWidth="1"/>
    <col min="14598" max="14598" width="14.28515625" style="101" customWidth="1"/>
    <col min="14599" max="14599" width="5.85546875" style="101" customWidth="1"/>
    <col min="14600" max="14600" width="14.5703125" style="101" customWidth="1"/>
    <col min="14601" max="14601" width="10" style="101" customWidth="1"/>
    <col min="14602" max="14602" width="6.42578125" style="101" customWidth="1"/>
    <col min="14603" max="14603" width="2.42578125" style="101" customWidth="1"/>
    <col min="14604" max="14604" width="9.140625" style="101" customWidth="1"/>
    <col min="14605" max="14605" width="12.5703125" style="101" customWidth="1"/>
    <col min="14606" max="14626" width="9.140625" style="101" customWidth="1"/>
    <col min="14627" max="14848" width="11.140625" style="101"/>
    <col min="14849" max="14849" width="9.140625" style="101" customWidth="1"/>
    <col min="14850" max="14850" width="50.42578125" style="101" customWidth="1"/>
    <col min="14851" max="14851" width="6.140625" style="101" bestFit="1" customWidth="1"/>
    <col min="14852" max="14852" width="10.28515625" style="101" customWidth="1"/>
    <col min="14853" max="14853" width="13.5703125" style="101" customWidth="1"/>
    <col min="14854" max="14854" width="14.28515625" style="101" customWidth="1"/>
    <col min="14855" max="14855" width="5.85546875" style="101" customWidth="1"/>
    <col min="14856" max="14856" width="14.5703125" style="101" customWidth="1"/>
    <col min="14857" max="14857" width="10" style="101" customWidth="1"/>
    <col min="14858" max="14858" width="6.42578125" style="101" customWidth="1"/>
    <col min="14859" max="14859" width="2.42578125" style="101" customWidth="1"/>
    <col min="14860" max="14860" width="9.140625" style="101" customWidth="1"/>
    <col min="14861" max="14861" width="12.5703125" style="101" customWidth="1"/>
    <col min="14862" max="14882" width="9.140625" style="101" customWidth="1"/>
    <col min="14883" max="15104" width="11.140625" style="101"/>
    <col min="15105" max="15105" width="9.140625" style="101" customWidth="1"/>
    <col min="15106" max="15106" width="50.42578125" style="101" customWidth="1"/>
    <col min="15107" max="15107" width="6.140625" style="101" bestFit="1" customWidth="1"/>
    <col min="15108" max="15108" width="10.28515625" style="101" customWidth="1"/>
    <col min="15109" max="15109" width="13.5703125" style="101" customWidth="1"/>
    <col min="15110" max="15110" width="14.28515625" style="101" customWidth="1"/>
    <col min="15111" max="15111" width="5.85546875" style="101" customWidth="1"/>
    <col min="15112" max="15112" width="14.5703125" style="101" customWidth="1"/>
    <col min="15113" max="15113" width="10" style="101" customWidth="1"/>
    <col min="15114" max="15114" width="6.42578125" style="101" customWidth="1"/>
    <col min="15115" max="15115" width="2.42578125" style="101" customWidth="1"/>
    <col min="15116" max="15116" width="9.140625" style="101" customWidth="1"/>
    <col min="15117" max="15117" width="12.5703125" style="101" customWidth="1"/>
    <col min="15118" max="15138" width="9.140625" style="101" customWidth="1"/>
    <col min="15139" max="15360" width="11.140625" style="101"/>
    <col min="15361" max="15361" width="9.140625" style="101" customWidth="1"/>
    <col min="15362" max="15362" width="50.42578125" style="101" customWidth="1"/>
    <col min="15363" max="15363" width="6.140625" style="101" bestFit="1" customWidth="1"/>
    <col min="15364" max="15364" width="10.28515625" style="101" customWidth="1"/>
    <col min="15365" max="15365" width="13.5703125" style="101" customWidth="1"/>
    <col min="15366" max="15366" width="14.28515625" style="101" customWidth="1"/>
    <col min="15367" max="15367" width="5.85546875" style="101" customWidth="1"/>
    <col min="15368" max="15368" width="14.5703125" style="101" customWidth="1"/>
    <col min="15369" max="15369" width="10" style="101" customWidth="1"/>
    <col min="15370" max="15370" width="6.42578125" style="101" customWidth="1"/>
    <col min="15371" max="15371" width="2.42578125" style="101" customWidth="1"/>
    <col min="15372" max="15372" width="9.140625" style="101" customWidth="1"/>
    <col min="15373" max="15373" width="12.5703125" style="101" customWidth="1"/>
    <col min="15374" max="15394" width="9.140625" style="101" customWidth="1"/>
    <col min="15395" max="15616" width="11.140625" style="101"/>
    <col min="15617" max="15617" width="9.140625" style="101" customWidth="1"/>
    <col min="15618" max="15618" width="50.42578125" style="101" customWidth="1"/>
    <col min="15619" max="15619" width="6.140625" style="101" bestFit="1" customWidth="1"/>
    <col min="15620" max="15620" width="10.28515625" style="101" customWidth="1"/>
    <col min="15621" max="15621" width="13.5703125" style="101" customWidth="1"/>
    <col min="15622" max="15622" width="14.28515625" style="101" customWidth="1"/>
    <col min="15623" max="15623" width="5.85546875" style="101" customWidth="1"/>
    <col min="15624" max="15624" width="14.5703125" style="101" customWidth="1"/>
    <col min="15625" max="15625" width="10" style="101" customWidth="1"/>
    <col min="15626" max="15626" width="6.42578125" style="101" customWidth="1"/>
    <col min="15627" max="15627" width="2.42578125" style="101" customWidth="1"/>
    <col min="15628" max="15628" width="9.140625" style="101" customWidth="1"/>
    <col min="15629" max="15629" width="12.5703125" style="101" customWidth="1"/>
    <col min="15630" max="15650" width="9.140625" style="101" customWidth="1"/>
    <col min="15651" max="15872" width="11.140625" style="101"/>
    <col min="15873" max="15873" width="9.140625" style="101" customWidth="1"/>
    <col min="15874" max="15874" width="50.42578125" style="101" customWidth="1"/>
    <col min="15875" max="15875" width="6.140625" style="101" bestFit="1" customWidth="1"/>
    <col min="15876" max="15876" width="10.28515625" style="101" customWidth="1"/>
    <col min="15877" max="15877" width="13.5703125" style="101" customWidth="1"/>
    <col min="15878" max="15878" width="14.28515625" style="101" customWidth="1"/>
    <col min="15879" max="15879" width="5.85546875" style="101" customWidth="1"/>
    <col min="15880" max="15880" width="14.5703125" style="101" customWidth="1"/>
    <col min="15881" max="15881" width="10" style="101" customWidth="1"/>
    <col min="15882" max="15882" width="6.42578125" style="101" customWidth="1"/>
    <col min="15883" max="15883" width="2.42578125" style="101" customWidth="1"/>
    <col min="15884" max="15884" width="9.140625" style="101" customWidth="1"/>
    <col min="15885" max="15885" width="12.5703125" style="101" customWidth="1"/>
    <col min="15886" max="15906" width="9.140625" style="101" customWidth="1"/>
    <col min="15907" max="16128" width="11.140625" style="101"/>
    <col min="16129" max="16129" width="9.140625" style="101" customWidth="1"/>
    <col min="16130" max="16130" width="50.42578125" style="101" customWidth="1"/>
    <col min="16131" max="16131" width="6.140625" style="101" bestFit="1" customWidth="1"/>
    <col min="16132" max="16132" width="10.28515625" style="101" customWidth="1"/>
    <col min="16133" max="16133" width="13.5703125" style="101" customWidth="1"/>
    <col min="16134" max="16134" width="14.28515625" style="101" customWidth="1"/>
    <col min="16135" max="16135" width="5.85546875" style="101" customWidth="1"/>
    <col min="16136" max="16136" width="14.5703125" style="101" customWidth="1"/>
    <col min="16137" max="16137" width="10" style="101" customWidth="1"/>
    <col min="16138" max="16138" width="6.42578125" style="101" customWidth="1"/>
    <col min="16139" max="16139" width="2.42578125" style="101" customWidth="1"/>
    <col min="16140" max="16140" width="9.140625" style="101" customWidth="1"/>
    <col min="16141" max="16141" width="12.5703125" style="101" customWidth="1"/>
    <col min="16142" max="16162" width="9.140625" style="101" customWidth="1"/>
    <col min="16163" max="16384" width="11.140625" style="101"/>
  </cols>
  <sheetData>
    <row r="1" spans="2:8" s="1" customFormat="1" ht="16.5" customHeight="1">
      <c r="B1" s="2"/>
      <c r="C1" s="3" t="s">
        <v>0</v>
      </c>
      <c r="D1" s="4"/>
      <c r="E1" s="5"/>
      <c r="F1" s="6"/>
      <c r="G1" s="7" t="s">
        <v>1</v>
      </c>
      <c r="H1" s="938"/>
    </row>
    <row r="2" spans="2:8" s="439" customFormat="1">
      <c r="B2" s="285"/>
      <c r="C2" s="286"/>
      <c r="D2" s="287"/>
      <c r="E2" s="70"/>
      <c r="F2" s="71"/>
      <c r="G2" s="66"/>
      <c r="H2" s="441"/>
    </row>
    <row r="3" spans="2:8" s="439" customFormat="1">
      <c r="B3" s="316" t="s">
        <v>35</v>
      </c>
      <c r="C3" s="567" t="s">
        <v>235</v>
      </c>
      <c r="D3" s="318"/>
      <c r="E3" s="319"/>
      <c r="F3" s="320"/>
      <c r="G3" s="321"/>
      <c r="H3" s="441"/>
    </row>
    <row r="4" spans="2:8" s="439" customFormat="1">
      <c r="B4" s="80"/>
      <c r="C4" s="81"/>
      <c r="D4" s="82"/>
      <c r="E4" s="83"/>
      <c r="F4" s="84"/>
      <c r="G4" s="85"/>
      <c r="H4" s="441"/>
    </row>
    <row r="5" spans="2:8" s="439" customFormat="1">
      <c r="B5" s="316" t="s">
        <v>37</v>
      </c>
      <c r="C5" s="2467" t="s">
        <v>831</v>
      </c>
      <c r="D5" s="2468"/>
      <c r="E5" s="2468"/>
      <c r="F5" s="2468"/>
      <c r="G5" s="321"/>
      <c r="H5" s="441"/>
    </row>
    <row r="6" spans="2:8" s="439" customFormat="1" ht="15" customHeight="1">
      <c r="B6" s="80"/>
      <c r="C6" s="81"/>
      <c r="D6" s="82"/>
      <c r="E6" s="83"/>
      <c r="F6" s="84"/>
      <c r="G6" s="88"/>
      <c r="H6" s="441"/>
    </row>
    <row r="7" spans="2:8" s="439" customFormat="1">
      <c r="B7" s="294" t="s">
        <v>2</v>
      </c>
      <c r="C7" s="295"/>
      <c r="D7" s="296"/>
      <c r="E7" s="296"/>
      <c r="F7" s="296"/>
      <c r="G7" s="297"/>
      <c r="H7" s="441"/>
    </row>
    <row r="8" spans="2:8" s="439" customFormat="1">
      <c r="B8" s="298" t="s">
        <v>3</v>
      </c>
      <c r="C8" s="299"/>
      <c r="D8" s="300"/>
      <c r="E8" s="301"/>
      <c r="F8" s="301"/>
      <c r="G8" s="300"/>
      <c r="H8" s="441"/>
    </row>
    <row r="9" spans="2:8" s="439" customFormat="1">
      <c r="B9" s="294" t="s">
        <v>4</v>
      </c>
      <c r="C9" s="295"/>
      <c r="D9" s="296"/>
      <c r="E9" s="296"/>
      <c r="F9" s="296"/>
      <c r="G9" s="297"/>
      <c r="H9" s="441"/>
    </row>
    <row r="10" spans="2:8" s="439" customFormat="1">
      <c r="B10" s="298" t="s">
        <v>5</v>
      </c>
      <c r="C10" s="299"/>
      <c r="D10" s="301"/>
      <c r="E10" s="301"/>
      <c r="F10" s="301"/>
      <c r="G10" s="300"/>
      <c r="H10" s="441"/>
    </row>
    <row r="11" spans="2:8" s="439" customFormat="1">
      <c r="B11" s="89"/>
      <c r="C11" s="90"/>
      <c r="D11" s="91"/>
      <c r="E11" s="92"/>
      <c r="F11" s="93"/>
      <c r="G11" s="94"/>
      <c r="H11" s="441"/>
    </row>
    <row r="12" spans="2:8" s="439" customFormat="1" ht="15">
      <c r="B12" s="326"/>
      <c r="C12" s="327" t="s">
        <v>40</v>
      </c>
      <c r="D12" s="328"/>
      <c r="E12" s="329"/>
      <c r="F12" s="330"/>
      <c r="G12" s="331"/>
      <c r="H12" s="441"/>
    </row>
    <row r="13" spans="2:8" s="439" customFormat="1">
      <c r="B13" s="332" t="s">
        <v>41</v>
      </c>
      <c r="C13" s="333" t="s">
        <v>42</v>
      </c>
      <c r="D13" s="334"/>
      <c r="E13" s="335"/>
      <c r="F13" s="336"/>
      <c r="G13" s="337" t="s">
        <v>10</v>
      </c>
      <c r="H13" s="441"/>
    </row>
    <row r="14" spans="2:8" s="439" customFormat="1">
      <c r="B14" s="340" t="s">
        <v>43</v>
      </c>
      <c r="C14" s="341" t="s">
        <v>44</v>
      </c>
      <c r="D14" s="342"/>
      <c r="E14" s="343"/>
      <c r="F14" s="344"/>
      <c r="G14" s="434">
        <f>G56</f>
        <v>0</v>
      </c>
      <c r="H14" s="441"/>
    </row>
    <row r="15" spans="2:8" s="439" customFormat="1">
      <c r="B15" s="340" t="s">
        <v>45</v>
      </c>
      <c r="C15" s="341" t="s">
        <v>46</v>
      </c>
      <c r="D15" s="342"/>
      <c r="E15" s="343"/>
      <c r="F15" s="344"/>
      <c r="G15" s="434">
        <f>G134</f>
        <v>0</v>
      </c>
      <c r="H15" s="441"/>
    </row>
    <row r="16" spans="2:8" s="439" customFormat="1">
      <c r="B16" s="340" t="s">
        <v>47</v>
      </c>
      <c r="C16" s="341" t="s">
        <v>48</v>
      </c>
      <c r="D16" s="342"/>
      <c r="E16" s="343"/>
      <c r="F16" s="344"/>
      <c r="G16" s="434">
        <f>G200</f>
        <v>0</v>
      </c>
      <c r="H16" s="441"/>
    </row>
    <row r="17" spans="2:34" s="439" customFormat="1">
      <c r="B17" s="347"/>
      <c r="C17" s="348" t="s">
        <v>49</v>
      </c>
      <c r="D17" s="349"/>
      <c r="E17" s="350"/>
      <c r="F17" s="351"/>
      <c r="G17" s="435">
        <f>SUM(G14:G16)</f>
        <v>0</v>
      </c>
      <c r="H17" s="441"/>
    </row>
    <row r="18" spans="2:34" s="439" customFormat="1">
      <c r="B18" s="449"/>
      <c r="C18" s="448"/>
      <c r="D18" s="449"/>
      <c r="E18" s="450"/>
      <c r="F18" s="440"/>
      <c r="G18" s="451"/>
      <c r="H18" s="441"/>
    </row>
    <row r="19" spans="2:34" s="439" customFormat="1">
      <c r="B19" s="449"/>
      <c r="C19" s="448"/>
      <c r="D19" s="449"/>
      <c r="E19" s="450"/>
      <c r="F19" s="440"/>
      <c r="G19" s="451"/>
      <c r="H19" s="441"/>
    </row>
    <row r="20" spans="2:34" s="439" customFormat="1">
      <c r="B20" s="449"/>
      <c r="C20" s="448"/>
      <c r="D20" s="449"/>
      <c r="E20" s="450"/>
      <c r="F20" s="440"/>
      <c r="G20" s="451"/>
      <c r="H20" s="441"/>
    </row>
    <row r="21" spans="2:34" s="439" customFormat="1" ht="13.5" customHeight="1">
      <c r="B21" s="568"/>
      <c r="C21" s="448"/>
      <c r="D21" s="449"/>
      <c r="E21" s="450"/>
      <c r="F21" s="440"/>
      <c r="G21" s="451"/>
      <c r="H21" s="441"/>
    </row>
    <row r="22" spans="2:34" s="439" customFormat="1" ht="24">
      <c r="B22" s="356" t="s">
        <v>41</v>
      </c>
      <c r="C22" s="357" t="s">
        <v>51</v>
      </c>
      <c r="D22" s="358" t="s">
        <v>52</v>
      </c>
      <c r="E22" s="359" t="s">
        <v>53</v>
      </c>
      <c r="F22" s="360" t="s">
        <v>54</v>
      </c>
      <c r="G22" s="361" t="s">
        <v>55</v>
      </c>
      <c r="H22" s="441"/>
    </row>
    <row r="23" spans="2:34" s="86" customFormat="1" ht="14.25">
      <c r="B23" s="362"/>
      <c r="C23" s="363"/>
      <c r="D23" s="364"/>
      <c r="E23" s="128"/>
      <c r="F23" s="129"/>
      <c r="G23" s="130"/>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row>
    <row r="24" spans="2:34" s="569" customFormat="1" ht="20.25">
      <c r="B24" s="365" t="s">
        <v>43</v>
      </c>
      <c r="C24" s="366" t="s">
        <v>44</v>
      </c>
      <c r="D24" s="367"/>
      <c r="E24" s="368"/>
      <c r="F24" s="369"/>
      <c r="G24" s="370"/>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row>
    <row r="25" spans="2:34">
      <c r="B25" s="570"/>
      <c r="C25" s="571"/>
      <c r="D25" s="572"/>
      <c r="E25" s="573"/>
      <c r="F25" s="574"/>
      <c r="G25" s="575"/>
    </row>
    <row r="26" spans="2:34">
      <c r="B26" s="570"/>
      <c r="C26" s="576"/>
      <c r="D26" s="572"/>
      <c r="E26" s="573"/>
      <c r="F26" s="574"/>
      <c r="G26" s="575"/>
    </row>
    <row r="27" spans="2:34">
      <c r="B27" s="570"/>
      <c r="C27" s="571"/>
      <c r="D27" s="572"/>
      <c r="E27" s="573"/>
      <c r="F27" s="574"/>
      <c r="G27" s="575"/>
    </row>
    <row r="28" spans="2:34" ht="118.5" customHeight="1">
      <c r="B28" s="577" t="s">
        <v>11</v>
      </c>
      <c r="C28" s="460" t="s">
        <v>61</v>
      </c>
      <c r="D28" s="1802" t="s">
        <v>60</v>
      </c>
      <c r="E28" s="1803">
        <v>1</v>
      </c>
      <c r="F28" s="1804">
        <v>0</v>
      </c>
      <c r="G28" s="1804">
        <f>E28*F28</f>
        <v>0</v>
      </c>
    </row>
    <row r="29" spans="2:34">
      <c r="B29" s="570"/>
      <c r="C29" s="571"/>
      <c r="D29" s="572"/>
      <c r="E29" s="573"/>
      <c r="F29" s="574"/>
      <c r="G29" s="575"/>
    </row>
    <row r="30" spans="2:34" ht="25.5">
      <c r="B30" s="578">
        <v>2</v>
      </c>
      <c r="C30" s="464" t="s">
        <v>412</v>
      </c>
      <c r="D30" s="572" t="s">
        <v>832</v>
      </c>
      <c r="E30" s="573">
        <v>1040</v>
      </c>
      <c r="F30" s="574">
        <v>0</v>
      </c>
      <c r="G30" s="574">
        <f>E30*F30</f>
        <v>0</v>
      </c>
    </row>
    <row r="31" spans="2:34">
      <c r="B31" s="570"/>
      <c r="C31" s="571"/>
      <c r="D31" s="572"/>
      <c r="E31" s="573"/>
      <c r="F31" s="574"/>
      <c r="G31" s="575"/>
    </row>
    <row r="32" spans="2:34" ht="25.5">
      <c r="B32" s="578">
        <f>MAX(B30:B31)+1</f>
        <v>3</v>
      </c>
      <c r="C32" s="456" t="s">
        <v>56</v>
      </c>
      <c r="D32" s="572" t="s">
        <v>832</v>
      </c>
      <c r="E32" s="573">
        <v>1040</v>
      </c>
      <c r="F32" s="574">
        <v>0</v>
      </c>
      <c r="G32" s="574">
        <f>E32*F32</f>
        <v>0</v>
      </c>
    </row>
    <row r="33" spans="2:17">
      <c r="B33" s="570"/>
      <c r="C33" s="571"/>
      <c r="D33" s="572"/>
      <c r="E33" s="579"/>
      <c r="F33" s="580"/>
      <c r="G33" s="575"/>
    </row>
    <row r="34" spans="2:17" s="439" customFormat="1">
      <c r="B34" s="578">
        <f>MAX(B32:B33)+1</f>
        <v>4</v>
      </c>
      <c r="C34" s="464" t="s">
        <v>58</v>
      </c>
      <c r="D34" s="572" t="s">
        <v>252</v>
      </c>
      <c r="E34" s="466">
        <v>50</v>
      </c>
      <c r="F34" s="574">
        <v>0</v>
      </c>
      <c r="G34" s="462">
        <f>F34*E34</f>
        <v>0</v>
      </c>
      <c r="H34" s="441"/>
      <c r="M34" s="470"/>
      <c r="N34" s="471"/>
      <c r="O34" s="472"/>
      <c r="P34" s="473"/>
      <c r="Q34" s="474"/>
    </row>
    <row r="35" spans="2:17">
      <c r="B35" s="570"/>
      <c r="C35" s="571"/>
      <c r="D35" s="572"/>
      <c r="E35" s="573"/>
      <c r="F35" s="574"/>
      <c r="G35" s="575"/>
    </row>
    <row r="36" spans="2:17" ht="25.5">
      <c r="B36" s="578">
        <f>MAX(B34:B35)+1</f>
        <v>5</v>
      </c>
      <c r="C36" s="464" t="s">
        <v>62</v>
      </c>
      <c r="D36" s="572" t="s">
        <v>252</v>
      </c>
      <c r="E36" s="573">
        <v>1</v>
      </c>
      <c r="F36" s="574">
        <v>0</v>
      </c>
      <c r="G36" s="574">
        <f>E36*F36</f>
        <v>0</v>
      </c>
    </row>
    <row r="37" spans="2:17">
      <c r="B37" s="570"/>
      <c r="C37" s="571"/>
      <c r="D37" s="572"/>
      <c r="E37" s="573"/>
      <c r="F37" s="574"/>
      <c r="G37" s="575"/>
    </row>
    <row r="38" spans="2:17" ht="25.5">
      <c r="B38" s="578">
        <f>MAX(B36:B37)+1</f>
        <v>6</v>
      </c>
      <c r="C38" s="576" t="s">
        <v>833</v>
      </c>
      <c r="D38" s="572" t="s">
        <v>252</v>
      </c>
      <c r="E38" s="573">
        <v>10</v>
      </c>
      <c r="F38" s="574">
        <v>0</v>
      </c>
      <c r="G38" s="574">
        <f>E38*F38</f>
        <v>0</v>
      </c>
    </row>
    <row r="39" spans="2:17">
      <c r="B39" s="570"/>
      <c r="C39" s="571"/>
      <c r="D39" s="572"/>
      <c r="E39" s="573"/>
      <c r="F39" s="574"/>
      <c r="G39" s="575"/>
    </row>
    <row r="40" spans="2:17" ht="25.5">
      <c r="B40" s="578">
        <f>MAX(B38:B39)+1</f>
        <v>7</v>
      </c>
      <c r="C40" s="576" t="s">
        <v>834</v>
      </c>
      <c r="D40" s="572" t="s">
        <v>252</v>
      </c>
      <c r="E40" s="573">
        <v>5</v>
      </c>
      <c r="F40" s="574">
        <v>0</v>
      </c>
      <c r="G40" s="574">
        <f>E40*F40</f>
        <v>0</v>
      </c>
    </row>
    <row r="41" spans="2:17">
      <c r="B41" s="570"/>
      <c r="C41" s="571"/>
      <c r="D41" s="572"/>
      <c r="E41" s="573"/>
      <c r="F41" s="574"/>
      <c r="G41" s="575"/>
    </row>
    <row r="42" spans="2:17" ht="51">
      <c r="B42" s="578">
        <f>MAX(B40:B41)+1</f>
        <v>8</v>
      </c>
      <c r="C42" s="464" t="s">
        <v>245</v>
      </c>
      <c r="D42" s="572" t="s">
        <v>60</v>
      </c>
      <c r="E42" s="573">
        <v>1</v>
      </c>
      <c r="F42" s="574">
        <v>0</v>
      </c>
      <c r="G42" s="574">
        <f>E42*F42</f>
        <v>0</v>
      </c>
    </row>
    <row r="43" spans="2:17">
      <c r="B43" s="570"/>
      <c r="C43" s="571"/>
      <c r="D43" s="572"/>
      <c r="E43" s="573"/>
      <c r="F43" s="574"/>
      <c r="G43" s="575"/>
    </row>
    <row r="44" spans="2:17">
      <c r="B44" s="578">
        <f>MAX(B42:B43)+1</f>
        <v>9</v>
      </c>
      <c r="C44" s="464" t="s">
        <v>415</v>
      </c>
      <c r="D44" s="465" t="s">
        <v>252</v>
      </c>
      <c r="E44" s="466">
        <v>1</v>
      </c>
      <c r="F44" s="574">
        <v>0</v>
      </c>
      <c r="G44" s="462">
        <f>F44*E44</f>
        <v>0</v>
      </c>
    </row>
    <row r="45" spans="2:17">
      <c r="B45" s="581"/>
      <c r="C45" s="464"/>
      <c r="D45" s="465"/>
      <c r="E45" s="466"/>
      <c r="F45" s="467"/>
      <c r="G45" s="462"/>
    </row>
    <row r="46" spans="2:17" ht="25.5">
      <c r="B46" s="578">
        <f>MAX(B44:B45)+1</f>
        <v>10</v>
      </c>
      <c r="C46" s="477" t="s">
        <v>417</v>
      </c>
      <c r="D46" s="478" t="s">
        <v>252</v>
      </c>
      <c r="E46" s="461">
        <v>1</v>
      </c>
      <c r="F46" s="574">
        <v>0</v>
      </c>
      <c r="G46" s="462">
        <f>E46*F46</f>
        <v>0</v>
      </c>
    </row>
    <row r="47" spans="2:17">
      <c r="B47" s="570"/>
      <c r="C47" s="571"/>
      <c r="D47" s="572"/>
      <c r="E47" s="573"/>
      <c r="F47" s="574"/>
      <c r="G47" s="575"/>
    </row>
    <row r="48" spans="2:17" ht="24">
      <c r="B48" s="578">
        <f>MAX(B46:B47)+1</f>
        <v>11</v>
      </c>
      <c r="C48" s="1080" t="s">
        <v>2294</v>
      </c>
      <c r="D48" s="480" t="s">
        <v>57</v>
      </c>
      <c r="E48" s="457">
        <v>1040</v>
      </c>
      <c r="F48" s="574">
        <v>0</v>
      </c>
      <c r="G48" s="462">
        <f>F48*E48</f>
        <v>0</v>
      </c>
    </row>
    <row r="49" spans="2:7">
      <c r="B49" s="570"/>
      <c r="C49" s="479"/>
      <c r="D49" s="480"/>
      <c r="E49" s="457"/>
      <c r="F49" s="467"/>
      <c r="G49" s="462"/>
    </row>
    <row r="50" spans="2:7" ht="24">
      <c r="B50" s="578">
        <f>MAX(B48:B49)+1</f>
        <v>12</v>
      </c>
      <c r="C50" s="1080" t="s">
        <v>2293</v>
      </c>
      <c r="D50" s="480" t="s">
        <v>60</v>
      </c>
      <c r="E50" s="457">
        <v>1</v>
      </c>
      <c r="F50" s="574">
        <v>0</v>
      </c>
      <c r="G50" s="462">
        <f>F50*E50</f>
        <v>0</v>
      </c>
    </row>
    <row r="51" spans="2:7">
      <c r="B51" s="578"/>
      <c r="C51" s="479"/>
      <c r="D51" s="480"/>
      <c r="E51" s="457"/>
      <c r="F51" s="467"/>
      <c r="G51" s="462"/>
    </row>
    <row r="52" spans="2:7">
      <c r="B52" s="578">
        <v>13</v>
      </c>
      <c r="C52" s="479" t="s">
        <v>67</v>
      </c>
      <c r="D52" s="480" t="s">
        <v>60</v>
      </c>
      <c r="E52" s="457">
        <v>1</v>
      </c>
      <c r="F52" s="574">
        <v>0</v>
      </c>
      <c r="G52" s="462">
        <f>F52*E52</f>
        <v>0</v>
      </c>
    </row>
    <row r="53" spans="2:7">
      <c r="B53" s="583"/>
      <c r="C53" s="479"/>
      <c r="D53" s="480"/>
      <c r="E53" s="457"/>
      <c r="F53" s="467"/>
      <c r="G53" s="462"/>
    </row>
    <row r="54" spans="2:7" ht="38.25">
      <c r="B54" s="578">
        <v>14</v>
      </c>
      <c r="C54" s="479" t="s">
        <v>64</v>
      </c>
      <c r="D54" s="584" t="s">
        <v>60</v>
      </c>
      <c r="E54" s="585">
        <v>1</v>
      </c>
      <c r="F54" s="574">
        <v>0</v>
      </c>
      <c r="G54" s="529">
        <f>E54*F54</f>
        <v>0</v>
      </c>
    </row>
    <row r="55" spans="2:7">
      <c r="B55" s="583"/>
      <c r="C55" s="479"/>
      <c r="D55" s="584"/>
      <c r="E55" s="585"/>
      <c r="F55" s="586"/>
      <c r="G55" s="529"/>
    </row>
    <row r="56" spans="2:7">
      <c r="B56" s="382" t="s">
        <v>43</v>
      </c>
      <c r="C56" s="482" t="s">
        <v>70</v>
      </c>
      <c r="D56" s="482"/>
      <c r="E56" s="483"/>
      <c r="F56" s="484"/>
      <c r="G56" s="485">
        <f>SUM(G26:G55)</f>
        <v>0</v>
      </c>
    </row>
    <row r="57" spans="2:7" ht="15">
      <c r="B57" s="587"/>
      <c r="C57" s="588"/>
      <c r="D57" s="589"/>
      <c r="E57" s="590"/>
      <c r="F57" s="591"/>
      <c r="G57" s="592"/>
    </row>
    <row r="58" spans="2:7" ht="15">
      <c r="B58" s="587"/>
      <c r="C58" s="588"/>
      <c r="D58" s="589"/>
      <c r="E58" s="590"/>
      <c r="F58" s="591"/>
      <c r="G58" s="592"/>
    </row>
    <row r="59" spans="2:7" ht="24">
      <c r="B59" s="356" t="s">
        <v>41</v>
      </c>
      <c r="C59" s="357" t="s">
        <v>51</v>
      </c>
      <c r="D59" s="358" t="s">
        <v>52</v>
      </c>
      <c r="E59" s="359" t="s">
        <v>53</v>
      </c>
      <c r="F59" s="360" t="s">
        <v>54</v>
      </c>
      <c r="G59" s="361" t="s">
        <v>55</v>
      </c>
    </row>
    <row r="60" spans="2:7">
      <c r="B60" s="362"/>
      <c r="C60" s="389"/>
      <c r="D60" s="374"/>
      <c r="E60" s="128"/>
      <c r="F60" s="129"/>
      <c r="G60" s="130"/>
    </row>
    <row r="61" spans="2:7" ht="20.25">
      <c r="B61" s="365" t="s">
        <v>45</v>
      </c>
      <c r="C61" s="390" t="s">
        <v>71</v>
      </c>
      <c r="D61" s="391"/>
      <c r="E61" s="368"/>
      <c r="F61" s="369"/>
      <c r="G61" s="370"/>
    </row>
    <row r="62" spans="2:7" ht="75" customHeight="1">
      <c r="B62" s="2447" t="s">
        <v>72</v>
      </c>
      <c r="C62" s="2448"/>
      <c r="D62" s="2448"/>
      <c r="E62" s="2448"/>
      <c r="F62" s="2448"/>
      <c r="G62" s="2449"/>
    </row>
    <row r="63" spans="2:7" ht="15">
      <c r="B63" s="593"/>
      <c r="C63" s="576"/>
      <c r="D63" s="572"/>
      <c r="E63" s="573"/>
      <c r="F63" s="574"/>
      <c r="G63" s="574"/>
    </row>
    <row r="64" spans="2:7" ht="15">
      <c r="B64" s="593">
        <f>MAX(B63:B63)+1</f>
        <v>1</v>
      </c>
      <c r="C64" s="571" t="s">
        <v>835</v>
      </c>
      <c r="D64" s="572" t="s">
        <v>832</v>
      </c>
      <c r="E64" s="573">
        <v>380</v>
      </c>
      <c r="F64" s="574">
        <v>0</v>
      </c>
      <c r="G64" s="462">
        <f>F64*E64</f>
        <v>0</v>
      </c>
    </row>
    <row r="65" spans="2:11">
      <c r="B65" s="582"/>
      <c r="C65" s="571"/>
      <c r="D65" s="572"/>
      <c r="E65" s="573"/>
      <c r="F65" s="574"/>
      <c r="G65" s="574"/>
    </row>
    <row r="66" spans="2:11" ht="15" customHeight="1">
      <c r="B66" s="593">
        <f>MAX(B62:B65)+1</f>
        <v>2</v>
      </c>
      <c r="C66" s="464" t="s">
        <v>448</v>
      </c>
      <c r="D66" s="572" t="s">
        <v>78</v>
      </c>
      <c r="E66" s="573">
        <v>260</v>
      </c>
      <c r="F66" s="574">
        <v>0</v>
      </c>
      <c r="G66" s="462">
        <f>F66*E66</f>
        <v>0</v>
      </c>
    </row>
    <row r="67" spans="2:11">
      <c r="B67" s="570"/>
      <c r="C67" s="464"/>
      <c r="D67" s="572"/>
      <c r="E67" s="573"/>
      <c r="F67" s="574"/>
      <c r="G67" s="574"/>
    </row>
    <row r="68" spans="2:11" ht="25.5">
      <c r="B68" s="593">
        <f>MAX(B66:B67)+1</f>
        <v>3</v>
      </c>
      <c r="C68" s="464" t="s">
        <v>456</v>
      </c>
      <c r="D68" s="465" t="s">
        <v>457</v>
      </c>
      <c r="E68" s="466">
        <f>260*0.2</f>
        <v>52</v>
      </c>
      <c r="F68" s="574">
        <v>0</v>
      </c>
      <c r="G68" s="462">
        <f>F68*E68</f>
        <v>0</v>
      </c>
    </row>
    <row r="69" spans="2:11" ht="15">
      <c r="B69" s="593"/>
      <c r="C69" s="576"/>
      <c r="D69" s="572"/>
      <c r="E69" s="573"/>
      <c r="F69" s="574"/>
      <c r="G69" s="574"/>
    </row>
    <row r="70" spans="2:11" ht="76.5">
      <c r="B70" s="593">
        <f>MAX(B64:B69)+1</f>
        <v>4</v>
      </c>
      <c r="C70" s="576" t="s">
        <v>836</v>
      </c>
      <c r="D70" s="572" t="s">
        <v>74</v>
      </c>
      <c r="E70" s="573">
        <v>10</v>
      </c>
      <c r="F70" s="574">
        <v>0</v>
      </c>
      <c r="G70" s="574">
        <f>E70*F70</f>
        <v>0</v>
      </c>
    </row>
    <row r="71" spans="2:11" ht="15">
      <c r="B71" s="594"/>
      <c r="C71" s="576"/>
      <c r="D71" s="572"/>
      <c r="E71" s="573"/>
      <c r="F71" s="574"/>
      <c r="G71" s="575"/>
    </row>
    <row r="72" spans="2:11" ht="76.5">
      <c r="B72" s="593">
        <f>MAX(B66:B71)+1</f>
        <v>5</v>
      </c>
      <c r="C72" s="576" t="s">
        <v>837</v>
      </c>
      <c r="D72" s="572"/>
      <c r="E72" s="572"/>
      <c r="F72" s="574"/>
      <c r="G72" s="574"/>
    </row>
    <row r="73" spans="2:11" ht="15">
      <c r="B73" s="593"/>
      <c r="C73" s="595" t="s">
        <v>838</v>
      </c>
      <c r="D73" s="572" t="s">
        <v>74</v>
      </c>
      <c r="E73" s="596">
        <v>805</v>
      </c>
      <c r="F73" s="574">
        <v>0</v>
      </c>
      <c r="G73" s="574">
        <f>E73*F73</f>
        <v>0</v>
      </c>
    </row>
    <row r="74" spans="2:11" ht="15">
      <c r="B74" s="593"/>
      <c r="C74" s="595" t="s">
        <v>839</v>
      </c>
      <c r="D74" s="572" t="s">
        <v>74</v>
      </c>
      <c r="E74" s="596">
        <v>645</v>
      </c>
      <c r="F74" s="574">
        <v>0</v>
      </c>
      <c r="G74" s="574">
        <f>E74*F74</f>
        <v>0</v>
      </c>
    </row>
    <row r="75" spans="2:11" ht="15">
      <c r="B75" s="594"/>
      <c r="C75" s="595" t="s">
        <v>840</v>
      </c>
      <c r="D75" s="572" t="s">
        <v>74</v>
      </c>
      <c r="E75" s="596">
        <v>160</v>
      </c>
      <c r="F75" s="574">
        <v>0</v>
      </c>
      <c r="G75" s="574">
        <f>E75*F75</f>
        <v>0</v>
      </c>
    </row>
    <row r="76" spans="2:11" ht="15">
      <c r="B76" s="593"/>
      <c r="C76" s="576"/>
      <c r="D76" s="572"/>
      <c r="E76" s="573"/>
      <c r="F76" s="574"/>
      <c r="G76" s="575"/>
    </row>
    <row r="77" spans="2:11" ht="51">
      <c r="B77" s="593">
        <f>MAX(B71:B76)+1</f>
        <v>6</v>
      </c>
      <c r="C77" s="576" t="s">
        <v>841</v>
      </c>
      <c r="D77" s="572"/>
      <c r="E77" s="572"/>
      <c r="F77" s="574"/>
      <c r="G77" s="574"/>
    </row>
    <row r="78" spans="2:11" ht="15">
      <c r="B78" s="593"/>
      <c r="C78" s="595" t="s">
        <v>838</v>
      </c>
      <c r="D78" s="572" t="s">
        <v>74</v>
      </c>
      <c r="E78" s="573">
        <v>90</v>
      </c>
      <c r="F78" s="574">
        <v>0</v>
      </c>
      <c r="G78" s="574">
        <f>E78*F78</f>
        <v>0</v>
      </c>
      <c r="K78" s="597"/>
    </row>
    <row r="79" spans="2:11">
      <c r="B79" s="570"/>
      <c r="C79" s="595" t="s">
        <v>839</v>
      </c>
      <c r="D79" s="572" t="s">
        <v>74</v>
      </c>
      <c r="E79" s="573">
        <v>70</v>
      </c>
      <c r="F79" s="574">
        <v>0</v>
      </c>
      <c r="G79" s="574">
        <f>E79*F79</f>
        <v>0</v>
      </c>
      <c r="K79" s="597"/>
    </row>
    <row r="80" spans="2:11" ht="15">
      <c r="B80" s="593"/>
      <c r="C80" s="595" t="s">
        <v>842</v>
      </c>
      <c r="D80" s="572" t="s">
        <v>74</v>
      </c>
      <c r="E80" s="573">
        <v>20</v>
      </c>
      <c r="F80" s="574">
        <v>0</v>
      </c>
      <c r="G80" s="574">
        <f>E80*F80</f>
        <v>0</v>
      </c>
      <c r="K80" s="597"/>
    </row>
    <row r="81" spans="2:34">
      <c r="B81" s="570"/>
      <c r="C81" s="576"/>
      <c r="D81" s="572"/>
      <c r="E81" s="573"/>
      <c r="F81" s="574"/>
      <c r="G81" s="575"/>
    </row>
    <row r="82" spans="2:34" s="600" customFormat="1" ht="53.25" customHeight="1">
      <c r="B82" s="593">
        <f>MAX(B76:B81)+1</f>
        <v>7</v>
      </c>
      <c r="C82" s="598" t="s">
        <v>843</v>
      </c>
      <c r="D82" s="596" t="s">
        <v>74</v>
      </c>
      <c r="E82" s="596">
        <v>1750</v>
      </c>
      <c r="F82" s="574">
        <v>0</v>
      </c>
      <c r="G82" s="574">
        <f>E82*F82</f>
        <v>0</v>
      </c>
      <c r="H82" s="599"/>
      <c r="I82" s="599"/>
      <c r="J82" s="599"/>
      <c r="K82" s="599"/>
      <c r="L82" s="599"/>
      <c r="M82" s="599"/>
      <c r="N82" s="599"/>
      <c r="O82" s="599"/>
      <c r="P82" s="599"/>
      <c r="Q82" s="599"/>
      <c r="R82" s="599"/>
      <c r="S82" s="599"/>
      <c r="T82" s="599"/>
      <c r="U82" s="599"/>
      <c r="V82" s="599"/>
      <c r="W82" s="599"/>
      <c r="X82" s="599"/>
      <c r="Y82" s="599"/>
      <c r="Z82" s="599"/>
      <c r="AA82" s="599"/>
      <c r="AB82" s="599"/>
      <c r="AC82" s="599"/>
      <c r="AD82" s="599"/>
      <c r="AE82" s="599"/>
      <c r="AF82" s="599"/>
      <c r="AG82" s="599"/>
      <c r="AH82" s="599"/>
    </row>
    <row r="83" spans="2:34">
      <c r="B83" s="570"/>
      <c r="C83" s="571"/>
      <c r="D83" s="572"/>
      <c r="E83" s="573"/>
      <c r="F83" s="574"/>
      <c r="G83" s="575"/>
    </row>
    <row r="84" spans="2:34" ht="63.75">
      <c r="B84" s="593">
        <f>MAX(B82:B83)+1</f>
        <v>8</v>
      </c>
      <c r="C84" s="576" t="s">
        <v>844</v>
      </c>
      <c r="D84" s="572" t="s">
        <v>78</v>
      </c>
      <c r="E84" s="573">
        <v>2200</v>
      </c>
      <c r="F84" s="574">
        <v>0</v>
      </c>
      <c r="G84" s="574">
        <f>E84*F84</f>
        <v>0</v>
      </c>
      <c r="I84" s="601"/>
    </row>
    <row r="85" spans="2:34">
      <c r="B85" s="570"/>
      <c r="C85" s="571"/>
      <c r="D85" s="572"/>
      <c r="E85" s="573"/>
      <c r="F85" s="574"/>
      <c r="G85" s="575"/>
    </row>
    <row r="86" spans="2:34" ht="25.5">
      <c r="B86" s="593">
        <f>MAX(B84:B85)+1</f>
        <v>9</v>
      </c>
      <c r="C86" s="576" t="s">
        <v>845</v>
      </c>
      <c r="D86" s="572" t="s">
        <v>78</v>
      </c>
      <c r="E86" s="573">
        <v>1010</v>
      </c>
      <c r="F86" s="574">
        <v>0</v>
      </c>
      <c r="G86" s="574">
        <f>E86*F86</f>
        <v>0</v>
      </c>
    </row>
    <row r="87" spans="2:34">
      <c r="B87" s="570"/>
      <c r="C87" s="571"/>
      <c r="D87" s="572"/>
      <c r="E87" s="573"/>
      <c r="F87" s="574"/>
      <c r="G87" s="575"/>
    </row>
    <row r="88" spans="2:34" ht="51">
      <c r="B88" s="593">
        <f>MAX(B86:B87)+1</f>
        <v>10</v>
      </c>
      <c r="C88" s="576" t="s">
        <v>846</v>
      </c>
      <c r="D88" s="572" t="s">
        <v>74</v>
      </c>
      <c r="E88" s="573">
        <v>130</v>
      </c>
      <c r="F88" s="574">
        <v>0</v>
      </c>
      <c r="G88" s="574">
        <f>E88*F88</f>
        <v>0</v>
      </c>
    </row>
    <row r="89" spans="2:34">
      <c r="B89" s="570"/>
      <c r="C89" s="571"/>
      <c r="D89" s="572"/>
      <c r="E89" s="573"/>
      <c r="F89" s="574"/>
      <c r="G89" s="575"/>
    </row>
    <row r="90" spans="2:34" ht="78" customHeight="1">
      <c r="B90" s="570">
        <v>11</v>
      </c>
      <c r="C90" s="576" t="s">
        <v>847</v>
      </c>
      <c r="D90" s="572" t="s">
        <v>74</v>
      </c>
      <c r="E90" s="573">
        <v>255</v>
      </c>
      <c r="F90" s="574">
        <v>0</v>
      </c>
      <c r="G90" s="574">
        <f>E90*F90</f>
        <v>0</v>
      </c>
    </row>
    <row r="91" spans="2:34">
      <c r="B91" s="570"/>
      <c r="C91" s="571"/>
      <c r="D91" s="572"/>
      <c r="E91" s="573"/>
      <c r="F91" s="574"/>
      <c r="G91" s="575"/>
    </row>
    <row r="92" spans="2:34" ht="56.25" customHeight="1">
      <c r="B92" s="570">
        <v>12</v>
      </c>
      <c r="C92" s="576" t="s">
        <v>848</v>
      </c>
      <c r="D92" s="572" t="s">
        <v>74</v>
      </c>
      <c r="E92" s="573">
        <v>1175</v>
      </c>
      <c r="F92" s="574">
        <v>0</v>
      </c>
      <c r="G92" s="574">
        <f>E92*F92</f>
        <v>0</v>
      </c>
    </row>
    <row r="93" spans="2:34">
      <c r="B93" s="602"/>
      <c r="C93" s="571"/>
      <c r="D93" s="572"/>
      <c r="E93" s="573"/>
      <c r="F93" s="574"/>
      <c r="G93" s="575"/>
    </row>
    <row r="94" spans="2:34" ht="51">
      <c r="B94" s="570">
        <v>13</v>
      </c>
      <c r="C94" s="603" t="s">
        <v>849</v>
      </c>
      <c r="D94" s="571" t="s">
        <v>74</v>
      </c>
      <c r="E94" s="573">
        <v>255</v>
      </c>
      <c r="F94" s="574">
        <v>0</v>
      </c>
      <c r="G94" s="574">
        <f>E94*F94</f>
        <v>0</v>
      </c>
    </row>
    <row r="95" spans="2:34">
      <c r="B95" s="602"/>
      <c r="C95" s="571"/>
      <c r="D95" s="571"/>
      <c r="E95" s="573"/>
      <c r="F95" s="574"/>
      <c r="G95" s="575"/>
    </row>
    <row r="96" spans="2:34" ht="25.5">
      <c r="B96" s="570">
        <v>14</v>
      </c>
      <c r="C96" s="603" t="s">
        <v>850</v>
      </c>
      <c r="D96" s="571" t="s">
        <v>78</v>
      </c>
      <c r="E96" s="573">
        <v>260</v>
      </c>
      <c r="F96" s="574">
        <v>0</v>
      </c>
      <c r="G96" s="574">
        <f>E96*F96</f>
        <v>0</v>
      </c>
    </row>
    <row r="97" spans="2:8">
      <c r="B97" s="570"/>
      <c r="C97" s="603"/>
      <c r="D97" s="571"/>
      <c r="E97" s="573"/>
      <c r="F97" s="574"/>
      <c r="G97" s="575"/>
    </row>
    <row r="98" spans="2:8" ht="25.5">
      <c r="B98" s="593">
        <v>15</v>
      </c>
      <c r="C98" s="603" t="s">
        <v>851</v>
      </c>
      <c r="D98" s="571" t="s">
        <v>78</v>
      </c>
      <c r="E98" s="573">
        <v>260</v>
      </c>
      <c r="F98" s="574">
        <v>0</v>
      </c>
      <c r="G98" s="574">
        <f>E98*F98</f>
        <v>0</v>
      </c>
    </row>
    <row r="99" spans="2:8">
      <c r="B99" s="570"/>
      <c r="C99" s="603"/>
      <c r="D99" s="571"/>
      <c r="E99" s="573"/>
      <c r="F99" s="574"/>
      <c r="G99" s="575"/>
    </row>
    <row r="100" spans="2:8" ht="25.5">
      <c r="B100" s="593">
        <v>16</v>
      </c>
      <c r="C100" s="603" t="s">
        <v>852</v>
      </c>
      <c r="D100" s="571" t="s">
        <v>78</v>
      </c>
      <c r="E100" s="573">
        <v>260</v>
      </c>
      <c r="F100" s="574">
        <v>0</v>
      </c>
      <c r="G100" s="574">
        <f>E100*F100</f>
        <v>0</v>
      </c>
    </row>
    <row r="101" spans="2:8">
      <c r="B101" s="570"/>
      <c r="C101" s="603"/>
      <c r="D101" s="604"/>
      <c r="E101" s="573"/>
      <c r="F101" s="574"/>
      <c r="G101" s="575"/>
    </row>
    <row r="102" spans="2:8" ht="76.5">
      <c r="B102" s="593">
        <v>17</v>
      </c>
      <c r="C102" s="576" t="s">
        <v>853</v>
      </c>
      <c r="D102" s="572" t="s">
        <v>74</v>
      </c>
      <c r="E102" s="573">
        <v>81</v>
      </c>
      <c r="F102" s="574">
        <v>0</v>
      </c>
      <c r="G102" s="574">
        <f>E102*F102</f>
        <v>0</v>
      </c>
    </row>
    <row r="103" spans="2:8">
      <c r="B103" s="570"/>
      <c r="C103" s="576"/>
      <c r="D103" s="572"/>
      <c r="E103" s="573"/>
      <c r="F103" s="574"/>
      <c r="G103" s="575"/>
    </row>
    <row r="104" spans="2:8" ht="25.5">
      <c r="B104" s="593">
        <f>MAX(B102:B103)+1</f>
        <v>18</v>
      </c>
      <c r="C104" s="576" t="s">
        <v>854</v>
      </c>
      <c r="D104" s="572" t="s">
        <v>74</v>
      </c>
      <c r="E104" s="573">
        <v>10</v>
      </c>
      <c r="F104" s="574">
        <v>0</v>
      </c>
      <c r="G104" s="574">
        <f>E104*F104</f>
        <v>0</v>
      </c>
    </row>
    <row r="105" spans="2:8">
      <c r="B105" s="570"/>
      <c r="C105" s="571"/>
      <c r="D105" s="572"/>
      <c r="E105" s="573"/>
      <c r="F105" s="574"/>
      <c r="G105" s="575"/>
    </row>
    <row r="106" spans="2:8" ht="45" customHeight="1">
      <c r="B106" s="593">
        <f>MAX(B104:B105)+1</f>
        <v>19</v>
      </c>
      <c r="C106" s="576" t="s">
        <v>855</v>
      </c>
      <c r="D106" s="572" t="s">
        <v>57</v>
      </c>
      <c r="E106" s="573">
        <v>20</v>
      </c>
      <c r="F106" s="574">
        <v>0</v>
      </c>
      <c r="G106" s="574">
        <f>E106*F106</f>
        <v>0</v>
      </c>
    </row>
    <row r="107" spans="2:8">
      <c r="B107" s="570"/>
      <c r="C107" s="571"/>
      <c r="D107" s="572"/>
      <c r="E107" s="573"/>
      <c r="F107" s="574"/>
      <c r="G107" s="575"/>
    </row>
    <row r="108" spans="2:8" ht="25.5">
      <c r="B108" s="593">
        <f>MAX(B106:B107)+1</f>
        <v>20</v>
      </c>
      <c r="C108" s="576" t="s">
        <v>856</v>
      </c>
      <c r="D108" s="572" t="s">
        <v>60</v>
      </c>
      <c r="E108" s="573">
        <v>2</v>
      </c>
      <c r="F108" s="574">
        <v>0</v>
      </c>
      <c r="G108" s="574">
        <f>E108*F108</f>
        <v>0</v>
      </c>
    </row>
    <row r="109" spans="2:8">
      <c r="B109" s="570"/>
      <c r="C109" s="576"/>
      <c r="D109" s="572"/>
      <c r="E109" s="573"/>
      <c r="F109" s="574"/>
      <c r="G109" s="575"/>
    </row>
    <row r="110" spans="2:8" ht="51">
      <c r="B110" s="593">
        <f>MAX(B108:B109)+1</f>
        <v>21</v>
      </c>
      <c r="C110" s="576" t="s">
        <v>857</v>
      </c>
      <c r="D110" s="572" t="s">
        <v>78</v>
      </c>
      <c r="E110" s="573">
        <v>80</v>
      </c>
      <c r="F110" s="574">
        <v>0</v>
      </c>
      <c r="G110" s="574">
        <f>E110*F110</f>
        <v>0</v>
      </c>
    </row>
    <row r="111" spans="2:8">
      <c r="B111" s="570"/>
      <c r="C111" s="571"/>
      <c r="D111" s="572"/>
      <c r="E111" s="573"/>
      <c r="F111" s="574"/>
      <c r="G111" s="575"/>
    </row>
    <row r="112" spans="2:8" s="166" customFormat="1" ht="51.75" customHeight="1">
      <c r="B112" s="593">
        <v>22</v>
      </c>
      <c r="C112" s="1769" t="s">
        <v>292</v>
      </c>
      <c r="D112" s="1770"/>
      <c r="E112" s="1715"/>
      <c r="F112" s="1713"/>
      <c r="G112" s="1714"/>
      <c r="H112" s="1703"/>
    </row>
    <row r="113" spans="2:34" s="166" customFormat="1" ht="15">
      <c r="B113" s="593"/>
      <c r="C113" s="1771" t="s">
        <v>1523</v>
      </c>
      <c r="D113" s="1770" t="s">
        <v>57</v>
      </c>
      <c r="E113" s="1715">
        <v>10</v>
      </c>
      <c r="F113" s="1713">
        <v>0</v>
      </c>
      <c r="G113" s="1714">
        <f t="shared" ref="G113:G114" si="0">E113*F113</f>
        <v>0</v>
      </c>
      <c r="H113" s="1703"/>
    </row>
    <row r="114" spans="2:34" s="166" customFormat="1" ht="15">
      <c r="B114" s="593"/>
      <c r="C114" s="1771" t="s">
        <v>1523</v>
      </c>
      <c r="D114" s="1770" t="s">
        <v>57</v>
      </c>
      <c r="E114" s="1715">
        <v>6</v>
      </c>
      <c r="F114" s="1713">
        <v>0</v>
      </c>
      <c r="G114" s="1714">
        <f t="shared" si="0"/>
        <v>0</v>
      </c>
      <c r="H114" s="1703"/>
    </row>
    <row r="115" spans="2:34" s="166" customFormat="1" ht="15">
      <c r="B115" s="593"/>
      <c r="C115" s="1771" t="s">
        <v>1523</v>
      </c>
      <c r="D115" s="1770" t="s">
        <v>57</v>
      </c>
      <c r="E115" s="1715">
        <v>17</v>
      </c>
      <c r="F115" s="1713">
        <v>0</v>
      </c>
      <c r="G115" s="1714">
        <f t="shared" ref="G115" si="1">E115*F115</f>
        <v>0</v>
      </c>
      <c r="H115" s="1703"/>
    </row>
    <row r="116" spans="2:34" s="1" customFormat="1" ht="39.75" customHeight="1">
      <c r="B116" s="593">
        <v>23</v>
      </c>
      <c r="C116" s="1772" t="s">
        <v>295</v>
      </c>
      <c r="D116" s="1232"/>
      <c r="E116" s="1715"/>
      <c r="F116" s="1713"/>
      <c r="G116" s="1714"/>
      <c r="H116" s="1703"/>
    </row>
    <row r="117" spans="2:34" s="166" customFormat="1" ht="15">
      <c r="B117" s="593"/>
      <c r="C117" s="1771" t="s">
        <v>1524</v>
      </c>
      <c r="D117" s="1770" t="s">
        <v>57</v>
      </c>
      <c r="E117" s="1715">
        <v>14</v>
      </c>
      <c r="F117" s="1713">
        <v>0</v>
      </c>
      <c r="G117" s="1714">
        <f t="shared" ref="G117" si="2">E117*F117</f>
        <v>0</v>
      </c>
      <c r="H117" s="1703"/>
    </row>
    <row r="118" spans="2:34" s="166" customFormat="1" ht="15">
      <c r="B118" s="593"/>
      <c r="C118" s="1771" t="s">
        <v>1524</v>
      </c>
      <c r="D118" s="1770" t="s">
        <v>57</v>
      </c>
      <c r="E118" s="1715">
        <v>9</v>
      </c>
      <c r="F118" s="1713">
        <v>0</v>
      </c>
      <c r="G118" s="1714">
        <f t="shared" ref="G118" si="3">E118*F118</f>
        <v>0</v>
      </c>
      <c r="H118" s="1703"/>
    </row>
    <row r="119" spans="2:34">
      <c r="B119" s="570"/>
      <c r="C119" s="571"/>
      <c r="D119" s="572"/>
      <c r="E119" s="573"/>
      <c r="F119" s="574"/>
      <c r="G119" s="575"/>
    </row>
    <row r="120" spans="2:34" s="569" customFormat="1" ht="38.25">
      <c r="B120" s="593">
        <v>24</v>
      </c>
      <c r="C120" s="576" t="s">
        <v>858</v>
      </c>
      <c r="D120" s="572" t="s">
        <v>74</v>
      </c>
      <c r="E120" s="573">
        <v>2</v>
      </c>
      <c r="F120" s="574">
        <v>0</v>
      </c>
      <c r="G120" s="574">
        <f>E120*F120</f>
        <v>0</v>
      </c>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row>
    <row r="121" spans="2:34">
      <c r="B121" s="570"/>
      <c r="C121" s="571"/>
      <c r="D121" s="572"/>
      <c r="E121" s="573"/>
      <c r="F121" s="574"/>
      <c r="G121" s="575"/>
    </row>
    <row r="122" spans="2:34" s="569" customFormat="1" ht="38.25">
      <c r="B122" s="593">
        <f>MAX(B120:B121)+1</f>
        <v>25</v>
      </c>
      <c r="C122" s="576" t="s">
        <v>859</v>
      </c>
      <c r="D122" s="572" t="s">
        <v>74</v>
      </c>
      <c r="E122" s="573">
        <v>8</v>
      </c>
      <c r="F122" s="574">
        <v>0</v>
      </c>
      <c r="G122" s="574">
        <f>E122*F122</f>
        <v>0</v>
      </c>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row>
    <row r="123" spans="2:34">
      <c r="B123" s="570"/>
      <c r="C123" s="571"/>
      <c r="D123" s="572"/>
      <c r="E123" s="573"/>
      <c r="F123" s="574"/>
      <c r="G123" s="575"/>
    </row>
    <row r="124" spans="2:34" s="569" customFormat="1" ht="25.5">
      <c r="B124" s="593">
        <f>MAX(B122:B123)+1</f>
        <v>26</v>
      </c>
      <c r="C124" s="576" t="s">
        <v>860</v>
      </c>
      <c r="D124" s="572" t="s">
        <v>74</v>
      </c>
      <c r="E124" s="573">
        <v>4</v>
      </c>
      <c r="F124" s="574">
        <v>0</v>
      </c>
      <c r="G124" s="574">
        <f>E124*F124</f>
        <v>0</v>
      </c>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row>
    <row r="125" spans="2:34">
      <c r="B125" s="570"/>
      <c r="C125" s="571"/>
      <c r="D125" s="572"/>
      <c r="E125" s="573"/>
      <c r="F125" s="574"/>
      <c r="G125" s="575"/>
    </row>
    <row r="126" spans="2:34" ht="31.5" customHeight="1">
      <c r="B126" s="593">
        <f>MAX(B124:B125)+1</f>
        <v>27</v>
      </c>
      <c r="C126" s="490" t="s">
        <v>97</v>
      </c>
      <c r="D126" s="572" t="s">
        <v>74</v>
      </c>
      <c r="E126" s="573">
        <v>4</v>
      </c>
      <c r="F126" s="574">
        <v>0</v>
      </c>
      <c r="G126" s="574">
        <f>F126*E126</f>
        <v>0</v>
      </c>
    </row>
    <row r="127" spans="2:34">
      <c r="B127" s="570"/>
      <c r="C127" s="576"/>
      <c r="D127" s="572"/>
      <c r="E127" s="573"/>
      <c r="F127" s="574"/>
      <c r="G127" s="574"/>
    </row>
    <row r="128" spans="2:34" ht="25.5">
      <c r="B128" s="593">
        <f>MAX(B126:B127)+1</f>
        <v>28</v>
      </c>
      <c r="C128" s="576" t="s">
        <v>861</v>
      </c>
      <c r="D128" s="572" t="s">
        <v>74</v>
      </c>
      <c r="E128" s="573">
        <v>5</v>
      </c>
      <c r="F128" s="574">
        <v>0</v>
      </c>
      <c r="G128" s="574">
        <f>F128*E128</f>
        <v>0</v>
      </c>
    </row>
    <row r="129" spans="2:34">
      <c r="B129" s="570"/>
      <c r="C129" s="576"/>
      <c r="D129" s="572"/>
      <c r="E129" s="573"/>
      <c r="F129" s="574"/>
      <c r="G129" s="574"/>
    </row>
    <row r="130" spans="2:34" ht="27.75" customHeight="1">
      <c r="B130" s="593">
        <f>MAX(B128:B129)+1</f>
        <v>29</v>
      </c>
      <c r="C130" s="576" t="s">
        <v>862</v>
      </c>
      <c r="D130" s="572" t="s">
        <v>74</v>
      </c>
      <c r="E130" s="573">
        <v>2</v>
      </c>
      <c r="F130" s="574">
        <v>0</v>
      </c>
      <c r="G130" s="574">
        <f>F130*E130</f>
        <v>0</v>
      </c>
    </row>
    <row r="131" spans="2:34" ht="12.75" customHeight="1">
      <c r="B131" s="593"/>
      <c r="C131" s="576"/>
      <c r="D131" s="572"/>
      <c r="E131" s="573"/>
      <c r="F131" s="574"/>
      <c r="G131" s="574"/>
    </row>
    <row r="132" spans="2:34" ht="27.75" customHeight="1">
      <c r="B132" s="593">
        <f>MAX(B130:B131)+1</f>
        <v>30</v>
      </c>
      <c r="C132" s="605" t="s">
        <v>99</v>
      </c>
      <c r="D132" s="606" t="s">
        <v>74</v>
      </c>
      <c r="E132" s="607">
        <v>3</v>
      </c>
      <c r="F132" s="574">
        <v>0</v>
      </c>
      <c r="G132" s="499">
        <f>E132*F132</f>
        <v>0</v>
      </c>
    </row>
    <row r="133" spans="2:34" s="569" customFormat="1">
      <c r="B133" s="570"/>
      <c r="C133" s="576"/>
      <c r="D133" s="572"/>
      <c r="E133" s="573"/>
      <c r="F133" s="574"/>
      <c r="G133" s="574"/>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row>
    <row r="134" spans="2:34" s="569" customFormat="1" ht="13.5" thickBot="1">
      <c r="B134" s="608" t="s">
        <v>45</v>
      </c>
      <c r="C134" s="609" t="s">
        <v>101</v>
      </c>
      <c r="D134" s="608"/>
      <c r="E134" s="610"/>
      <c r="F134" s="611"/>
      <c r="G134" s="612">
        <f>SUM(G63:G133)</f>
        <v>0</v>
      </c>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row>
    <row r="135" spans="2:34" ht="13.5" thickTop="1">
      <c r="B135" s="613"/>
      <c r="C135" s="614"/>
      <c r="D135" s="614"/>
      <c r="E135" s="615"/>
      <c r="F135" s="616"/>
      <c r="G135" s="617"/>
    </row>
    <row r="136" spans="2:34">
      <c r="B136" s="618"/>
      <c r="C136" s="619"/>
      <c r="D136" s="620"/>
      <c r="E136" s="621"/>
      <c r="F136" s="622"/>
      <c r="G136" s="623"/>
    </row>
    <row r="137" spans="2:34">
      <c r="B137" s="624"/>
      <c r="C137" s="562"/>
      <c r="D137" s="569"/>
      <c r="E137" s="625"/>
      <c r="F137" s="626"/>
      <c r="G137" s="627"/>
    </row>
    <row r="138" spans="2:34" ht="24">
      <c r="B138" s="356" t="s">
        <v>41</v>
      </c>
      <c r="C138" s="357" t="s">
        <v>51</v>
      </c>
      <c r="D138" s="357" t="s">
        <v>52</v>
      </c>
      <c r="E138" s="359" t="s">
        <v>53</v>
      </c>
      <c r="F138" s="360" t="s">
        <v>54</v>
      </c>
      <c r="G138" s="361" t="s">
        <v>55</v>
      </c>
    </row>
    <row r="139" spans="2:34">
      <c r="B139" s="362"/>
      <c r="C139" s="363"/>
      <c r="D139" s="374"/>
      <c r="E139" s="128"/>
      <c r="F139" s="129"/>
      <c r="G139" s="130"/>
    </row>
    <row r="140" spans="2:34" ht="20.25">
      <c r="B140" s="404" t="s">
        <v>47</v>
      </c>
      <c r="C140" s="405" t="s">
        <v>102</v>
      </c>
      <c r="D140" s="391"/>
      <c r="E140" s="368"/>
      <c r="F140" s="369"/>
      <c r="G140" s="370"/>
    </row>
    <row r="141" spans="2:34">
      <c r="B141" s="294" t="s">
        <v>2</v>
      </c>
      <c r="C141" s="295"/>
      <c r="D141" s="296"/>
      <c r="E141" s="296"/>
      <c r="F141" s="296"/>
      <c r="G141" s="297"/>
    </row>
    <row r="142" spans="2:34">
      <c r="B142" s="298" t="s">
        <v>3</v>
      </c>
      <c r="C142" s="299"/>
      <c r="D142" s="300"/>
      <c r="E142" s="301"/>
      <c r="F142" s="301"/>
      <c r="G142" s="300"/>
    </row>
    <row r="143" spans="2:34">
      <c r="B143" s="294" t="s">
        <v>4</v>
      </c>
      <c r="C143" s="295"/>
      <c r="D143" s="296"/>
      <c r="E143" s="296"/>
      <c r="F143" s="296"/>
      <c r="G143" s="297"/>
    </row>
    <row r="144" spans="2:34">
      <c r="B144" s="298" t="s">
        <v>5</v>
      </c>
      <c r="C144" s="299"/>
      <c r="D144" s="301"/>
      <c r="E144" s="301"/>
      <c r="F144" s="301"/>
      <c r="G144" s="300"/>
    </row>
    <row r="145" spans="2:8">
      <c r="B145" s="2447" t="s">
        <v>271</v>
      </c>
      <c r="C145" s="2448"/>
      <c r="D145" s="2448"/>
      <c r="E145" s="2448"/>
      <c r="F145" s="2448"/>
      <c r="G145" s="2449"/>
    </row>
    <row r="146" spans="2:8">
      <c r="B146" s="2447" t="s">
        <v>104</v>
      </c>
      <c r="C146" s="2448"/>
      <c r="D146" s="2448"/>
      <c r="E146" s="2448"/>
      <c r="F146" s="2448"/>
      <c r="G146" s="2449"/>
    </row>
    <row r="147" spans="2:8">
      <c r="B147" s="2447" t="s">
        <v>105</v>
      </c>
      <c r="C147" s="2448"/>
      <c r="D147" s="2448"/>
      <c r="E147" s="2448"/>
      <c r="F147" s="2448"/>
      <c r="G147" s="2449"/>
    </row>
    <row r="148" spans="2:8">
      <c r="B148" s="628"/>
      <c r="C148" s="469"/>
      <c r="D148" s="476"/>
      <c r="E148" s="461"/>
      <c r="F148" s="467"/>
      <c r="G148" s="462"/>
    </row>
    <row r="149" spans="2:8" ht="25.5">
      <c r="B149" s="629">
        <v>1</v>
      </c>
      <c r="C149" s="509" t="s">
        <v>106</v>
      </c>
      <c r="D149" s="509"/>
      <c r="E149" s="510"/>
      <c r="F149" s="511"/>
      <c r="G149" s="512"/>
    </row>
    <row r="150" spans="2:8">
      <c r="B150" s="630"/>
      <c r="C150" s="271" t="s">
        <v>487</v>
      </c>
      <c r="D150" s="514" t="s">
        <v>57</v>
      </c>
      <c r="E150" s="515">
        <v>310</v>
      </c>
      <c r="F150" s="574">
        <v>0</v>
      </c>
      <c r="G150" s="459">
        <f>E150*F150</f>
        <v>0</v>
      </c>
    </row>
    <row r="151" spans="2:8">
      <c r="B151" s="630"/>
      <c r="C151" s="271" t="s">
        <v>488</v>
      </c>
      <c r="D151" s="514" t="s">
        <v>57</v>
      </c>
      <c r="E151" s="515">
        <v>730</v>
      </c>
      <c r="F151" s="574">
        <v>0</v>
      </c>
      <c r="G151" s="459">
        <f>E151*F151</f>
        <v>0</v>
      </c>
    </row>
    <row r="152" spans="2:8">
      <c r="B152" s="630"/>
      <c r="C152" s="271"/>
      <c r="D152" s="514"/>
      <c r="E152" s="515"/>
      <c r="F152" s="516"/>
      <c r="G152" s="512"/>
    </row>
    <row r="153" spans="2:8" ht="38.25">
      <c r="B153" s="631">
        <v>2</v>
      </c>
      <c r="C153" s="520" t="s">
        <v>114</v>
      </c>
      <c r="D153" s="401" t="s">
        <v>57</v>
      </c>
      <c r="E153" s="521">
        <v>1040</v>
      </c>
      <c r="F153" s="1773">
        <v>0</v>
      </c>
      <c r="G153" s="459">
        <f>E153*F153</f>
        <v>0</v>
      </c>
    </row>
    <row r="154" spans="2:8" ht="38.25">
      <c r="B154" s="632" t="s">
        <v>115</v>
      </c>
      <c r="C154" s="520" t="s">
        <v>116</v>
      </c>
      <c r="D154" s="401" t="s">
        <v>57</v>
      </c>
      <c r="E154" s="521">
        <v>1040</v>
      </c>
      <c r="F154" s="1773">
        <v>0</v>
      </c>
      <c r="G154" s="459">
        <f>E154*F154</f>
        <v>0</v>
      </c>
    </row>
    <row r="155" spans="2:8" ht="25.5">
      <c r="B155" s="632" t="s">
        <v>117</v>
      </c>
      <c r="C155" s="520" t="s">
        <v>118</v>
      </c>
      <c r="D155" s="401" t="s">
        <v>57</v>
      </c>
      <c r="E155" s="521">
        <v>1040</v>
      </c>
      <c r="F155" s="1773">
        <v>0</v>
      </c>
      <c r="G155" s="459">
        <f>E155*F155</f>
        <v>0</v>
      </c>
    </row>
    <row r="156" spans="2:8" ht="38.25">
      <c r="B156" s="632" t="s">
        <v>119</v>
      </c>
      <c r="C156" s="520" t="s">
        <v>120</v>
      </c>
      <c r="D156" s="401" t="s">
        <v>57</v>
      </c>
      <c r="E156" s="521">
        <v>1040</v>
      </c>
      <c r="F156" s="1773">
        <v>0</v>
      </c>
      <c r="G156" s="459">
        <f>E156*F156</f>
        <v>0</v>
      </c>
    </row>
    <row r="157" spans="2:8">
      <c r="B157" s="630"/>
      <c r="C157" s="271"/>
      <c r="D157" s="514"/>
      <c r="E157" s="515"/>
      <c r="F157" s="516"/>
      <c r="G157" s="512"/>
    </row>
    <row r="158" spans="2:8" s="1" customFormat="1" ht="27.75" customHeight="1">
      <c r="B158" s="188">
        <v>3</v>
      </c>
      <c r="C158" s="200" t="s">
        <v>121</v>
      </c>
      <c r="D158" s="127"/>
      <c r="E158" s="128"/>
      <c r="F158" s="129"/>
      <c r="G158" s="130"/>
      <c r="H158" s="1703"/>
    </row>
    <row r="159" spans="2:8" s="1" customFormat="1">
      <c r="B159" s="125"/>
      <c r="C159" s="1765" t="s">
        <v>276</v>
      </c>
      <c r="D159" s="203"/>
      <c r="E159" s="204"/>
      <c r="F159" s="205"/>
      <c r="G159" s="206"/>
      <c r="H159" s="1703"/>
    </row>
    <row r="160" spans="2:8" s="1" customFormat="1" ht="18" customHeight="1">
      <c r="B160" s="125"/>
      <c r="C160" s="1709" t="s">
        <v>277</v>
      </c>
      <c r="D160" s="209" t="s">
        <v>66</v>
      </c>
      <c r="E160" s="204">
        <v>1</v>
      </c>
      <c r="F160" s="1725">
        <v>0</v>
      </c>
      <c r="G160" s="1726">
        <f t="shared" ref="G160:G165" si="4">E160*F160</f>
        <v>0</v>
      </c>
      <c r="H160" s="1703"/>
    </row>
    <row r="161" spans="2:8" s="1" customFormat="1" ht="18" customHeight="1">
      <c r="B161" s="125"/>
      <c r="C161" s="1709" t="s">
        <v>278</v>
      </c>
      <c r="D161" s="209" t="s">
        <v>66</v>
      </c>
      <c r="E161" s="204">
        <v>7</v>
      </c>
      <c r="F161" s="1725">
        <v>0</v>
      </c>
      <c r="G161" s="1726">
        <f t="shared" si="4"/>
        <v>0</v>
      </c>
      <c r="H161" s="1703"/>
    </row>
    <row r="162" spans="2:8" s="1" customFormat="1" ht="18" customHeight="1">
      <c r="B162" s="125"/>
      <c r="C162" s="1709" t="s">
        <v>1533</v>
      </c>
      <c r="D162" s="209" t="s">
        <v>66</v>
      </c>
      <c r="E162" s="204">
        <v>3</v>
      </c>
      <c r="F162" s="1725">
        <v>0</v>
      </c>
      <c r="G162" s="1726">
        <f t="shared" si="4"/>
        <v>0</v>
      </c>
      <c r="H162" s="1703"/>
    </row>
    <row r="163" spans="2:8" s="1" customFormat="1" ht="18" customHeight="1">
      <c r="B163" s="125"/>
      <c r="C163" s="1709" t="s">
        <v>279</v>
      </c>
      <c r="D163" s="209" t="s">
        <v>66</v>
      </c>
      <c r="E163" s="204">
        <v>9</v>
      </c>
      <c r="F163" s="1725">
        <v>0</v>
      </c>
      <c r="G163" s="1726">
        <f t="shared" si="4"/>
        <v>0</v>
      </c>
      <c r="H163" s="1703"/>
    </row>
    <row r="164" spans="2:8" s="179" customFormat="1" ht="18" customHeight="1">
      <c r="B164" s="207"/>
      <c r="C164" s="1724" t="s">
        <v>280</v>
      </c>
      <c r="D164" s="209" t="s">
        <v>66</v>
      </c>
      <c r="E164" s="204">
        <v>32</v>
      </c>
      <c r="F164" s="1725">
        <v>0</v>
      </c>
      <c r="G164" s="1726">
        <f t="shared" si="4"/>
        <v>0</v>
      </c>
      <c r="H164" s="1727"/>
    </row>
    <row r="165" spans="2:8" s="179" customFormat="1" ht="18" customHeight="1">
      <c r="B165" s="207"/>
      <c r="C165" s="1724" t="s">
        <v>2121</v>
      </c>
      <c r="D165" s="209" t="s">
        <v>66</v>
      </c>
      <c r="E165" s="204">
        <v>5</v>
      </c>
      <c r="F165" s="1725">
        <v>0</v>
      </c>
      <c r="G165" s="1726">
        <f t="shared" si="4"/>
        <v>0</v>
      </c>
      <c r="H165" s="1727"/>
    </row>
    <row r="166" spans="2:8" s="217" customFormat="1">
      <c r="B166" s="218"/>
      <c r="C166" s="212" t="s">
        <v>281</v>
      </c>
      <c r="D166" s="213"/>
      <c r="E166" s="214"/>
      <c r="F166" s="215"/>
      <c r="G166" s="216"/>
      <c r="H166" s="1703"/>
    </row>
    <row r="167" spans="2:8" s="217" customFormat="1" ht="18" customHeight="1">
      <c r="B167" s="218"/>
      <c r="C167" s="219" t="s">
        <v>282</v>
      </c>
      <c r="D167" s="213" t="s">
        <v>66</v>
      </c>
      <c r="E167" s="214">
        <v>1</v>
      </c>
      <c r="F167" s="1766">
        <v>0</v>
      </c>
      <c r="G167" s="1767">
        <f t="shared" ref="G167:G173" si="5">E167*F167</f>
        <v>0</v>
      </c>
      <c r="H167" s="1703"/>
    </row>
    <row r="168" spans="2:8" s="217" customFormat="1" ht="38.25" customHeight="1">
      <c r="B168" s="218"/>
      <c r="C168" s="222" t="s">
        <v>283</v>
      </c>
      <c r="D168" s="213" t="s">
        <v>66</v>
      </c>
      <c r="E168" s="214">
        <v>1</v>
      </c>
      <c r="F168" s="1766">
        <v>0</v>
      </c>
      <c r="G168" s="1767">
        <f t="shared" si="5"/>
        <v>0</v>
      </c>
      <c r="H168" s="1703"/>
    </row>
    <row r="169" spans="2:8" s="217" customFormat="1">
      <c r="B169" s="218"/>
      <c r="C169" s="222" t="s">
        <v>183</v>
      </c>
      <c r="D169" s="213" t="s">
        <v>66</v>
      </c>
      <c r="E169" s="214">
        <v>1</v>
      </c>
      <c r="F169" s="1766">
        <v>0</v>
      </c>
      <c r="G169" s="1767">
        <f t="shared" si="5"/>
        <v>0</v>
      </c>
      <c r="H169" s="1703"/>
    </row>
    <row r="170" spans="2:8" s="217" customFormat="1">
      <c r="B170" s="218"/>
      <c r="C170" s="222" t="s">
        <v>131</v>
      </c>
      <c r="D170" s="213" t="s">
        <v>66</v>
      </c>
      <c r="E170" s="214">
        <v>1</v>
      </c>
      <c r="F170" s="1766">
        <v>0</v>
      </c>
      <c r="G170" s="1767">
        <f t="shared" si="5"/>
        <v>0</v>
      </c>
      <c r="H170" s="1703"/>
    </row>
    <row r="171" spans="2:8" s="217" customFormat="1">
      <c r="B171" s="218"/>
      <c r="C171" s="1700" t="s">
        <v>216</v>
      </c>
      <c r="D171" s="213" t="s">
        <v>66</v>
      </c>
      <c r="E171" s="214">
        <v>2</v>
      </c>
      <c r="F171" s="1766">
        <v>0</v>
      </c>
      <c r="G171" s="1767">
        <f t="shared" si="5"/>
        <v>0</v>
      </c>
      <c r="H171" s="1703"/>
    </row>
    <row r="172" spans="2:8" s="217" customFormat="1">
      <c r="B172" s="218"/>
      <c r="C172" s="1700" t="s">
        <v>134</v>
      </c>
      <c r="D172" s="213" t="s">
        <v>66</v>
      </c>
      <c r="E172" s="214">
        <v>1</v>
      </c>
      <c r="F172" s="1766">
        <v>0</v>
      </c>
      <c r="G172" s="1767">
        <f t="shared" si="5"/>
        <v>0</v>
      </c>
      <c r="H172" s="1703"/>
    </row>
    <row r="173" spans="2:8" s="217" customFormat="1">
      <c r="B173" s="218"/>
      <c r="C173" s="1710" t="s">
        <v>135</v>
      </c>
      <c r="D173" s="213" t="s">
        <v>66</v>
      </c>
      <c r="E173" s="214">
        <v>1</v>
      </c>
      <c r="F173" s="1766">
        <v>0</v>
      </c>
      <c r="G173" s="1767">
        <f t="shared" si="5"/>
        <v>0</v>
      </c>
      <c r="H173" s="1703"/>
    </row>
    <row r="174" spans="2:8" s="217" customFormat="1">
      <c r="B174" s="218"/>
      <c r="C174" s="223" t="s">
        <v>284</v>
      </c>
      <c r="D174" s="224"/>
      <c r="E174" s="225"/>
      <c r="F174" s="226"/>
      <c r="G174" s="227"/>
      <c r="H174" s="1703"/>
    </row>
    <row r="175" spans="2:8" s="217" customFormat="1">
      <c r="B175" s="218"/>
      <c r="C175" s="228" t="s">
        <v>1538</v>
      </c>
      <c r="D175" s="224" t="s">
        <v>66</v>
      </c>
      <c r="E175" s="225">
        <v>2</v>
      </c>
      <c r="F175" s="1768">
        <v>0</v>
      </c>
      <c r="G175" s="1714">
        <f t="shared" ref="G175:G189" si="6">E175*F175</f>
        <v>0</v>
      </c>
      <c r="H175" s="1703"/>
    </row>
    <row r="176" spans="2:8" s="217" customFormat="1">
      <c r="B176" s="218"/>
      <c r="C176" s="228" t="s">
        <v>1539</v>
      </c>
      <c r="D176" s="224" t="s">
        <v>66</v>
      </c>
      <c r="E176" s="225">
        <v>4</v>
      </c>
      <c r="F176" s="1768">
        <v>0</v>
      </c>
      <c r="G176" s="1714">
        <f t="shared" si="6"/>
        <v>0</v>
      </c>
      <c r="H176" s="1703"/>
    </row>
    <row r="177" spans="2:8" s="217" customFormat="1" ht="12.75" customHeight="1">
      <c r="B177" s="218"/>
      <c r="C177" s="231" t="s">
        <v>328</v>
      </c>
      <c r="D177" s="224" t="s">
        <v>66</v>
      </c>
      <c r="E177" s="225">
        <v>2</v>
      </c>
      <c r="F177" s="1768">
        <v>0</v>
      </c>
      <c r="G177" s="1714">
        <f t="shared" si="6"/>
        <v>0</v>
      </c>
      <c r="H177" s="1703"/>
    </row>
    <row r="178" spans="2:8" s="217" customFormat="1">
      <c r="B178" s="218"/>
      <c r="C178" s="231" t="s">
        <v>156</v>
      </c>
      <c r="D178" s="224" t="s">
        <v>66</v>
      </c>
      <c r="E178" s="225">
        <v>2</v>
      </c>
      <c r="F178" s="1768">
        <v>0</v>
      </c>
      <c r="G178" s="1714">
        <f t="shared" si="6"/>
        <v>0</v>
      </c>
      <c r="H178" s="1703"/>
    </row>
    <row r="179" spans="2:8" s="217" customFormat="1">
      <c r="B179" s="218"/>
      <c r="C179" s="231" t="s">
        <v>142</v>
      </c>
      <c r="D179" s="224" t="s">
        <v>66</v>
      </c>
      <c r="E179" s="225">
        <v>2</v>
      </c>
      <c r="F179" s="1768">
        <v>0</v>
      </c>
      <c r="G179" s="1714">
        <f t="shared" si="6"/>
        <v>0</v>
      </c>
      <c r="H179" s="1703"/>
    </row>
    <row r="180" spans="2:8" s="217" customFormat="1">
      <c r="B180" s="218"/>
      <c r="C180" s="231" t="s">
        <v>522</v>
      </c>
      <c r="D180" s="224" t="s">
        <v>66</v>
      </c>
      <c r="E180" s="225">
        <v>2</v>
      </c>
      <c r="F180" s="1768">
        <v>0</v>
      </c>
      <c r="G180" s="1714">
        <f t="shared" si="6"/>
        <v>0</v>
      </c>
      <c r="H180" s="1703"/>
    </row>
    <row r="181" spans="2:8" s="217" customFormat="1">
      <c r="B181" s="218"/>
      <c r="C181" s="231" t="s">
        <v>155</v>
      </c>
      <c r="D181" s="224" t="s">
        <v>66</v>
      </c>
      <c r="E181" s="225">
        <v>2</v>
      </c>
      <c r="F181" s="1768">
        <v>0</v>
      </c>
      <c r="G181" s="1714">
        <f t="shared" si="6"/>
        <v>0</v>
      </c>
      <c r="H181" s="1703"/>
    </row>
    <row r="182" spans="2:8" s="217" customFormat="1">
      <c r="B182" s="218"/>
      <c r="C182" s="231" t="s">
        <v>330</v>
      </c>
      <c r="D182" s="224" t="s">
        <v>66</v>
      </c>
      <c r="E182" s="225">
        <v>2</v>
      </c>
      <c r="F182" s="1768">
        <v>0</v>
      </c>
      <c r="G182" s="1714">
        <f t="shared" si="6"/>
        <v>0</v>
      </c>
      <c r="H182" s="1703"/>
    </row>
    <row r="183" spans="2:8" s="217" customFormat="1">
      <c r="B183" s="218"/>
      <c r="C183" s="231" t="s">
        <v>146</v>
      </c>
      <c r="D183" s="224" t="s">
        <v>66</v>
      </c>
      <c r="E183" s="225">
        <v>2</v>
      </c>
      <c r="F183" s="1768">
        <v>0</v>
      </c>
      <c r="G183" s="1714">
        <f t="shared" si="6"/>
        <v>0</v>
      </c>
      <c r="H183" s="1703"/>
    </row>
    <row r="184" spans="2:8" s="217" customFormat="1">
      <c r="B184" s="218"/>
      <c r="C184" s="1655" t="s">
        <v>147</v>
      </c>
      <c r="D184" s="224" t="s">
        <v>66</v>
      </c>
      <c r="E184" s="225">
        <v>2</v>
      </c>
      <c r="F184" s="1768">
        <v>0</v>
      </c>
      <c r="G184" s="1714">
        <f t="shared" si="6"/>
        <v>0</v>
      </c>
      <c r="H184" s="1703"/>
    </row>
    <row r="185" spans="2:8" s="217" customFormat="1">
      <c r="B185" s="218"/>
      <c r="C185" s="1655" t="s">
        <v>188</v>
      </c>
      <c r="D185" s="224" t="s">
        <v>66</v>
      </c>
      <c r="E185" s="225">
        <v>2</v>
      </c>
      <c r="F185" s="1768">
        <v>0</v>
      </c>
      <c r="G185" s="1714">
        <f t="shared" si="6"/>
        <v>0</v>
      </c>
      <c r="H185" s="1703"/>
    </row>
    <row r="186" spans="2:8" s="217" customFormat="1">
      <c r="B186" s="218"/>
      <c r="C186" s="1655" t="s">
        <v>216</v>
      </c>
      <c r="D186" s="224" t="s">
        <v>66</v>
      </c>
      <c r="E186" s="225">
        <v>4</v>
      </c>
      <c r="F186" s="1768">
        <v>0</v>
      </c>
      <c r="G186" s="1714">
        <f t="shared" si="6"/>
        <v>0</v>
      </c>
      <c r="H186" s="1703"/>
    </row>
    <row r="187" spans="2:8" s="217" customFormat="1">
      <c r="B187" s="218"/>
      <c r="C187" s="1655" t="s">
        <v>149</v>
      </c>
      <c r="D187" s="224" t="s">
        <v>66</v>
      </c>
      <c r="E187" s="225">
        <v>2</v>
      </c>
      <c r="F187" s="1768">
        <v>0</v>
      </c>
      <c r="G187" s="1714">
        <f t="shared" si="6"/>
        <v>0</v>
      </c>
      <c r="H187" s="1703"/>
    </row>
    <row r="188" spans="2:8" s="217" customFormat="1">
      <c r="B188" s="218"/>
      <c r="C188" s="1655" t="s">
        <v>150</v>
      </c>
      <c r="D188" s="224" t="s">
        <v>66</v>
      </c>
      <c r="E188" s="225">
        <v>6</v>
      </c>
      <c r="F188" s="1768">
        <v>0</v>
      </c>
      <c r="G188" s="1714">
        <f t="shared" si="6"/>
        <v>0</v>
      </c>
      <c r="H188" s="1703"/>
    </row>
    <row r="189" spans="2:8" s="217" customFormat="1">
      <c r="B189" s="218"/>
      <c r="C189" s="1656" t="s">
        <v>135</v>
      </c>
      <c r="D189" s="224" t="s">
        <v>66</v>
      </c>
      <c r="E189" s="225">
        <v>2</v>
      </c>
      <c r="F189" s="1768">
        <v>0</v>
      </c>
      <c r="G189" s="1714">
        <f t="shared" si="6"/>
        <v>0</v>
      </c>
      <c r="H189" s="1703"/>
    </row>
    <row r="190" spans="2:8" s="217" customFormat="1">
      <c r="B190" s="218"/>
      <c r="C190" s="238" t="s">
        <v>2119</v>
      </c>
      <c r="D190" s="239"/>
      <c r="E190" s="240"/>
      <c r="F190" s="241"/>
      <c r="G190" s="242"/>
      <c r="H190" s="1703"/>
    </row>
    <row r="191" spans="2:8" s="217" customFormat="1" ht="14.25" customHeight="1">
      <c r="B191" s="218"/>
      <c r="C191" s="243" t="s">
        <v>2087</v>
      </c>
      <c r="D191" s="239" t="s">
        <v>66</v>
      </c>
      <c r="E191" s="240">
        <v>1</v>
      </c>
      <c r="F191" s="1774">
        <v>0</v>
      </c>
      <c r="G191" s="1775">
        <f t="shared" ref="G191:G198" si="7">E191*F191</f>
        <v>0</v>
      </c>
      <c r="H191" s="1703"/>
    </row>
    <row r="192" spans="2:8" s="217" customFormat="1">
      <c r="B192" s="218"/>
      <c r="C192" s="1776" t="s">
        <v>2120</v>
      </c>
      <c r="D192" s="239" t="s">
        <v>66</v>
      </c>
      <c r="E192" s="240">
        <v>2</v>
      </c>
      <c r="F192" s="1774">
        <v>0</v>
      </c>
      <c r="G192" s="1775">
        <f t="shared" si="7"/>
        <v>0</v>
      </c>
      <c r="H192" s="1703"/>
    </row>
    <row r="193" spans="2:34" s="217" customFormat="1">
      <c r="B193" s="218"/>
      <c r="C193" s="1776" t="s">
        <v>216</v>
      </c>
      <c r="D193" s="239" t="s">
        <v>66</v>
      </c>
      <c r="E193" s="240">
        <v>1</v>
      </c>
      <c r="F193" s="1774">
        <v>0</v>
      </c>
      <c r="G193" s="1775">
        <f t="shared" ref="G193" si="8">E193*F193</f>
        <v>0</v>
      </c>
      <c r="H193" s="1703"/>
    </row>
    <row r="194" spans="2:34" s="217" customFormat="1">
      <c r="B194" s="218"/>
      <c r="C194" s="1776" t="s">
        <v>150</v>
      </c>
      <c r="D194" s="239" t="s">
        <v>66</v>
      </c>
      <c r="E194" s="240">
        <v>1</v>
      </c>
      <c r="F194" s="1774">
        <v>0</v>
      </c>
      <c r="G194" s="1775">
        <f t="shared" si="7"/>
        <v>0</v>
      </c>
      <c r="H194" s="1703"/>
    </row>
    <row r="195" spans="2:34" s="217" customFormat="1">
      <c r="B195" s="218"/>
      <c r="C195" s="1777" t="s">
        <v>135</v>
      </c>
      <c r="D195" s="239" t="s">
        <v>66</v>
      </c>
      <c r="E195" s="240">
        <v>1</v>
      </c>
      <c r="F195" s="1774">
        <v>0</v>
      </c>
      <c r="G195" s="1775">
        <f t="shared" si="7"/>
        <v>0</v>
      </c>
      <c r="H195" s="1703"/>
    </row>
    <row r="196" spans="2:34" s="217" customFormat="1">
      <c r="B196" s="218"/>
      <c r="C196" s="223" t="s">
        <v>2123</v>
      </c>
      <c r="D196" s="224"/>
      <c r="E196" s="225"/>
      <c r="F196" s="226"/>
      <c r="G196" s="227"/>
      <c r="H196" s="1703"/>
    </row>
    <row r="197" spans="2:34" s="217" customFormat="1">
      <c r="B197" s="218"/>
      <c r="C197" s="231" t="s">
        <v>2124</v>
      </c>
      <c r="D197" s="224" t="s">
        <v>66</v>
      </c>
      <c r="E197" s="225">
        <v>1</v>
      </c>
      <c r="F197" s="1768">
        <v>0</v>
      </c>
      <c r="G197" s="1714">
        <f t="shared" si="7"/>
        <v>0</v>
      </c>
      <c r="H197" s="1703"/>
    </row>
    <row r="198" spans="2:34" s="217" customFormat="1">
      <c r="B198" s="218"/>
      <c r="C198" s="1655" t="s">
        <v>1742</v>
      </c>
      <c r="D198" s="224" t="s">
        <v>66</v>
      </c>
      <c r="E198" s="225">
        <v>1</v>
      </c>
      <c r="F198" s="1768">
        <v>0</v>
      </c>
      <c r="G198" s="1714">
        <f t="shared" si="7"/>
        <v>0</v>
      </c>
      <c r="H198" s="1703"/>
    </row>
    <row r="199" spans="2:34">
      <c r="B199" s="633"/>
      <c r="C199" s="634"/>
      <c r="D199" s="635"/>
      <c r="E199" s="636"/>
      <c r="F199" s="637"/>
      <c r="G199" s="638"/>
    </row>
    <row r="200" spans="2:34" s="569" customFormat="1">
      <c r="B200" s="639" t="s">
        <v>47</v>
      </c>
      <c r="C200" s="640" t="s">
        <v>175</v>
      </c>
      <c r="D200" s="641"/>
      <c r="E200" s="642"/>
      <c r="F200" s="643"/>
      <c r="G200" s="612">
        <f>SUM(G149:G198)</f>
        <v>0</v>
      </c>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row>
    <row r="201" spans="2:34">
      <c r="B201" s="644"/>
      <c r="C201" s="101"/>
      <c r="D201" s="101"/>
      <c r="E201" s="564"/>
      <c r="F201" s="645"/>
      <c r="G201" s="646"/>
    </row>
    <row r="202" spans="2:34">
      <c r="B202" s="647"/>
      <c r="C202" s="562"/>
      <c r="D202" s="569"/>
      <c r="E202" s="625"/>
      <c r="F202" s="626"/>
      <c r="G202" s="648"/>
    </row>
    <row r="203" spans="2:34" s="569" customFormat="1">
      <c r="B203" s="649"/>
      <c r="C203" s="563"/>
      <c r="D203" s="101"/>
      <c r="E203" s="564"/>
      <c r="F203" s="645"/>
      <c r="G203" s="646"/>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row>
    <row r="204" spans="2:34">
      <c r="B204" s="650"/>
      <c r="C204" s="651"/>
      <c r="D204" s="101"/>
      <c r="E204" s="564"/>
      <c r="F204" s="645"/>
      <c r="G204" s="646"/>
    </row>
    <row r="205" spans="2:34">
      <c r="B205" s="644"/>
      <c r="C205" s="101"/>
      <c r="D205" s="101"/>
      <c r="E205" s="564"/>
      <c r="F205" s="645"/>
      <c r="G205" s="646"/>
    </row>
    <row r="206" spans="2:34">
      <c r="B206" s="650"/>
      <c r="C206" s="651"/>
      <c r="D206" s="101"/>
      <c r="E206" s="564"/>
      <c r="F206" s="645"/>
      <c r="G206" s="645"/>
    </row>
    <row r="207" spans="2:34">
      <c r="B207" s="644"/>
      <c r="C207" s="101"/>
      <c r="D207" s="101"/>
      <c r="E207" s="564"/>
      <c r="F207" s="645"/>
      <c r="G207" s="645"/>
    </row>
    <row r="208" spans="2:34">
      <c r="B208" s="650"/>
      <c r="C208" s="651"/>
      <c r="D208" s="101"/>
      <c r="E208" s="564"/>
      <c r="F208" s="645"/>
      <c r="G208" s="645"/>
    </row>
    <row r="209" spans="2:34" ht="167.25" customHeight="1">
      <c r="B209" s="652"/>
      <c r="C209" s="653"/>
      <c r="D209" s="569"/>
      <c r="E209" s="625"/>
      <c r="F209" s="626"/>
      <c r="G209" s="645"/>
    </row>
    <row r="210" spans="2:34" s="569" customFormat="1">
      <c r="B210" s="650"/>
      <c r="C210" s="651"/>
      <c r="D210" s="101"/>
      <c r="E210" s="564"/>
      <c r="F210" s="645"/>
      <c r="G210" s="645"/>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row>
    <row r="211" spans="2:34">
      <c r="B211" s="652"/>
      <c r="C211" s="653"/>
      <c r="D211" s="569"/>
      <c r="E211" s="625"/>
      <c r="F211" s="626"/>
      <c r="G211" s="645"/>
    </row>
    <row r="212" spans="2:34" s="569" customFormat="1">
      <c r="B212" s="650"/>
      <c r="C212" s="651"/>
      <c r="D212" s="101"/>
      <c r="E212" s="564"/>
      <c r="F212" s="645"/>
      <c r="G212" s="645"/>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row>
    <row r="213" spans="2:34" ht="117.75" customHeight="1">
      <c r="B213" s="644"/>
      <c r="C213" s="101"/>
      <c r="D213" s="101"/>
      <c r="E213" s="564"/>
      <c r="F213" s="645"/>
      <c r="G213" s="646"/>
    </row>
    <row r="214" spans="2:34">
      <c r="B214" s="650"/>
      <c r="C214" s="651"/>
      <c r="D214" s="101"/>
      <c r="E214" s="564"/>
      <c r="F214" s="645"/>
      <c r="G214" s="645"/>
    </row>
    <row r="215" spans="2:34">
      <c r="B215" s="652"/>
      <c r="C215" s="653"/>
      <c r="D215" s="569"/>
      <c r="E215" s="625"/>
      <c r="F215" s="626"/>
      <c r="G215" s="645"/>
    </row>
    <row r="216" spans="2:34" s="569" customFormat="1">
      <c r="B216" s="650"/>
      <c r="C216" s="651"/>
      <c r="D216" s="101"/>
      <c r="E216" s="564"/>
      <c r="F216" s="645"/>
      <c r="G216" s="645"/>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row>
    <row r="217" spans="2:34" ht="117" customHeight="1">
      <c r="B217" s="644"/>
      <c r="C217" s="101"/>
      <c r="D217" s="101"/>
      <c r="E217" s="564"/>
      <c r="F217" s="645"/>
      <c r="G217" s="646"/>
    </row>
    <row r="218" spans="2:34">
      <c r="B218" s="650"/>
      <c r="C218" s="651"/>
      <c r="D218" s="101"/>
      <c r="E218" s="564"/>
      <c r="F218" s="645"/>
      <c r="G218" s="645"/>
    </row>
    <row r="219" spans="2:34">
      <c r="B219" s="644"/>
      <c r="C219" s="563"/>
      <c r="D219" s="101"/>
      <c r="E219" s="564"/>
      <c r="F219" s="645"/>
      <c r="G219" s="645"/>
    </row>
    <row r="220" spans="2:34">
      <c r="B220" s="650"/>
      <c r="C220" s="651"/>
      <c r="D220" s="101"/>
      <c r="E220" s="654"/>
      <c r="F220" s="645"/>
      <c r="G220" s="645"/>
    </row>
    <row r="221" spans="2:34">
      <c r="B221" s="644"/>
      <c r="C221" s="101"/>
      <c r="D221" s="101"/>
      <c r="E221" s="564"/>
      <c r="F221" s="645"/>
      <c r="G221" s="646"/>
    </row>
    <row r="222" spans="2:34">
      <c r="B222" s="655"/>
      <c r="C222" s="562"/>
      <c r="D222" s="569"/>
      <c r="E222" s="625"/>
      <c r="F222" s="626"/>
      <c r="G222" s="656"/>
    </row>
    <row r="223" spans="2:34" s="569" customFormat="1">
      <c r="B223" s="644"/>
      <c r="C223" s="101"/>
      <c r="D223" s="101"/>
      <c r="E223" s="564"/>
      <c r="F223" s="645"/>
      <c r="G223" s="646"/>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row>
    <row r="224" spans="2:34">
      <c r="B224" s="644"/>
      <c r="C224" s="101"/>
      <c r="D224" s="101"/>
      <c r="E224" s="564"/>
      <c r="F224" s="645"/>
      <c r="G224" s="646"/>
    </row>
    <row r="225" spans="2:7">
      <c r="B225" s="644"/>
      <c r="C225" s="101"/>
      <c r="D225" s="101"/>
      <c r="E225" s="564"/>
      <c r="F225" s="645"/>
      <c r="G225" s="646"/>
    </row>
    <row r="226" spans="2:7">
      <c r="B226" s="644"/>
      <c r="C226" s="101"/>
      <c r="D226" s="101"/>
      <c r="E226" s="564"/>
      <c r="F226" s="645"/>
      <c r="G226" s="646"/>
    </row>
    <row r="227" spans="2:7">
      <c r="B227" s="644"/>
      <c r="C227" s="101"/>
      <c r="D227" s="101"/>
      <c r="E227" s="564"/>
      <c r="F227" s="645"/>
      <c r="G227" s="646"/>
    </row>
    <row r="228" spans="2:7">
      <c r="B228" s="644"/>
      <c r="C228" s="101"/>
      <c r="D228" s="101"/>
      <c r="E228" s="564"/>
      <c r="F228" s="645"/>
      <c r="G228" s="646"/>
    </row>
    <row r="229" spans="2:7">
      <c r="B229" s="644"/>
      <c r="C229" s="101"/>
      <c r="D229" s="101"/>
      <c r="E229" s="564"/>
      <c r="F229" s="645"/>
      <c r="G229" s="646"/>
    </row>
    <row r="230" spans="2:7">
      <c r="B230" s="644"/>
      <c r="C230" s="101"/>
      <c r="D230" s="101"/>
      <c r="E230" s="564"/>
      <c r="F230" s="645"/>
      <c r="G230" s="646"/>
    </row>
    <row r="231" spans="2:7">
      <c r="B231" s="644"/>
      <c r="C231" s="101"/>
      <c r="D231" s="101"/>
      <c r="E231" s="564"/>
      <c r="F231" s="645"/>
      <c r="G231" s="646"/>
    </row>
    <row r="232" spans="2:7">
      <c r="B232" s="644"/>
      <c r="C232" s="101"/>
      <c r="D232" s="101"/>
      <c r="E232" s="564"/>
      <c r="F232" s="645"/>
      <c r="G232" s="646"/>
    </row>
    <row r="233" spans="2:7">
      <c r="B233" s="644"/>
      <c r="C233" s="101"/>
      <c r="D233" s="101"/>
      <c r="E233" s="564"/>
      <c r="F233" s="645"/>
      <c r="G233" s="646"/>
    </row>
    <row r="234" spans="2:7">
      <c r="B234" s="644"/>
      <c r="C234" s="101"/>
      <c r="D234" s="101"/>
      <c r="E234" s="564"/>
      <c r="F234" s="645"/>
      <c r="G234" s="646"/>
    </row>
    <row r="235" spans="2:7">
      <c r="B235" s="644"/>
      <c r="C235" s="101"/>
      <c r="D235" s="101"/>
      <c r="E235" s="564"/>
      <c r="F235" s="645"/>
      <c r="G235" s="646"/>
    </row>
    <row r="236" spans="2:7">
      <c r="B236" s="644"/>
      <c r="C236" s="101"/>
      <c r="D236" s="101"/>
      <c r="E236" s="564"/>
      <c r="F236" s="645"/>
      <c r="G236" s="646"/>
    </row>
    <row r="237" spans="2:7">
      <c r="B237" s="644"/>
      <c r="C237" s="101"/>
      <c r="D237" s="101"/>
      <c r="E237" s="564"/>
      <c r="F237" s="645"/>
      <c r="G237" s="646"/>
    </row>
    <row r="238" spans="2:7">
      <c r="B238" s="644"/>
      <c r="C238" s="101"/>
      <c r="D238" s="101"/>
      <c r="E238" s="564"/>
      <c r="F238" s="645"/>
      <c r="G238" s="646"/>
    </row>
    <row r="239" spans="2:7">
      <c r="B239" s="644"/>
      <c r="C239" s="101"/>
      <c r="D239" s="101"/>
      <c r="E239" s="564"/>
      <c r="F239" s="645"/>
      <c r="G239" s="646"/>
    </row>
    <row r="240" spans="2:7">
      <c r="B240" s="644"/>
      <c r="C240" s="101"/>
      <c r="D240" s="101"/>
      <c r="E240" s="564"/>
      <c r="F240" s="645"/>
      <c r="G240" s="646"/>
    </row>
    <row r="241" spans="2:7">
      <c r="B241" s="644"/>
      <c r="C241" s="101"/>
      <c r="D241" s="101"/>
      <c r="E241" s="564"/>
      <c r="F241" s="645"/>
      <c r="G241" s="646"/>
    </row>
    <row r="242" spans="2:7">
      <c r="B242" s="644"/>
      <c r="C242" s="101"/>
      <c r="D242" s="101"/>
      <c r="E242" s="564"/>
      <c r="F242" s="645"/>
      <c r="G242" s="646"/>
    </row>
    <row r="243" spans="2:7">
      <c r="B243" s="644"/>
      <c r="C243" s="101"/>
      <c r="D243" s="101"/>
      <c r="E243" s="564"/>
      <c r="F243" s="645"/>
      <c r="G243" s="646"/>
    </row>
    <row r="244" spans="2:7">
      <c r="B244" s="644"/>
      <c r="C244" s="101"/>
      <c r="D244" s="101"/>
      <c r="E244" s="564"/>
      <c r="F244" s="645"/>
      <c r="G244" s="646"/>
    </row>
    <row r="245" spans="2:7">
      <c r="B245" s="644"/>
      <c r="C245" s="101"/>
      <c r="D245" s="101"/>
      <c r="E245" s="564"/>
      <c r="F245" s="645"/>
      <c r="G245" s="646"/>
    </row>
    <row r="246" spans="2:7">
      <c r="B246" s="644"/>
      <c r="C246" s="101"/>
      <c r="D246" s="101"/>
      <c r="E246" s="564"/>
      <c r="F246" s="645"/>
      <c r="G246" s="646"/>
    </row>
    <row r="247" spans="2:7">
      <c r="B247" s="644"/>
      <c r="C247" s="101"/>
      <c r="D247" s="101"/>
      <c r="E247" s="564"/>
      <c r="F247" s="645"/>
      <c r="G247" s="646"/>
    </row>
    <row r="248" spans="2:7">
      <c r="B248" s="644"/>
      <c r="C248" s="101"/>
      <c r="D248" s="101"/>
      <c r="E248" s="564"/>
      <c r="F248" s="645"/>
      <c r="G248" s="646"/>
    </row>
    <row r="249" spans="2:7">
      <c r="B249" s="644"/>
      <c r="C249" s="101"/>
      <c r="D249" s="101"/>
      <c r="E249" s="564"/>
      <c r="F249" s="645"/>
      <c r="G249" s="646"/>
    </row>
    <row r="250" spans="2:7">
      <c r="B250" s="644"/>
      <c r="C250" s="101"/>
      <c r="D250" s="101"/>
      <c r="E250" s="564"/>
      <c r="F250" s="645"/>
      <c r="G250" s="646"/>
    </row>
    <row r="251" spans="2:7">
      <c r="B251" s="644"/>
      <c r="C251" s="101"/>
      <c r="D251" s="101"/>
      <c r="E251" s="564"/>
      <c r="F251" s="645"/>
      <c r="G251" s="646"/>
    </row>
    <row r="252" spans="2:7">
      <c r="B252" s="644"/>
      <c r="C252" s="101"/>
      <c r="D252" s="101"/>
      <c r="E252" s="564"/>
      <c r="F252" s="645"/>
      <c r="G252" s="646"/>
    </row>
    <row r="253" spans="2:7">
      <c r="B253" s="644"/>
      <c r="C253" s="101"/>
      <c r="D253" s="101"/>
      <c r="E253" s="564"/>
      <c r="F253" s="645"/>
      <c r="G253" s="646"/>
    </row>
    <row r="254" spans="2:7">
      <c r="B254" s="644"/>
      <c r="C254" s="101"/>
      <c r="D254" s="101"/>
      <c r="E254" s="564"/>
      <c r="F254" s="645"/>
      <c r="G254" s="646"/>
    </row>
    <row r="255" spans="2:7">
      <c r="B255" s="644"/>
      <c r="C255" s="101"/>
      <c r="D255" s="101"/>
      <c r="E255" s="564"/>
      <c r="F255" s="645"/>
      <c r="G255" s="646"/>
    </row>
    <row r="256" spans="2:7">
      <c r="B256" s="644"/>
      <c r="C256" s="101"/>
      <c r="D256" s="101"/>
      <c r="E256" s="564"/>
      <c r="F256" s="645"/>
      <c r="G256" s="646"/>
    </row>
    <row r="257" spans="2:7">
      <c r="B257" s="644"/>
      <c r="C257" s="101"/>
      <c r="D257" s="101"/>
      <c r="E257" s="564"/>
      <c r="F257" s="645"/>
      <c r="G257" s="646"/>
    </row>
    <row r="258" spans="2:7">
      <c r="B258" s="644"/>
      <c r="C258" s="101"/>
      <c r="D258" s="101"/>
      <c r="E258" s="564"/>
      <c r="F258" s="645"/>
      <c r="G258" s="646"/>
    </row>
    <row r="259" spans="2:7">
      <c r="B259" s="644"/>
      <c r="C259" s="101"/>
      <c r="D259" s="101"/>
      <c r="E259" s="564"/>
      <c r="F259" s="645"/>
      <c r="G259" s="646"/>
    </row>
    <row r="260" spans="2:7">
      <c r="B260" s="644"/>
      <c r="C260" s="101"/>
      <c r="D260" s="101"/>
      <c r="E260" s="564"/>
      <c r="F260" s="645"/>
      <c r="G260" s="646"/>
    </row>
    <row r="261" spans="2:7">
      <c r="B261" s="644"/>
      <c r="C261" s="101"/>
      <c r="D261" s="101"/>
      <c r="E261" s="564"/>
      <c r="F261" s="645"/>
      <c r="G261" s="646"/>
    </row>
    <row r="262" spans="2:7">
      <c r="B262" s="644"/>
      <c r="C262" s="101"/>
      <c r="D262" s="101"/>
      <c r="E262" s="564"/>
      <c r="F262" s="645"/>
      <c r="G262" s="646"/>
    </row>
    <row r="263" spans="2:7">
      <c r="B263" s="644"/>
      <c r="C263" s="101"/>
      <c r="D263" s="101"/>
      <c r="E263" s="564"/>
      <c r="F263" s="645"/>
      <c r="G263" s="646"/>
    </row>
    <row r="264" spans="2:7">
      <c r="B264" s="644"/>
      <c r="C264" s="101"/>
      <c r="D264" s="101"/>
      <c r="E264" s="564"/>
      <c r="F264" s="645"/>
      <c r="G264" s="646"/>
    </row>
    <row r="265" spans="2:7">
      <c r="B265" s="644"/>
      <c r="C265" s="101"/>
      <c r="D265" s="101"/>
      <c r="E265" s="564"/>
      <c r="F265" s="645"/>
      <c r="G265" s="646"/>
    </row>
    <row r="266" spans="2:7">
      <c r="B266" s="644"/>
      <c r="C266" s="101"/>
      <c r="D266" s="101"/>
      <c r="E266" s="564"/>
      <c r="F266" s="645"/>
      <c r="G266" s="646"/>
    </row>
    <row r="267" spans="2:7">
      <c r="B267" s="644"/>
      <c r="C267" s="101"/>
      <c r="D267" s="101"/>
      <c r="E267" s="564"/>
      <c r="F267" s="645"/>
      <c r="G267" s="646"/>
    </row>
    <row r="268" spans="2:7">
      <c r="B268" s="644"/>
      <c r="C268" s="101"/>
      <c r="D268" s="101"/>
      <c r="E268" s="564"/>
      <c r="F268" s="645"/>
      <c r="G268" s="646"/>
    </row>
    <row r="269" spans="2:7">
      <c r="B269" s="644"/>
      <c r="C269" s="101"/>
      <c r="D269" s="101"/>
      <c r="E269" s="564"/>
      <c r="F269" s="645"/>
      <c r="G269" s="646"/>
    </row>
    <row r="270" spans="2:7">
      <c r="B270" s="644"/>
      <c r="C270" s="101"/>
      <c r="D270" s="101"/>
      <c r="E270" s="564"/>
      <c r="F270" s="645"/>
      <c r="G270" s="646"/>
    </row>
    <row r="271" spans="2:7">
      <c r="B271" s="644"/>
      <c r="C271" s="101"/>
      <c r="D271" s="101"/>
      <c r="E271" s="564"/>
      <c r="F271" s="645"/>
      <c r="G271" s="646"/>
    </row>
    <row r="272" spans="2:7">
      <c r="B272" s="644"/>
      <c r="C272" s="101"/>
      <c r="D272" s="101"/>
      <c r="E272" s="564"/>
      <c r="F272" s="645"/>
      <c r="G272" s="646"/>
    </row>
    <row r="273" spans="2:7">
      <c r="B273" s="644"/>
      <c r="C273" s="101"/>
      <c r="D273" s="101"/>
      <c r="E273" s="564"/>
      <c r="F273" s="645"/>
      <c r="G273" s="646"/>
    </row>
    <row r="274" spans="2:7">
      <c r="B274" s="644"/>
      <c r="C274" s="101"/>
      <c r="D274" s="101"/>
      <c r="E274" s="564"/>
      <c r="F274" s="645"/>
      <c r="G274" s="646"/>
    </row>
    <row r="275" spans="2:7">
      <c r="B275" s="644"/>
      <c r="C275" s="101"/>
      <c r="D275" s="101"/>
      <c r="E275" s="564"/>
      <c r="F275" s="645"/>
      <c r="G275" s="646"/>
    </row>
    <row r="276" spans="2:7">
      <c r="B276" s="644"/>
      <c r="C276" s="101"/>
      <c r="D276" s="101"/>
      <c r="E276" s="564"/>
      <c r="F276" s="645"/>
      <c r="G276" s="646"/>
    </row>
    <row r="277" spans="2:7">
      <c r="B277" s="644"/>
      <c r="C277" s="101"/>
      <c r="D277" s="101"/>
      <c r="E277" s="564"/>
      <c r="F277" s="645"/>
      <c r="G277" s="646"/>
    </row>
    <row r="278" spans="2:7">
      <c r="B278" s="644"/>
      <c r="C278" s="101"/>
      <c r="D278" s="101"/>
      <c r="E278" s="564"/>
      <c r="F278" s="645"/>
      <c r="G278" s="646"/>
    </row>
    <row r="279" spans="2:7">
      <c r="B279" s="644"/>
      <c r="C279" s="101"/>
      <c r="D279" s="101"/>
      <c r="E279" s="564"/>
      <c r="F279" s="645"/>
      <c r="G279" s="646"/>
    </row>
    <row r="280" spans="2:7">
      <c r="B280" s="644"/>
      <c r="C280" s="101"/>
      <c r="D280" s="101"/>
      <c r="E280" s="564"/>
      <c r="F280" s="645"/>
      <c r="G280" s="646"/>
    </row>
    <row r="281" spans="2:7">
      <c r="B281" s="644"/>
      <c r="C281" s="101"/>
      <c r="D281" s="101"/>
      <c r="E281" s="564"/>
      <c r="F281" s="645"/>
      <c r="G281" s="646"/>
    </row>
    <row r="282" spans="2:7">
      <c r="B282" s="644"/>
      <c r="C282" s="101"/>
      <c r="D282" s="101"/>
      <c r="E282" s="564"/>
      <c r="F282" s="645"/>
      <c r="G282" s="646"/>
    </row>
    <row r="283" spans="2:7">
      <c r="B283" s="644"/>
      <c r="C283" s="101"/>
      <c r="D283" s="101"/>
      <c r="E283" s="564"/>
      <c r="F283" s="645"/>
      <c r="G283" s="646"/>
    </row>
    <row r="284" spans="2:7">
      <c r="B284" s="644"/>
      <c r="C284" s="101"/>
      <c r="D284" s="101"/>
      <c r="E284" s="564"/>
      <c r="F284" s="645"/>
      <c r="G284" s="646"/>
    </row>
    <row r="285" spans="2:7">
      <c r="B285" s="644"/>
      <c r="C285" s="101"/>
      <c r="D285" s="101"/>
      <c r="E285" s="564"/>
      <c r="F285" s="645"/>
      <c r="G285" s="646"/>
    </row>
    <row r="286" spans="2:7">
      <c r="B286" s="644"/>
      <c r="C286" s="101"/>
      <c r="D286" s="101"/>
      <c r="E286" s="564"/>
      <c r="F286" s="645"/>
      <c r="G286" s="646"/>
    </row>
    <row r="287" spans="2:7">
      <c r="B287" s="644"/>
      <c r="C287" s="101"/>
      <c r="D287" s="101"/>
      <c r="E287" s="564"/>
      <c r="F287" s="645"/>
      <c r="G287" s="646"/>
    </row>
    <row r="288" spans="2:7">
      <c r="B288" s="644"/>
      <c r="C288" s="101"/>
      <c r="D288" s="101"/>
      <c r="E288" s="564"/>
      <c r="F288" s="645"/>
      <c r="G288" s="646"/>
    </row>
    <row r="289" spans="2:7">
      <c r="B289" s="644"/>
      <c r="C289" s="101"/>
      <c r="D289" s="101"/>
      <c r="E289" s="564"/>
      <c r="F289" s="645"/>
      <c r="G289" s="646"/>
    </row>
    <row r="290" spans="2:7">
      <c r="B290" s="644"/>
      <c r="C290" s="101"/>
      <c r="D290" s="101"/>
      <c r="E290" s="564"/>
      <c r="F290" s="645"/>
      <c r="G290" s="646"/>
    </row>
    <row r="291" spans="2:7">
      <c r="B291" s="644"/>
      <c r="C291" s="101"/>
      <c r="D291" s="101"/>
      <c r="E291" s="564"/>
      <c r="F291" s="645"/>
      <c r="G291" s="646"/>
    </row>
    <row r="292" spans="2:7">
      <c r="B292" s="644"/>
      <c r="C292" s="101"/>
      <c r="D292" s="101"/>
      <c r="E292" s="564"/>
      <c r="F292" s="645"/>
      <c r="G292" s="646"/>
    </row>
    <row r="293" spans="2:7">
      <c r="B293" s="644"/>
      <c r="C293" s="101"/>
      <c r="D293" s="101"/>
      <c r="E293" s="564"/>
      <c r="F293" s="645"/>
      <c r="G293" s="646"/>
    </row>
    <row r="294" spans="2:7">
      <c r="B294" s="644"/>
      <c r="C294" s="101"/>
      <c r="D294" s="101"/>
      <c r="E294" s="564"/>
      <c r="F294" s="645"/>
      <c r="G294" s="646"/>
    </row>
    <row r="295" spans="2:7">
      <c r="B295" s="644"/>
      <c r="C295" s="101"/>
      <c r="D295" s="101"/>
      <c r="E295" s="564"/>
      <c r="F295" s="645"/>
      <c r="G295" s="646"/>
    </row>
    <row r="296" spans="2:7">
      <c r="B296" s="644"/>
      <c r="C296" s="101"/>
      <c r="D296" s="101"/>
      <c r="E296" s="564"/>
      <c r="F296" s="645"/>
      <c r="G296" s="646"/>
    </row>
    <row r="297" spans="2:7">
      <c r="B297" s="644"/>
      <c r="C297" s="101"/>
      <c r="D297" s="101"/>
      <c r="E297" s="564"/>
      <c r="F297" s="645"/>
      <c r="G297" s="646"/>
    </row>
    <row r="298" spans="2:7">
      <c r="B298" s="644"/>
      <c r="C298" s="101"/>
      <c r="D298" s="101"/>
      <c r="E298" s="564"/>
      <c r="F298" s="645"/>
      <c r="G298" s="646"/>
    </row>
    <row r="299" spans="2:7">
      <c r="B299" s="644"/>
      <c r="C299" s="101"/>
      <c r="D299" s="101"/>
      <c r="E299" s="564"/>
      <c r="F299" s="645"/>
      <c r="G299" s="646"/>
    </row>
    <row r="300" spans="2:7">
      <c r="B300" s="644"/>
      <c r="C300" s="101"/>
      <c r="D300" s="101"/>
      <c r="E300" s="564"/>
      <c r="F300" s="645"/>
      <c r="G300" s="646"/>
    </row>
    <row r="301" spans="2:7">
      <c r="B301" s="644"/>
      <c r="C301" s="101"/>
      <c r="D301" s="101"/>
      <c r="E301" s="564"/>
      <c r="F301" s="645"/>
      <c r="G301" s="646"/>
    </row>
    <row r="302" spans="2:7">
      <c r="B302" s="644"/>
      <c r="C302" s="101"/>
      <c r="D302" s="101"/>
      <c r="E302" s="564"/>
      <c r="F302" s="645"/>
      <c r="G302" s="646"/>
    </row>
    <row r="303" spans="2:7">
      <c r="B303" s="644"/>
      <c r="C303" s="101"/>
      <c r="D303" s="101"/>
      <c r="E303" s="564"/>
      <c r="F303" s="645"/>
      <c r="G303" s="646"/>
    </row>
    <row r="304" spans="2:7">
      <c r="B304" s="644"/>
      <c r="C304" s="101"/>
      <c r="D304" s="101"/>
      <c r="E304" s="564"/>
      <c r="F304" s="645"/>
      <c r="G304" s="646"/>
    </row>
    <row r="305" spans="2:7">
      <c r="B305" s="644"/>
      <c r="C305" s="101"/>
      <c r="D305" s="101"/>
      <c r="E305" s="564"/>
      <c r="F305" s="645"/>
      <c r="G305" s="646"/>
    </row>
    <row r="306" spans="2:7">
      <c r="B306" s="644"/>
      <c r="C306" s="101"/>
      <c r="D306" s="101"/>
      <c r="E306" s="564"/>
      <c r="F306" s="645"/>
      <c r="G306" s="646"/>
    </row>
    <row r="307" spans="2:7">
      <c r="B307" s="644"/>
      <c r="C307" s="101"/>
      <c r="D307" s="101"/>
      <c r="E307" s="564"/>
      <c r="F307" s="645"/>
      <c r="G307" s="646"/>
    </row>
    <row r="308" spans="2:7">
      <c r="B308" s="644"/>
      <c r="C308" s="101"/>
      <c r="D308" s="101"/>
      <c r="E308" s="564"/>
      <c r="F308" s="645"/>
      <c r="G308" s="646"/>
    </row>
    <row r="309" spans="2:7">
      <c r="B309" s="644"/>
      <c r="C309" s="101"/>
      <c r="D309" s="101"/>
      <c r="E309" s="564"/>
      <c r="F309" s="645"/>
      <c r="G309" s="646"/>
    </row>
    <row r="310" spans="2:7">
      <c r="B310" s="644"/>
      <c r="C310" s="101"/>
      <c r="D310" s="101"/>
      <c r="E310" s="564"/>
      <c r="F310" s="645"/>
      <c r="G310" s="646"/>
    </row>
    <row r="311" spans="2:7">
      <c r="B311" s="644"/>
      <c r="C311" s="101"/>
      <c r="D311" s="101"/>
      <c r="E311" s="564"/>
      <c r="F311" s="645"/>
      <c r="G311" s="646"/>
    </row>
    <row r="312" spans="2:7">
      <c r="B312" s="644"/>
      <c r="C312" s="101"/>
      <c r="D312" s="101"/>
      <c r="E312" s="564"/>
      <c r="F312" s="645"/>
      <c r="G312" s="646"/>
    </row>
    <row r="313" spans="2:7">
      <c r="B313" s="644"/>
      <c r="C313" s="101"/>
      <c r="D313" s="101"/>
      <c r="E313" s="564"/>
      <c r="F313" s="645"/>
      <c r="G313" s="646"/>
    </row>
    <row r="314" spans="2:7">
      <c r="B314" s="644"/>
      <c r="C314" s="101"/>
      <c r="D314" s="101"/>
      <c r="E314" s="564"/>
      <c r="F314" s="645"/>
      <c r="G314" s="646"/>
    </row>
    <row r="315" spans="2:7">
      <c r="B315" s="644"/>
      <c r="C315" s="101"/>
      <c r="D315" s="101"/>
      <c r="E315" s="564"/>
      <c r="F315" s="645"/>
      <c r="G315" s="646"/>
    </row>
    <row r="316" spans="2:7">
      <c r="B316" s="644"/>
      <c r="C316" s="101"/>
      <c r="D316" s="101"/>
      <c r="E316" s="564"/>
      <c r="F316" s="645"/>
      <c r="G316" s="646"/>
    </row>
    <row r="317" spans="2:7">
      <c r="B317" s="644"/>
      <c r="C317" s="101"/>
      <c r="D317" s="101"/>
      <c r="E317" s="564"/>
      <c r="F317" s="645"/>
      <c r="G317" s="646"/>
    </row>
    <row r="318" spans="2:7">
      <c r="B318" s="644"/>
      <c r="C318" s="101"/>
      <c r="D318" s="101"/>
      <c r="E318" s="564"/>
      <c r="F318" s="645"/>
      <c r="G318" s="646"/>
    </row>
    <row r="319" spans="2:7">
      <c r="B319" s="644"/>
      <c r="C319" s="101"/>
      <c r="D319" s="101"/>
      <c r="E319" s="564"/>
      <c r="F319" s="645"/>
      <c r="G319" s="646"/>
    </row>
    <row r="320" spans="2:7">
      <c r="B320" s="644"/>
      <c r="C320" s="101"/>
      <c r="D320" s="101"/>
      <c r="E320" s="564"/>
      <c r="F320" s="645"/>
      <c r="G320" s="646"/>
    </row>
    <row r="321" spans="2:7">
      <c r="B321" s="644"/>
      <c r="C321" s="101"/>
      <c r="D321" s="101"/>
      <c r="E321" s="564"/>
      <c r="F321" s="645"/>
      <c r="G321" s="646"/>
    </row>
    <row r="322" spans="2:7">
      <c r="B322" s="644"/>
      <c r="C322" s="101"/>
      <c r="D322" s="101"/>
      <c r="E322" s="564"/>
      <c r="F322" s="645"/>
      <c r="G322" s="646"/>
    </row>
    <row r="323" spans="2:7">
      <c r="B323" s="644"/>
      <c r="C323" s="101"/>
      <c r="D323" s="101"/>
      <c r="E323" s="564"/>
      <c r="F323" s="645"/>
      <c r="G323" s="646"/>
    </row>
    <row r="324" spans="2:7">
      <c r="B324" s="644"/>
      <c r="C324" s="101"/>
      <c r="D324" s="101"/>
      <c r="E324" s="564"/>
      <c r="F324" s="645"/>
      <c r="G324" s="646"/>
    </row>
    <row r="325" spans="2:7">
      <c r="B325" s="644"/>
      <c r="C325" s="101"/>
      <c r="D325" s="101"/>
      <c r="E325" s="564"/>
      <c r="F325" s="645"/>
      <c r="G325" s="646"/>
    </row>
    <row r="326" spans="2:7">
      <c r="B326" s="644"/>
      <c r="C326" s="101"/>
      <c r="D326" s="101"/>
      <c r="E326" s="564"/>
      <c r="F326" s="645"/>
      <c r="G326" s="646"/>
    </row>
    <row r="327" spans="2:7">
      <c r="B327" s="644"/>
      <c r="C327" s="101"/>
      <c r="D327" s="101"/>
      <c r="E327" s="564"/>
      <c r="F327" s="645"/>
      <c r="G327" s="646"/>
    </row>
    <row r="328" spans="2:7">
      <c r="B328" s="644"/>
      <c r="C328" s="101"/>
      <c r="D328" s="101"/>
      <c r="E328" s="564"/>
      <c r="F328" s="645"/>
      <c r="G328" s="646"/>
    </row>
    <row r="329" spans="2:7">
      <c r="B329" s="644"/>
      <c r="C329" s="101"/>
      <c r="D329" s="101"/>
      <c r="E329" s="564"/>
      <c r="F329" s="645"/>
      <c r="G329" s="646"/>
    </row>
    <row r="330" spans="2:7">
      <c r="B330" s="644"/>
      <c r="C330" s="101"/>
      <c r="D330" s="101"/>
      <c r="E330" s="564"/>
      <c r="F330" s="645"/>
      <c r="G330" s="646"/>
    </row>
    <row r="331" spans="2:7">
      <c r="B331" s="644"/>
      <c r="C331" s="101"/>
      <c r="D331" s="101"/>
      <c r="E331" s="564"/>
      <c r="F331" s="645"/>
      <c r="G331" s="646"/>
    </row>
    <row r="332" spans="2:7">
      <c r="B332" s="644"/>
      <c r="C332" s="101"/>
      <c r="D332" s="101"/>
      <c r="E332" s="564"/>
      <c r="F332" s="645"/>
      <c r="G332" s="646"/>
    </row>
    <row r="333" spans="2:7">
      <c r="B333" s="644"/>
      <c r="C333" s="101"/>
      <c r="D333" s="101"/>
      <c r="E333" s="564"/>
      <c r="F333" s="645"/>
      <c r="G333" s="646"/>
    </row>
    <row r="334" spans="2:7">
      <c r="B334" s="644"/>
      <c r="C334" s="101"/>
      <c r="D334" s="101"/>
      <c r="E334" s="564"/>
      <c r="F334" s="645"/>
      <c r="G334" s="646"/>
    </row>
    <row r="335" spans="2:7">
      <c r="B335" s="644"/>
      <c r="C335" s="101"/>
      <c r="D335" s="101"/>
      <c r="E335" s="564"/>
      <c r="F335" s="645"/>
      <c r="G335" s="646"/>
    </row>
    <row r="336" spans="2:7">
      <c r="B336" s="644"/>
      <c r="C336" s="101"/>
      <c r="D336" s="101"/>
      <c r="E336" s="564"/>
      <c r="F336" s="645"/>
      <c r="G336" s="646"/>
    </row>
    <row r="337" spans="2:7">
      <c r="B337" s="644"/>
      <c r="C337" s="101"/>
      <c r="D337" s="101"/>
      <c r="E337" s="564"/>
      <c r="F337" s="645"/>
      <c r="G337" s="646"/>
    </row>
    <row r="338" spans="2:7">
      <c r="B338" s="644"/>
      <c r="C338" s="101"/>
      <c r="D338" s="101"/>
      <c r="E338" s="564"/>
      <c r="F338" s="645"/>
      <c r="G338" s="646"/>
    </row>
    <row r="339" spans="2:7">
      <c r="B339" s="644"/>
      <c r="C339" s="101"/>
      <c r="D339" s="101"/>
      <c r="E339" s="564"/>
      <c r="F339" s="645"/>
      <c r="G339" s="646"/>
    </row>
    <row r="340" spans="2:7">
      <c r="B340" s="644"/>
      <c r="C340" s="101"/>
      <c r="D340" s="101"/>
      <c r="E340" s="564"/>
      <c r="F340" s="645"/>
      <c r="G340" s="646"/>
    </row>
    <row r="341" spans="2:7">
      <c r="B341" s="644"/>
      <c r="C341" s="101"/>
      <c r="D341" s="101"/>
      <c r="E341" s="564"/>
      <c r="F341" s="645"/>
      <c r="G341" s="646"/>
    </row>
    <row r="342" spans="2:7">
      <c r="B342" s="644"/>
      <c r="C342" s="101"/>
      <c r="D342" s="101"/>
      <c r="E342" s="564"/>
      <c r="F342" s="645"/>
      <c r="G342" s="646"/>
    </row>
    <row r="343" spans="2:7">
      <c r="B343" s="644"/>
      <c r="C343" s="101"/>
      <c r="D343" s="101"/>
      <c r="E343" s="564"/>
      <c r="F343" s="645"/>
      <c r="G343" s="646"/>
    </row>
    <row r="344" spans="2:7">
      <c r="B344" s="644"/>
      <c r="C344" s="101"/>
      <c r="D344" s="101"/>
      <c r="E344" s="564"/>
      <c r="F344" s="645"/>
      <c r="G344" s="646"/>
    </row>
    <row r="345" spans="2:7">
      <c r="B345" s="644"/>
      <c r="C345" s="101"/>
      <c r="D345" s="101"/>
      <c r="E345" s="564"/>
      <c r="F345" s="645"/>
      <c r="G345" s="646"/>
    </row>
    <row r="346" spans="2:7">
      <c r="B346" s="644"/>
      <c r="C346" s="101"/>
      <c r="D346" s="101"/>
      <c r="E346" s="564"/>
      <c r="F346" s="645"/>
      <c r="G346" s="646"/>
    </row>
    <row r="347" spans="2:7">
      <c r="B347" s="644"/>
      <c r="C347" s="101"/>
      <c r="D347" s="101"/>
      <c r="E347" s="564"/>
      <c r="F347" s="645"/>
      <c r="G347" s="646"/>
    </row>
    <row r="348" spans="2:7">
      <c r="B348" s="644"/>
      <c r="C348" s="101"/>
      <c r="D348" s="101"/>
      <c r="E348" s="564"/>
      <c r="F348" s="645"/>
      <c r="G348" s="646"/>
    </row>
    <row r="349" spans="2:7">
      <c r="B349" s="644"/>
      <c r="C349" s="101"/>
      <c r="D349" s="101"/>
      <c r="E349" s="564"/>
      <c r="F349" s="645"/>
      <c r="G349" s="646"/>
    </row>
    <row r="350" spans="2:7">
      <c r="B350" s="644"/>
      <c r="C350" s="101"/>
      <c r="D350" s="101"/>
      <c r="E350" s="564"/>
      <c r="F350" s="645"/>
      <c r="G350" s="646"/>
    </row>
    <row r="351" spans="2:7">
      <c r="B351" s="644"/>
      <c r="C351" s="101"/>
      <c r="D351" s="101"/>
      <c r="E351" s="564"/>
      <c r="F351" s="645"/>
      <c r="G351" s="646"/>
    </row>
    <row r="352" spans="2:7">
      <c r="B352" s="644"/>
      <c r="C352" s="101"/>
      <c r="D352" s="101"/>
      <c r="E352" s="564"/>
      <c r="F352" s="645"/>
      <c r="G352" s="646"/>
    </row>
    <row r="353" spans="2:7">
      <c r="B353" s="644"/>
      <c r="C353" s="101"/>
      <c r="D353" s="101"/>
      <c r="E353" s="564"/>
      <c r="F353" s="645"/>
      <c r="G353" s="646"/>
    </row>
    <row r="354" spans="2:7">
      <c r="B354" s="644"/>
      <c r="C354" s="101"/>
      <c r="D354" s="101"/>
      <c r="E354" s="564"/>
      <c r="F354" s="645"/>
      <c r="G354" s="646"/>
    </row>
    <row r="355" spans="2:7">
      <c r="B355" s="644"/>
      <c r="C355" s="101"/>
      <c r="D355" s="101"/>
      <c r="E355" s="564"/>
      <c r="F355" s="645"/>
      <c r="G355" s="646"/>
    </row>
    <row r="356" spans="2:7">
      <c r="B356" s="644"/>
      <c r="C356" s="101"/>
      <c r="D356" s="101"/>
      <c r="E356" s="564"/>
      <c r="F356" s="645"/>
      <c r="G356" s="646"/>
    </row>
    <row r="357" spans="2:7">
      <c r="B357" s="644"/>
      <c r="C357" s="101"/>
      <c r="D357" s="101"/>
      <c r="E357" s="564"/>
      <c r="F357" s="645"/>
      <c r="G357" s="646"/>
    </row>
    <row r="358" spans="2:7">
      <c r="B358" s="644"/>
      <c r="C358" s="101"/>
      <c r="D358" s="101"/>
      <c r="E358" s="564"/>
      <c r="F358" s="645"/>
      <c r="G358" s="646"/>
    </row>
    <row r="359" spans="2:7">
      <c r="B359" s="644"/>
      <c r="C359" s="101"/>
      <c r="D359" s="101"/>
      <c r="E359" s="564"/>
      <c r="F359" s="645"/>
      <c r="G359" s="646"/>
    </row>
    <row r="360" spans="2:7">
      <c r="B360" s="644"/>
      <c r="C360" s="101"/>
      <c r="D360" s="101"/>
      <c r="E360" s="564"/>
      <c r="F360" s="645"/>
      <c r="G360" s="646"/>
    </row>
    <row r="361" spans="2:7">
      <c r="B361" s="644"/>
      <c r="C361" s="101"/>
      <c r="D361" s="101"/>
      <c r="E361" s="564"/>
      <c r="F361" s="645"/>
      <c r="G361" s="646"/>
    </row>
    <row r="362" spans="2:7">
      <c r="B362" s="644"/>
      <c r="C362" s="101"/>
      <c r="D362" s="101"/>
      <c r="E362" s="564"/>
      <c r="F362" s="645"/>
      <c r="G362" s="646"/>
    </row>
    <row r="363" spans="2:7">
      <c r="B363" s="644"/>
      <c r="C363" s="101"/>
      <c r="D363" s="101"/>
      <c r="E363" s="564"/>
      <c r="F363" s="645"/>
      <c r="G363" s="646"/>
    </row>
    <row r="364" spans="2:7">
      <c r="B364" s="644"/>
      <c r="C364" s="101"/>
      <c r="D364" s="101"/>
      <c r="E364" s="564"/>
      <c r="F364" s="645"/>
      <c r="G364" s="646"/>
    </row>
    <row r="365" spans="2:7">
      <c r="B365" s="644"/>
      <c r="C365" s="101"/>
      <c r="D365" s="101"/>
      <c r="E365" s="564"/>
      <c r="F365" s="645"/>
      <c r="G365" s="646"/>
    </row>
    <row r="366" spans="2:7">
      <c r="B366" s="644"/>
      <c r="C366" s="101"/>
      <c r="D366" s="101"/>
      <c r="E366" s="564"/>
      <c r="F366" s="645"/>
      <c r="G366" s="646"/>
    </row>
    <row r="367" spans="2:7">
      <c r="B367" s="644"/>
      <c r="C367" s="101"/>
      <c r="D367" s="101"/>
      <c r="E367" s="564"/>
      <c r="F367" s="645"/>
      <c r="G367" s="646"/>
    </row>
    <row r="368" spans="2:7">
      <c r="B368" s="644"/>
      <c r="C368" s="101"/>
      <c r="D368" s="101"/>
      <c r="E368" s="564"/>
      <c r="F368" s="645"/>
      <c r="G368" s="646"/>
    </row>
    <row r="369" spans="2:7">
      <c r="B369" s="644"/>
      <c r="C369" s="101"/>
      <c r="D369" s="101"/>
      <c r="E369" s="564"/>
      <c r="F369" s="645"/>
      <c r="G369" s="646"/>
    </row>
    <row r="370" spans="2:7">
      <c r="B370" s="644"/>
      <c r="C370" s="101"/>
      <c r="D370" s="101"/>
      <c r="E370" s="564"/>
      <c r="F370" s="645"/>
      <c r="G370" s="646"/>
    </row>
    <row r="371" spans="2:7">
      <c r="B371" s="644"/>
      <c r="C371" s="101"/>
      <c r="D371" s="101"/>
      <c r="E371" s="564"/>
      <c r="F371" s="565"/>
      <c r="G371" s="566"/>
    </row>
    <row r="372" spans="2:7">
      <c r="B372" s="644"/>
      <c r="C372" s="101"/>
      <c r="D372" s="101"/>
      <c r="E372" s="564"/>
      <c r="F372" s="565"/>
      <c r="G372" s="566"/>
    </row>
    <row r="373" spans="2:7">
      <c r="B373" s="644"/>
      <c r="C373" s="101"/>
      <c r="D373" s="101"/>
      <c r="E373" s="564"/>
      <c r="F373" s="565"/>
      <c r="G373" s="566"/>
    </row>
    <row r="374" spans="2:7">
      <c r="B374" s="644"/>
      <c r="C374" s="101"/>
      <c r="D374" s="101"/>
      <c r="E374" s="564"/>
      <c r="F374" s="565"/>
      <c r="G374" s="566"/>
    </row>
    <row r="375" spans="2:7">
      <c r="B375" s="644"/>
      <c r="C375" s="101"/>
      <c r="D375" s="101"/>
      <c r="E375" s="564"/>
      <c r="F375" s="565"/>
      <c r="G375" s="566"/>
    </row>
    <row r="376" spans="2:7">
      <c r="B376" s="644"/>
      <c r="C376" s="101"/>
      <c r="D376" s="101"/>
      <c r="E376" s="564"/>
      <c r="F376" s="565"/>
      <c r="G376" s="566"/>
    </row>
    <row r="377" spans="2:7">
      <c r="B377" s="644"/>
      <c r="C377" s="101"/>
      <c r="D377" s="101"/>
      <c r="E377" s="564"/>
      <c r="F377" s="565"/>
      <c r="G377" s="566"/>
    </row>
    <row r="378" spans="2:7">
      <c r="B378" s="644"/>
      <c r="C378" s="101"/>
      <c r="D378" s="101"/>
      <c r="E378" s="564"/>
      <c r="F378" s="565"/>
      <c r="G378" s="566"/>
    </row>
    <row r="379" spans="2:7">
      <c r="B379" s="644"/>
      <c r="C379" s="101"/>
      <c r="D379" s="101"/>
      <c r="E379" s="564"/>
      <c r="F379" s="565"/>
      <c r="G379" s="566"/>
    </row>
    <row r="380" spans="2:7">
      <c r="B380" s="644"/>
      <c r="C380" s="101"/>
      <c r="D380" s="101"/>
      <c r="E380" s="564"/>
      <c r="F380" s="565"/>
      <c r="G380" s="566"/>
    </row>
    <row r="381" spans="2:7">
      <c r="B381" s="644"/>
      <c r="C381" s="101"/>
      <c r="D381" s="101"/>
      <c r="E381" s="564"/>
      <c r="F381" s="565"/>
      <c r="G381" s="566"/>
    </row>
    <row r="382" spans="2:7">
      <c r="B382" s="644"/>
      <c r="C382" s="101"/>
      <c r="D382" s="101"/>
      <c r="E382" s="564"/>
      <c r="F382" s="565"/>
      <c r="G382" s="566"/>
    </row>
    <row r="383" spans="2:7">
      <c r="B383" s="644"/>
      <c r="C383" s="101"/>
      <c r="D383" s="101"/>
      <c r="E383" s="564"/>
      <c r="F383" s="565"/>
      <c r="G383" s="566"/>
    </row>
    <row r="384" spans="2:7">
      <c r="B384" s="644"/>
      <c r="C384" s="101"/>
      <c r="D384" s="101"/>
      <c r="E384" s="564"/>
      <c r="F384" s="565"/>
      <c r="G384" s="566"/>
    </row>
    <row r="385" spans="2:7">
      <c r="B385" s="644"/>
      <c r="C385" s="101"/>
      <c r="D385" s="101"/>
      <c r="E385" s="564"/>
      <c r="F385" s="565"/>
      <c r="G385" s="566"/>
    </row>
    <row r="386" spans="2:7">
      <c r="B386" s="644"/>
      <c r="C386" s="101"/>
      <c r="D386" s="101"/>
      <c r="E386" s="564"/>
      <c r="F386" s="565"/>
      <c r="G386" s="566"/>
    </row>
    <row r="387" spans="2:7">
      <c r="B387" s="644"/>
      <c r="C387" s="101"/>
      <c r="D387" s="101"/>
      <c r="E387" s="564"/>
      <c r="F387" s="565"/>
      <c r="G387" s="566"/>
    </row>
    <row r="388" spans="2:7">
      <c r="B388" s="644"/>
      <c r="C388" s="101"/>
      <c r="D388" s="101"/>
      <c r="E388" s="564"/>
      <c r="F388" s="565"/>
      <c r="G388" s="566"/>
    </row>
    <row r="389" spans="2:7">
      <c r="B389" s="644"/>
      <c r="C389" s="101"/>
      <c r="D389" s="101"/>
      <c r="E389" s="564"/>
      <c r="F389" s="565"/>
      <c r="G389" s="566"/>
    </row>
    <row r="390" spans="2:7">
      <c r="B390" s="644"/>
      <c r="C390" s="101"/>
      <c r="D390" s="101"/>
      <c r="E390" s="564"/>
      <c r="F390" s="565"/>
      <c r="G390" s="566"/>
    </row>
    <row r="391" spans="2:7">
      <c r="B391" s="644"/>
      <c r="C391" s="101"/>
      <c r="D391" s="101"/>
      <c r="E391" s="564"/>
      <c r="F391" s="565"/>
      <c r="G391" s="566"/>
    </row>
    <row r="392" spans="2:7">
      <c r="B392" s="644"/>
      <c r="C392" s="101"/>
      <c r="D392" s="101"/>
      <c r="E392" s="564"/>
      <c r="F392" s="565"/>
      <c r="G392" s="566"/>
    </row>
    <row r="393" spans="2:7">
      <c r="B393" s="644"/>
      <c r="C393" s="101"/>
      <c r="D393" s="101"/>
      <c r="E393" s="564"/>
      <c r="F393" s="565"/>
      <c r="G393" s="566"/>
    </row>
    <row r="394" spans="2:7">
      <c r="B394" s="644"/>
      <c r="C394" s="101"/>
      <c r="D394" s="101"/>
      <c r="E394" s="564"/>
      <c r="F394" s="565"/>
      <c r="G394" s="566"/>
    </row>
    <row r="395" spans="2:7">
      <c r="B395" s="644"/>
      <c r="C395" s="101"/>
      <c r="D395" s="101"/>
      <c r="E395" s="564"/>
      <c r="F395" s="565"/>
      <c r="G395" s="566"/>
    </row>
    <row r="396" spans="2:7">
      <c r="B396" s="644"/>
      <c r="C396" s="101"/>
      <c r="D396" s="101"/>
      <c r="E396" s="564"/>
      <c r="F396" s="565"/>
      <c r="G396" s="566"/>
    </row>
    <row r="397" spans="2:7">
      <c r="B397" s="644"/>
      <c r="C397" s="101"/>
      <c r="D397" s="101"/>
      <c r="E397" s="564"/>
      <c r="F397" s="565"/>
      <c r="G397" s="566"/>
    </row>
    <row r="398" spans="2:7">
      <c r="B398" s="644"/>
      <c r="C398" s="101"/>
      <c r="D398" s="101"/>
      <c r="E398" s="564"/>
      <c r="F398" s="565"/>
      <c r="G398" s="566"/>
    </row>
    <row r="399" spans="2:7">
      <c r="B399" s="644"/>
      <c r="C399" s="101"/>
      <c r="D399" s="101"/>
      <c r="E399" s="564"/>
      <c r="F399" s="565"/>
      <c r="G399" s="566"/>
    </row>
    <row r="400" spans="2:7">
      <c r="B400" s="644"/>
      <c r="C400" s="101"/>
      <c r="D400" s="101"/>
      <c r="E400" s="564"/>
      <c r="F400" s="565"/>
      <c r="G400" s="566"/>
    </row>
    <row r="401" spans="2:7">
      <c r="B401" s="644"/>
      <c r="C401" s="101"/>
      <c r="D401" s="101"/>
      <c r="E401" s="564"/>
      <c r="F401" s="565"/>
      <c r="G401" s="566"/>
    </row>
    <row r="402" spans="2:7">
      <c r="B402" s="644"/>
      <c r="C402" s="101"/>
      <c r="D402" s="101"/>
      <c r="E402" s="564"/>
      <c r="F402" s="565"/>
      <c r="G402" s="566"/>
    </row>
    <row r="403" spans="2:7">
      <c r="B403" s="644"/>
      <c r="C403" s="101"/>
      <c r="D403" s="101"/>
      <c r="E403" s="564"/>
      <c r="F403" s="565"/>
      <c r="G403" s="566"/>
    </row>
    <row r="404" spans="2:7">
      <c r="B404" s="644"/>
      <c r="C404" s="101"/>
      <c r="D404" s="101"/>
      <c r="E404" s="564"/>
      <c r="F404" s="565"/>
      <c r="G404" s="566"/>
    </row>
    <row r="405" spans="2:7">
      <c r="B405" s="644"/>
      <c r="C405" s="101"/>
      <c r="D405" s="101"/>
      <c r="E405" s="564"/>
      <c r="F405" s="565"/>
      <c r="G405" s="566"/>
    </row>
    <row r="406" spans="2:7">
      <c r="B406" s="644"/>
      <c r="C406" s="101"/>
      <c r="D406" s="101"/>
      <c r="E406" s="564"/>
      <c r="F406" s="565"/>
      <c r="G406" s="566"/>
    </row>
    <row r="407" spans="2:7">
      <c r="B407" s="644"/>
      <c r="C407" s="101"/>
      <c r="D407" s="101"/>
      <c r="E407" s="564"/>
      <c r="F407" s="565"/>
      <c r="G407" s="566"/>
    </row>
    <row r="408" spans="2:7">
      <c r="B408" s="644"/>
      <c r="C408" s="101"/>
      <c r="D408" s="101"/>
      <c r="E408" s="564"/>
      <c r="F408" s="565"/>
      <c r="G408" s="566"/>
    </row>
    <row r="409" spans="2:7">
      <c r="B409" s="644"/>
      <c r="C409" s="101"/>
      <c r="D409" s="101"/>
      <c r="E409" s="564"/>
      <c r="F409" s="565"/>
      <c r="G409" s="566"/>
    </row>
    <row r="410" spans="2:7">
      <c r="B410" s="644"/>
      <c r="C410" s="101"/>
      <c r="D410" s="101"/>
      <c r="E410" s="564"/>
      <c r="F410" s="565"/>
      <c r="G410" s="566"/>
    </row>
    <row r="411" spans="2:7">
      <c r="B411" s="644"/>
      <c r="C411" s="101"/>
      <c r="D411" s="101"/>
      <c r="E411" s="564"/>
      <c r="F411" s="565"/>
      <c r="G411" s="566"/>
    </row>
    <row r="412" spans="2:7">
      <c r="B412" s="644"/>
      <c r="C412" s="101"/>
      <c r="D412" s="101"/>
      <c r="E412" s="564"/>
      <c r="F412" s="565"/>
      <c r="G412" s="566"/>
    </row>
    <row r="413" spans="2:7">
      <c r="B413" s="644"/>
      <c r="C413" s="101"/>
      <c r="D413" s="101"/>
      <c r="E413" s="564"/>
      <c r="F413" s="565"/>
      <c r="G413" s="566"/>
    </row>
    <row r="414" spans="2:7">
      <c r="B414" s="644"/>
      <c r="C414" s="101"/>
      <c r="D414" s="101"/>
      <c r="E414" s="564"/>
      <c r="F414" s="565"/>
      <c r="G414" s="566"/>
    </row>
    <row r="415" spans="2:7">
      <c r="B415" s="644"/>
      <c r="C415" s="101"/>
      <c r="D415" s="101"/>
      <c r="E415" s="564"/>
      <c r="F415" s="565"/>
      <c r="G415" s="566"/>
    </row>
    <row r="416" spans="2:7">
      <c r="B416" s="644"/>
      <c r="C416" s="101"/>
      <c r="D416" s="101"/>
      <c r="E416" s="564"/>
      <c r="F416" s="565"/>
      <c r="G416" s="566"/>
    </row>
    <row r="417" spans="2:7">
      <c r="B417" s="644"/>
      <c r="C417" s="101"/>
      <c r="D417" s="101"/>
      <c r="E417" s="564"/>
      <c r="F417" s="565"/>
      <c r="G417" s="566"/>
    </row>
    <row r="418" spans="2:7">
      <c r="B418" s="644"/>
      <c r="C418" s="101"/>
      <c r="D418" s="101"/>
      <c r="E418" s="564"/>
      <c r="F418" s="565"/>
      <c r="G418" s="566"/>
    </row>
    <row r="419" spans="2:7">
      <c r="B419" s="644"/>
      <c r="C419" s="101"/>
      <c r="D419" s="101"/>
      <c r="E419" s="564"/>
      <c r="F419" s="565"/>
      <c r="G419" s="566"/>
    </row>
    <row r="420" spans="2:7">
      <c r="B420" s="644"/>
      <c r="C420" s="101"/>
      <c r="D420" s="101"/>
      <c r="E420" s="564"/>
      <c r="F420" s="565"/>
      <c r="G420" s="566"/>
    </row>
    <row r="421" spans="2:7">
      <c r="B421" s="644"/>
      <c r="C421" s="101"/>
      <c r="D421" s="101"/>
      <c r="E421" s="564"/>
      <c r="F421" s="565"/>
      <c r="G421" s="566"/>
    </row>
    <row r="422" spans="2:7">
      <c r="B422" s="644"/>
      <c r="C422" s="101"/>
      <c r="D422" s="101"/>
      <c r="E422" s="564"/>
      <c r="F422" s="565"/>
      <c r="G422" s="566"/>
    </row>
    <row r="423" spans="2:7">
      <c r="B423" s="644"/>
      <c r="C423" s="101"/>
      <c r="D423" s="101"/>
      <c r="E423" s="564"/>
      <c r="F423" s="565"/>
      <c r="G423" s="566"/>
    </row>
    <row r="424" spans="2:7">
      <c r="B424" s="644"/>
      <c r="C424" s="101"/>
      <c r="D424" s="101"/>
      <c r="E424" s="564"/>
      <c r="F424" s="565"/>
      <c r="G424" s="566"/>
    </row>
    <row r="425" spans="2:7">
      <c r="B425" s="644"/>
      <c r="C425" s="101"/>
      <c r="D425" s="101"/>
      <c r="E425" s="564"/>
      <c r="F425" s="565"/>
      <c r="G425" s="566"/>
    </row>
    <row r="426" spans="2:7">
      <c r="B426" s="644"/>
      <c r="C426" s="101"/>
      <c r="D426" s="101"/>
      <c r="E426" s="564"/>
      <c r="F426" s="565"/>
      <c r="G426" s="566"/>
    </row>
    <row r="427" spans="2:7">
      <c r="B427" s="644"/>
      <c r="C427" s="101"/>
      <c r="D427" s="101"/>
      <c r="E427" s="564"/>
      <c r="F427" s="565"/>
      <c r="G427" s="566"/>
    </row>
    <row r="428" spans="2:7">
      <c r="B428" s="644"/>
      <c r="C428" s="101"/>
      <c r="D428" s="101"/>
      <c r="E428" s="564"/>
      <c r="F428" s="565"/>
      <c r="G428" s="566"/>
    </row>
    <row r="429" spans="2:7">
      <c r="B429" s="644"/>
      <c r="C429" s="101"/>
      <c r="D429" s="101"/>
      <c r="E429" s="564"/>
      <c r="F429" s="565"/>
      <c r="G429" s="566"/>
    </row>
    <row r="430" spans="2:7">
      <c r="B430" s="644"/>
      <c r="C430" s="101"/>
      <c r="D430" s="101"/>
      <c r="E430" s="564"/>
      <c r="F430" s="565"/>
      <c r="G430" s="566"/>
    </row>
    <row r="431" spans="2:7">
      <c r="B431" s="644"/>
      <c r="C431" s="101"/>
      <c r="D431" s="101"/>
      <c r="E431" s="564"/>
      <c r="F431" s="565"/>
      <c r="G431" s="566"/>
    </row>
    <row r="432" spans="2:7">
      <c r="B432" s="644"/>
      <c r="C432" s="101"/>
      <c r="D432" s="101"/>
      <c r="E432" s="564"/>
      <c r="F432" s="565"/>
      <c r="G432" s="566"/>
    </row>
    <row r="433" spans="2:7">
      <c r="B433" s="644"/>
      <c r="C433" s="101"/>
      <c r="D433" s="101"/>
      <c r="E433" s="564"/>
      <c r="F433" s="565"/>
      <c r="G433" s="566"/>
    </row>
    <row r="434" spans="2:7">
      <c r="B434" s="644"/>
      <c r="C434" s="101"/>
      <c r="D434" s="101"/>
      <c r="E434" s="564"/>
      <c r="F434" s="565"/>
      <c r="G434" s="566"/>
    </row>
    <row r="435" spans="2:7">
      <c r="B435" s="644"/>
      <c r="C435" s="101"/>
      <c r="D435" s="101"/>
      <c r="E435" s="564"/>
      <c r="F435" s="565"/>
      <c r="G435" s="566"/>
    </row>
    <row r="436" spans="2:7">
      <c r="B436" s="644"/>
      <c r="C436" s="101"/>
      <c r="D436" s="101"/>
      <c r="E436" s="564"/>
      <c r="F436" s="565"/>
      <c r="G436" s="566"/>
    </row>
    <row r="437" spans="2:7">
      <c r="B437" s="644"/>
      <c r="C437" s="101"/>
      <c r="D437" s="101"/>
      <c r="E437" s="564"/>
      <c r="F437" s="565"/>
      <c r="G437" s="566"/>
    </row>
    <row r="438" spans="2:7">
      <c r="B438" s="563"/>
      <c r="C438" s="101"/>
      <c r="D438" s="101"/>
      <c r="E438" s="564"/>
      <c r="F438" s="565"/>
      <c r="G438" s="566"/>
    </row>
    <row r="439" spans="2:7">
      <c r="B439" s="563"/>
      <c r="C439" s="101"/>
      <c r="D439" s="101"/>
      <c r="E439" s="564"/>
      <c r="F439" s="565"/>
      <c r="G439" s="566"/>
    </row>
    <row r="440" spans="2:7">
      <c r="B440" s="563"/>
      <c r="C440" s="101"/>
      <c r="D440" s="101"/>
      <c r="E440" s="564"/>
      <c r="F440" s="565"/>
      <c r="G440" s="566"/>
    </row>
    <row r="441" spans="2:7">
      <c r="B441" s="563"/>
      <c r="C441" s="101"/>
      <c r="D441" s="101"/>
      <c r="E441" s="564"/>
      <c r="F441" s="565"/>
      <c r="G441" s="566"/>
    </row>
    <row r="442" spans="2:7">
      <c r="B442" s="563"/>
      <c r="C442" s="101"/>
      <c r="D442" s="101"/>
      <c r="E442" s="564"/>
      <c r="F442" s="565"/>
      <c r="G442" s="566"/>
    </row>
    <row r="443" spans="2:7">
      <c r="B443" s="563"/>
      <c r="C443" s="101"/>
      <c r="D443" s="101"/>
      <c r="E443" s="564"/>
      <c r="F443" s="565"/>
      <c r="G443" s="566"/>
    </row>
    <row r="444" spans="2:7">
      <c r="B444" s="563"/>
      <c r="C444" s="101"/>
      <c r="D444" s="101"/>
      <c r="E444" s="564"/>
      <c r="F444" s="565"/>
      <c r="G444" s="566"/>
    </row>
    <row r="445" spans="2:7">
      <c r="B445" s="563"/>
      <c r="C445" s="101"/>
      <c r="D445" s="101"/>
      <c r="E445" s="564"/>
      <c r="F445" s="565"/>
      <c r="G445" s="566"/>
    </row>
    <row r="446" spans="2:7">
      <c r="B446" s="563"/>
      <c r="C446" s="101"/>
      <c r="D446" s="101"/>
      <c r="E446" s="564"/>
      <c r="F446" s="565"/>
      <c r="G446" s="566"/>
    </row>
    <row r="447" spans="2:7">
      <c r="B447" s="563"/>
      <c r="C447" s="101"/>
      <c r="D447" s="101"/>
      <c r="E447" s="564"/>
      <c r="F447" s="565"/>
      <c r="G447" s="566"/>
    </row>
    <row r="448" spans="2:7">
      <c r="B448" s="563"/>
      <c r="C448" s="101"/>
      <c r="D448" s="101"/>
      <c r="E448" s="564"/>
      <c r="F448" s="565"/>
      <c r="G448" s="566"/>
    </row>
    <row r="449" spans="2:7">
      <c r="B449" s="563"/>
      <c r="C449" s="101"/>
      <c r="D449" s="101"/>
      <c r="E449" s="564"/>
      <c r="F449" s="565"/>
      <c r="G449" s="566"/>
    </row>
    <row r="450" spans="2:7">
      <c r="B450" s="563"/>
      <c r="C450" s="101"/>
      <c r="D450" s="101"/>
      <c r="E450" s="564"/>
      <c r="F450" s="565"/>
      <c r="G450" s="566"/>
    </row>
    <row r="451" spans="2:7">
      <c r="B451" s="563"/>
      <c r="C451" s="101"/>
      <c r="D451" s="101"/>
      <c r="E451" s="564"/>
      <c r="F451" s="565"/>
      <c r="G451" s="566"/>
    </row>
    <row r="452" spans="2:7">
      <c r="B452" s="563"/>
      <c r="C452" s="101"/>
      <c r="D452" s="101"/>
      <c r="E452" s="564"/>
      <c r="F452" s="565"/>
      <c r="G452" s="566"/>
    </row>
    <row r="453" spans="2:7">
      <c r="B453" s="563"/>
      <c r="C453" s="101"/>
      <c r="D453" s="101"/>
      <c r="E453" s="564"/>
      <c r="F453" s="565"/>
      <c r="G453" s="566"/>
    </row>
    <row r="454" spans="2:7">
      <c r="B454" s="563"/>
      <c r="C454" s="101"/>
      <c r="D454" s="101"/>
      <c r="E454" s="564"/>
      <c r="F454" s="565"/>
      <c r="G454" s="566"/>
    </row>
    <row r="455" spans="2:7">
      <c r="B455" s="563"/>
      <c r="C455" s="101"/>
      <c r="D455" s="101"/>
      <c r="E455" s="564"/>
      <c r="F455" s="565"/>
      <c r="G455" s="566"/>
    </row>
    <row r="456" spans="2:7">
      <c r="B456" s="563"/>
      <c r="C456" s="101"/>
      <c r="D456" s="101"/>
      <c r="E456" s="564"/>
      <c r="F456" s="565"/>
      <c r="G456" s="566"/>
    </row>
    <row r="457" spans="2:7">
      <c r="B457" s="563"/>
      <c r="C457" s="101"/>
      <c r="D457" s="101"/>
      <c r="E457" s="564"/>
      <c r="F457" s="565"/>
      <c r="G457" s="566"/>
    </row>
    <row r="458" spans="2:7">
      <c r="B458" s="563"/>
      <c r="C458" s="101"/>
      <c r="D458" s="101"/>
      <c r="E458" s="564"/>
      <c r="F458" s="565"/>
      <c r="G458" s="566"/>
    </row>
    <row r="459" spans="2:7">
      <c r="B459" s="563"/>
      <c r="C459" s="101"/>
      <c r="D459" s="101"/>
      <c r="E459" s="564"/>
      <c r="F459" s="565"/>
      <c r="G459" s="566"/>
    </row>
    <row r="460" spans="2:7">
      <c r="B460" s="563"/>
      <c r="C460" s="101"/>
      <c r="D460" s="101"/>
      <c r="E460" s="564"/>
      <c r="F460" s="565"/>
      <c r="G460" s="566"/>
    </row>
    <row r="461" spans="2:7">
      <c r="B461" s="563"/>
      <c r="C461" s="101"/>
      <c r="D461" s="101"/>
      <c r="E461" s="564"/>
      <c r="F461" s="565"/>
      <c r="G461" s="566"/>
    </row>
    <row r="462" spans="2:7">
      <c r="B462" s="563"/>
      <c r="C462" s="101"/>
      <c r="D462" s="101"/>
      <c r="E462" s="564"/>
      <c r="F462" s="565"/>
      <c r="G462" s="566"/>
    </row>
    <row r="463" spans="2:7">
      <c r="B463" s="563"/>
      <c r="C463" s="101"/>
      <c r="D463" s="101"/>
      <c r="E463" s="564"/>
      <c r="F463" s="565"/>
      <c r="G463" s="566"/>
    </row>
    <row r="464" spans="2:7">
      <c r="B464" s="563"/>
      <c r="C464" s="101"/>
      <c r="D464" s="101"/>
      <c r="E464" s="564"/>
      <c r="F464" s="565"/>
      <c r="G464" s="566"/>
    </row>
    <row r="465" spans="2:7">
      <c r="B465" s="563"/>
      <c r="C465" s="101"/>
      <c r="D465" s="101"/>
      <c r="E465" s="564"/>
      <c r="F465" s="565"/>
      <c r="G465" s="566"/>
    </row>
    <row r="466" spans="2:7">
      <c r="B466" s="563"/>
      <c r="C466" s="101"/>
      <c r="D466" s="101"/>
      <c r="E466" s="564"/>
      <c r="F466" s="565"/>
      <c r="G466" s="566"/>
    </row>
    <row r="467" spans="2:7">
      <c r="B467" s="563"/>
      <c r="C467" s="101"/>
      <c r="D467" s="101"/>
      <c r="E467" s="564"/>
      <c r="F467" s="565"/>
      <c r="G467" s="566"/>
    </row>
    <row r="468" spans="2:7">
      <c r="B468" s="563"/>
      <c r="C468" s="101"/>
      <c r="D468" s="101"/>
      <c r="E468" s="564"/>
      <c r="F468" s="565"/>
      <c r="G468" s="566"/>
    </row>
    <row r="469" spans="2:7">
      <c r="B469" s="563"/>
      <c r="C469" s="101"/>
      <c r="D469" s="101"/>
      <c r="E469" s="564"/>
      <c r="F469" s="565"/>
      <c r="G469" s="566"/>
    </row>
    <row r="470" spans="2:7">
      <c r="B470" s="563"/>
      <c r="C470" s="101"/>
      <c r="D470" s="101"/>
      <c r="E470" s="564"/>
      <c r="F470" s="565"/>
      <c r="G470" s="566"/>
    </row>
    <row r="471" spans="2:7">
      <c r="B471" s="563"/>
      <c r="C471" s="101"/>
      <c r="D471" s="101"/>
      <c r="E471" s="564"/>
      <c r="F471" s="565"/>
      <c r="G471" s="566"/>
    </row>
    <row r="472" spans="2:7">
      <c r="B472" s="563"/>
      <c r="C472" s="101"/>
      <c r="D472" s="101"/>
      <c r="E472" s="564"/>
      <c r="F472" s="565"/>
      <c r="G472" s="566"/>
    </row>
    <row r="473" spans="2:7">
      <c r="B473" s="563"/>
      <c r="C473" s="101"/>
      <c r="D473" s="101"/>
      <c r="E473" s="564"/>
      <c r="F473" s="565"/>
      <c r="G473" s="566"/>
    </row>
    <row r="474" spans="2:7">
      <c r="B474" s="563"/>
      <c r="C474" s="101"/>
      <c r="D474" s="101"/>
      <c r="E474" s="564"/>
      <c r="F474" s="565"/>
      <c r="G474" s="566"/>
    </row>
    <row r="475" spans="2:7">
      <c r="B475" s="563"/>
      <c r="C475" s="101"/>
      <c r="D475" s="101"/>
      <c r="E475" s="564"/>
      <c r="F475" s="565"/>
      <c r="G475" s="566"/>
    </row>
    <row r="476" spans="2:7">
      <c r="B476" s="563"/>
      <c r="C476" s="101"/>
      <c r="D476" s="101"/>
      <c r="E476" s="564"/>
      <c r="F476" s="565"/>
      <c r="G476" s="566"/>
    </row>
    <row r="477" spans="2:7">
      <c r="B477" s="563"/>
      <c r="C477" s="101"/>
      <c r="D477" s="101"/>
      <c r="E477" s="564"/>
      <c r="F477" s="565"/>
      <c r="G477" s="566"/>
    </row>
    <row r="478" spans="2:7">
      <c r="B478" s="563"/>
      <c r="C478" s="101"/>
      <c r="D478" s="101"/>
      <c r="E478" s="564"/>
      <c r="F478" s="565"/>
      <c r="G478" s="566"/>
    </row>
    <row r="479" spans="2:7">
      <c r="B479" s="563"/>
      <c r="C479" s="101"/>
      <c r="D479" s="101"/>
      <c r="E479" s="564"/>
      <c r="F479" s="565"/>
      <c r="G479" s="566"/>
    </row>
    <row r="480" spans="2:7">
      <c r="B480" s="563"/>
      <c r="C480" s="101"/>
      <c r="D480" s="101"/>
      <c r="E480" s="564"/>
      <c r="F480" s="565"/>
      <c r="G480" s="566"/>
    </row>
    <row r="481" spans="2:7">
      <c r="B481" s="563"/>
      <c r="C481" s="101"/>
      <c r="D481" s="101"/>
      <c r="E481" s="564"/>
      <c r="F481" s="565"/>
      <c r="G481" s="566"/>
    </row>
    <row r="482" spans="2:7">
      <c r="B482" s="563"/>
      <c r="C482" s="101"/>
      <c r="D482" s="101"/>
      <c r="E482" s="564"/>
      <c r="F482" s="565"/>
      <c r="G482" s="566"/>
    </row>
    <row r="483" spans="2:7">
      <c r="B483" s="563"/>
      <c r="C483" s="101"/>
      <c r="D483" s="101"/>
      <c r="E483" s="564"/>
      <c r="F483" s="565"/>
      <c r="G483" s="566"/>
    </row>
    <row r="484" spans="2:7">
      <c r="B484" s="563"/>
      <c r="C484" s="101"/>
      <c r="D484" s="101"/>
      <c r="E484" s="564"/>
      <c r="F484" s="565"/>
      <c r="G484" s="566"/>
    </row>
    <row r="485" spans="2:7">
      <c r="B485" s="563"/>
      <c r="C485" s="101"/>
      <c r="D485" s="101"/>
      <c r="E485" s="564"/>
      <c r="F485" s="565"/>
      <c r="G485" s="566"/>
    </row>
    <row r="486" spans="2:7">
      <c r="B486" s="563"/>
      <c r="C486" s="101"/>
      <c r="D486" s="101"/>
      <c r="E486" s="564"/>
      <c r="F486" s="565"/>
      <c r="G486" s="566"/>
    </row>
    <row r="487" spans="2:7">
      <c r="B487" s="563"/>
      <c r="C487" s="101"/>
      <c r="D487" s="101"/>
      <c r="E487" s="564"/>
      <c r="F487" s="565"/>
      <c r="G487" s="566"/>
    </row>
    <row r="488" spans="2:7">
      <c r="B488" s="563"/>
      <c r="C488" s="101"/>
      <c r="D488" s="101"/>
      <c r="E488" s="564"/>
      <c r="F488" s="565"/>
      <c r="G488" s="566"/>
    </row>
    <row r="489" spans="2:7">
      <c r="B489" s="563"/>
      <c r="C489" s="101"/>
      <c r="D489" s="101"/>
      <c r="E489" s="564"/>
      <c r="F489" s="565"/>
      <c r="G489" s="566"/>
    </row>
    <row r="490" spans="2:7">
      <c r="B490" s="563"/>
      <c r="C490" s="101"/>
      <c r="D490" s="101"/>
      <c r="E490" s="564"/>
      <c r="F490" s="565"/>
      <c r="G490" s="566"/>
    </row>
    <row r="491" spans="2:7">
      <c r="B491" s="563"/>
      <c r="C491" s="101"/>
      <c r="D491" s="101"/>
      <c r="E491" s="564"/>
      <c r="F491" s="565"/>
      <c r="G491" s="566"/>
    </row>
    <row r="492" spans="2:7">
      <c r="B492" s="563"/>
      <c r="C492" s="101"/>
      <c r="D492" s="101"/>
      <c r="E492" s="564"/>
      <c r="F492" s="565"/>
      <c r="G492" s="566"/>
    </row>
    <row r="493" spans="2:7">
      <c r="B493" s="563"/>
      <c r="C493" s="101"/>
      <c r="D493" s="101"/>
      <c r="E493" s="564"/>
      <c r="F493" s="565"/>
      <c r="G493" s="566"/>
    </row>
    <row r="494" spans="2:7">
      <c r="B494" s="563"/>
      <c r="C494" s="101"/>
      <c r="D494" s="101"/>
      <c r="E494" s="564"/>
      <c r="F494" s="565"/>
      <c r="G494" s="566"/>
    </row>
    <row r="495" spans="2:7">
      <c r="B495" s="563"/>
      <c r="C495" s="101"/>
      <c r="D495" s="101"/>
      <c r="E495" s="564"/>
      <c r="F495" s="565"/>
      <c r="G495" s="566"/>
    </row>
    <row r="496" spans="2:7">
      <c r="B496" s="563"/>
      <c r="C496" s="101"/>
      <c r="D496" s="101"/>
      <c r="E496" s="564"/>
      <c r="F496" s="565"/>
      <c r="G496" s="566"/>
    </row>
    <row r="497" spans="2:7">
      <c r="B497" s="563"/>
      <c r="C497" s="101"/>
      <c r="D497" s="101"/>
      <c r="E497" s="564"/>
      <c r="F497" s="565"/>
      <c r="G497" s="566"/>
    </row>
    <row r="498" spans="2:7">
      <c r="B498" s="563"/>
      <c r="C498" s="101"/>
      <c r="D498" s="101"/>
      <c r="E498" s="564"/>
      <c r="F498" s="565"/>
      <c r="G498" s="566"/>
    </row>
    <row r="499" spans="2:7">
      <c r="B499" s="563"/>
      <c r="C499" s="101"/>
      <c r="D499" s="101"/>
      <c r="E499" s="564"/>
      <c r="F499" s="565"/>
      <c r="G499" s="566"/>
    </row>
    <row r="500" spans="2:7">
      <c r="B500" s="563"/>
      <c r="C500" s="101"/>
      <c r="D500" s="101"/>
      <c r="E500" s="564"/>
      <c r="F500" s="565"/>
      <c r="G500" s="566"/>
    </row>
    <row r="501" spans="2:7">
      <c r="B501" s="563"/>
      <c r="C501" s="101"/>
      <c r="D501" s="101"/>
      <c r="E501" s="564"/>
      <c r="F501" s="565"/>
      <c r="G501" s="566"/>
    </row>
    <row r="502" spans="2:7">
      <c r="B502" s="563"/>
      <c r="C502" s="101"/>
      <c r="D502" s="101"/>
      <c r="E502" s="564"/>
      <c r="F502" s="565"/>
      <c r="G502" s="566"/>
    </row>
    <row r="503" spans="2:7">
      <c r="B503" s="563"/>
      <c r="C503" s="101"/>
      <c r="D503" s="101"/>
      <c r="E503" s="564"/>
      <c r="F503" s="565"/>
      <c r="G503" s="566"/>
    </row>
    <row r="504" spans="2:7">
      <c r="B504" s="563"/>
      <c r="C504" s="101"/>
      <c r="D504" s="101"/>
      <c r="E504" s="564"/>
      <c r="F504" s="565"/>
      <c r="G504" s="566"/>
    </row>
    <row r="505" spans="2:7">
      <c r="B505" s="563"/>
      <c r="C505" s="101"/>
      <c r="D505" s="101"/>
      <c r="E505" s="564"/>
      <c r="F505" s="565"/>
      <c r="G505" s="566"/>
    </row>
    <row r="506" spans="2:7">
      <c r="B506" s="563"/>
      <c r="C506" s="101"/>
      <c r="D506" s="101"/>
      <c r="E506" s="564"/>
      <c r="F506" s="565"/>
      <c r="G506" s="566"/>
    </row>
    <row r="507" spans="2:7">
      <c r="B507" s="563"/>
      <c r="C507" s="101"/>
      <c r="D507" s="101"/>
      <c r="E507" s="564"/>
      <c r="F507" s="565"/>
      <c r="G507" s="566"/>
    </row>
    <row r="508" spans="2:7">
      <c r="B508" s="563"/>
      <c r="C508" s="101"/>
      <c r="D508" s="101"/>
      <c r="E508" s="564"/>
      <c r="F508" s="565"/>
      <c r="G508" s="566"/>
    </row>
    <row r="509" spans="2:7">
      <c r="B509" s="563"/>
      <c r="C509" s="101"/>
      <c r="D509" s="101"/>
      <c r="E509" s="564"/>
      <c r="F509" s="565"/>
      <c r="G509" s="566"/>
    </row>
    <row r="510" spans="2:7">
      <c r="B510" s="563"/>
      <c r="C510" s="101"/>
      <c r="D510" s="101"/>
      <c r="E510" s="564"/>
      <c r="F510" s="565"/>
      <c r="G510" s="566"/>
    </row>
    <row r="511" spans="2:7">
      <c r="B511" s="563"/>
      <c r="C511" s="101"/>
      <c r="D511" s="101"/>
      <c r="E511" s="564"/>
      <c r="F511" s="565"/>
      <c r="G511" s="566"/>
    </row>
    <row r="512" spans="2:7">
      <c r="B512" s="563"/>
      <c r="C512" s="101"/>
      <c r="D512" s="101"/>
      <c r="E512" s="564"/>
      <c r="F512" s="565"/>
      <c r="G512" s="566"/>
    </row>
    <row r="513" spans="2:7">
      <c r="B513" s="563"/>
      <c r="C513" s="101"/>
      <c r="D513" s="101"/>
      <c r="E513" s="564"/>
      <c r="F513" s="565"/>
      <c r="G513" s="566"/>
    </row>
    <row r="514" spans="2:7">
      <c r="B514" s="563"/>
      <c r="C514" s="101"/>
      <c r="D514" s="101"/>
      <c r="E514" s="564"/>
      <c r="F514" s="565"/>
      <c r="G514" s="566"/>
    </row>
    <row r="515" spans="2:7">
      <c r="B515" s="563"/>
      <c r="C515" s="101"/>
      <c r="D515" s="101"/>
      <c r="E515" s="564"/>
      <c r="F515" s="565"/>
      <c r="G515" s="566"/>
    </row>
    <row r="516" spans="2:7">
      <c r="B516" s="563"/>
      <c r="C516" s="101"/>
      <c r="D516" s="101"/>
      <c r="E516" s="564"/>
      <c r="F516" s="565"/>
      <c r="G516" s="566"/>
    </row>
    <row r="517" spans="2:7">
      <c r="B517" s="563"/>
      <c r="C517" s="101"/>
      <c r="D517" s="101"/>
      <c r="E517" s="564"/>
      <c r="F517" s="565"/>
      <c r="G517" s="566"/>
    </row>
  </sheetData>
  <mergeCells count="5">
    <mergeCell ref="C5:F5"/>
    <mergeCell ref="B62:G62"/>
    <mergeCell ref="B145:G145"/>
    <mergeCell ref="B146:G146"/>
    <mergeCell ref="B147:G147"/>
  </mergeCells>
  <pageMargins left="0.78740157480314965" right="0.35433070866141736" top="0.98425196850393704" bottom="0.98425196850393704" header="0" footer="0"/>
  <pageSetup paperSize="9" scale="79" orientation="portrait" horizontalDpi="300" verticalDpi="300" r:id="rId1"/>
  <headerFooter alignWithMargins="0">
    <oddHeader>&amp;L© REGION d.o.o. Brežice&amp;ROSKRBA S PITNO VODO POMURJA - SISTEM B</oddHeader>
    <oddFooter>&amp;LVODOVOD KRAJNA (MEJA S TIŠINO) - SKAKOVCI (VKS)&amp;Cpopis del&amp;R&amp;P/&amp;N</oddFooter>
  </headerFooter>
  <rowBreaks count="5" manualBreakCount="5">
    <brk id="20" min="1" max="6" man="1"/>
    <brk id="65" min="1" max="6" man="1"/>
    <brk id="93" min="1" max="6" man="1"/>
    <brk id="121" min="1" max="6" man="1"/>
    <brk id="135" min="1"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32A2-CD85-43C5-B188-99E35C44ED99}">
  <sheetPr>
    <tabColor rgb="FFFFFF00"/>
  </sheetPr>
  <dimension ref="A1:J146"/>
  <sheetViews>
    <sheetView topLeftCell="A28" workbookViewId="0">
      <selection activeCell="B27" sqref="B27:B35"/>
    </sheetView>
  </sheetViews>
  <sheetFormatPr defaultRowHeight="12.75"/>
  <cols>
    <col min="1" max="1" width="9.140625" style="73"/>
    <col min="2" max="2" width="10.7109375" style="73" customWidth="1"/>
    <col min="3" max="3" width="39.42578125" style="546" customWidth="1"/>
    <col min="4" max="4" width="11.28515625" style="73" customWidth="1"/>
    <col min="5" max="5" width="15.42578125" style="73" customWidth="1"/>
    <col min="6" max="6" width="16" style="73" customWidth="1"/>
    <col min="7" max="7" width="20.5703125" style="73" customWidth="1"/>
    <col min="8" max="254" width="9.140625" style="73"/>
    <col min="255" max="255" width="10.7109375" style="73" customWidth="1"/>
    <col min="256" max="256" width="39.42578125" style="73" customWidth="1"/>
    <col min="257" max="257" width="11.28515625" style="73" customWidth="1"/>
    <col min="258" max="258" width="15.42578125" style="73" customWidth="1"/>
    <col min="259" max="259" width="16" style="73" customWidth="1"/>
    <col min="260" max="260" width="20.5703125" style="73" customWidth="1"/>
    <col min="261" max="510" width="9.140625" style="73"/>
    <col min="511" max="511" width="10.7109375" style="73" customWidth="1"/>
    <col min="512" max="512" width="39.42578125" style="73" customWidth="1"/>
    <col min="513" max="513" width="11.28515625" style="73" customWidth="1"/>
    <col min="514" max="514" width="15.42578125" style="73" customWidth="1"/>
    <col min="515" max="515" width="16" style="73" customWidth="1"/>
    <col min="516" max="516" width="20.5703125" style="73" customWidth="1"/>
    <col min="517" max="766" width="9.140625" style="73"/>
    <col min="767" max="767" width="10.7109375" style="73" customWidth="1"/>
    <col min="768" max="768" width="39.42578125" style="73" customWidth="1"/>
    <col min="769" max="769" width="11.28515625" style="73" customWidth="1"/>
    <col min="770" max="770" width="15.42578125" style="73" customWidth="1"/>
    <col min="771" max="771" width="16" style="73" customWidth="1"/>
    <col min="772" max="772" width="20.5703125" style="73" customWidth="1"/>
    <col min="773" max="1022" width="9.140625" style="73"/>
    <col min="1023" max="1023" width="10.7109375" style="73" customWidth="1"/>
    <col min="1024" max="1024" width="39.42578125" style="73" customWidth="1"/>
    <col min="1025" max="1025" width="11.28515625" style="73" customWidth="1"/>
    <col min="1026" max="1026" width="15.42578125" style="73" customWidth="1"/>
    <col min="1027" max="1027" width="16" style="73" customWidth="1"/>
    <col min="1028" max="1028" width="20.5703125" style="73" customWidth="1"/>
    <col min="1029" max="1278" width="9.140625" style="73"/>
    <col min="1279" max="1279" width="10.7109375" style="73" customWidth="1"/>
    <col min="1280" max="1280" width="39.42578125" style="73" customWidth="1"/>
    <col min="1281" max="1281" width="11.28515625" style="73" customWidth="1"/>
    <col min="1282" max="1282" width="15.42578125" style="73" customWidth="1"/>
    <col min="1283" max="1283" width="16" style="73" customWidth="1"/>
    <col min="1284" max="1284" width="20.5703125" style="73" customWidth="1"/>
    <col min="1285" max="1534" width="9.140625" style="73"/>
    <col min="1535" max="1535" width="10.7109375" style="73" customWidth="1"/>
    <col min="1536" max="1536" width="39.42578125" style="73" customWidth="1"/>
    <col min="1537" max="1537" width="11.28515625" style="73" customWidth="1"/>
    <col min="1538" max="1538" width="15.42578125" style="73" customWidth="1"/>
    <col min="1539" max="1539" width="16" style="73" customWidth="1"/>
    <col min="1540" max="1540" width="20.5703125" style="73" customWidth="1"/>
    <col min="1541" max="1790" width="9.140625" style="73"/>
    <col min="1791" max="1791" width="10.7109375" style="73" customWidth="1"/>
    <col min="1792" max="1792" width="39.42578125" style="73" customWidth="1"/>
    <col min="1793" max="1793" width="11.28515625" style="73" customWidth="1"/>
    <col min="1794" max="1794" width="15.42578125" style="73" customWidth="1"/>
    <col min="1795" max="1795" width="16" style="73" customWidth="1"/>
    <col min="1796" max="1796" width="20.5703125" style="73" customWidth="1"/>
    <col min="1797" max="2046" width="9.140625" style="73"/>
    <col min="2047" max="2047" width="10.7109375" style="73" customWidth="1"/>
    <col min="2048" max="2048" width="39.42578125" style="73" customWidth="1"/>
    <col min="2049" max="2049" width="11.28515625" style="73" customWidth="1"/>
    <col min="2050" max="2050" width="15.42578125" style="73" customWidth="1"/>
    <col min="2051" max="2051" width="16" style="73" customWidth="1"/>
    <col min="2052" max="2052" width="20.5703125" style="73" customWidth="1"/>
    <col min="2053" max="2302" width="9.140625" style="73"/>
    <col min="2303" max="2303" width="10.7109375" style="73" customWidth="1"/>
    <col min="2304" max="2304" width="39.42578125" style="73" customWidth="1"/>
    <col min="2305" max="2305" width="11.28515625" style="73" customWidth="1"/>
    <col min="2306" max="2306" width="15.42578125" style="73" customWidth="1"/>
    <col min="2307" max="2307" width="16" style="73" customWidth="1"/>
    <col min="2308" max="2308" width="20.5703125" style="73" customWidth="1"/>
    <col min="2309" max="2558" width="9.140625" style="73"/>
    <col min="2559" max="2559" width="10.7109375" style="73" customWidth="1"/>
    <col min="2560" max="2560" width="39.42578125" style="73" customWidth="1"/>
    <col min="2561" max="2561" width="11.28515625" style="73" customWidth="1"/>
    <col min="2562" max="2562" width="15.42578125" style="73" customWidth="1"/>
    <col min="2563" max="2563" width="16" style="73" customWidth="1"/>
    <col min="2564" max="2564" width="20.5703125" style="73" customWidth="1"/>
    <col min="2565" max="2814" width="9.140625" style="73"/>
    <col min="2815" max="2815" width="10.7109375" style="73" customWidth="1"/>
    <col min="2816" max="2816" width="39.42578125" style="73" customWidth="1"/>
    <col min="2817" max="2817" width="11.28515625" style="73" customWidth="1"/>
    <col min="2818" max="2818" width="15.42578125" style="73" customWidth="1"/>
    <col min="2819" max="2819" width="16" style="73" customWidth="1"/>
    <col min="2820" max="2820" width="20.5703125" style="73" customWidth="1"/>
    <col min="2821" max="3070" width="9.140625" style="73"/>
    <col min="3071" max="3071" width="10.7109375" style="73" customWidth="1"/>
    <col min="3072" max="3072" width="39.42578125" style="73" customWidth="1"/>
    <col min="3073" max="3073" width="11.28515625" style="73" customWidth="1"/>
    <col min="3074" max="3074" width="15.42578125" style="73" customWidth="1"/>
    <col min="3075" max="3075" width="16" style="73" customWidth="1"/>
    <col min="3076" max="3076" width="20.5703125" style="73" customWidth="1"/>
    <col min="3077" max="3326" width="9.140625" style="73"/>
    <col min="3327" max="3327" width="10.7109375" style="73" customWidth="1"/>
    <col min="3328" max="3328" width="39.42578125" style="73" customWidth="1"/>
    <col min="3329" max="3329" width="11.28515625" style="73" customWidth="1"/>
    <col min="3330" max="3330" width="15.42578125" style="73" customWidth="1"/>
    <col min="3331" max="3331" width="16" style="73" customWidth="1"/>
    <col min="3332" max="3332" width="20.5703125" style="73" customWidth="1"/>
    <col min="3333" max="3582" width="9.140625" style="73"/>
    <col min="3583" max="3583" width="10.7109375" style="73" customWidth="1"/>
    <col min="3584" max="3584" width="39.42578125" style="73" customWidth="1"/>
    <col min="3585" max="3585" width="11.28515625" style="73" customWidth="1"/>
    <col min="3586" max="3586" width="15.42578125" style="73" customWidth="1"/>
    <col min="3587" max="3587" width="16" style="73" customWidth="1"/>
    <col min="3588" max="3588" width="20.5703125" style="73" customWidth="1"/>
    <col min="3589" max="3838" width="9.140625" style="73"/>
    <col min="3839" max="3839" width="10.7109375" style="73" customWidth="1"/>
    <col min="3840" max="3840" width="39.42578125" style="73" customWidth="1"/>
    <col min="3841" max="3841" width="11.28515625" style="73" customWidth="1"/>
    <col min="3842" max="3842" width="15.42578125" style="73" customWidth="1"/>
    <col min="3843" max="3843" width="16" style="73" customWidth="1"/>
    <col min="3844" max="3844" width="20.5703125" style="73" customWidth="1"/>
    <col min="3845" max="4094" width="9.140625" style="73"/>
    <col min="4095" max="4095" width="10.7109375" style="73" customWidth="1"/>
    <col min="4096" max="4096" width="39.42578125" style="73" customWidth="1"/>
    <col min="4097" max="4097" width="11.28515625" style="73" customWidth="1"/>
    <col min="4098" max="4098" width="15.42578125" style="73" customWidth="1"/>
    <col min="4099" max="4099" width="16" style="73" customWidth="1"/>
    <col min="4100" max="4100" width="20.5703125" style="73" customWidth="1"/>
    <col min="4101" max="4350" width="9.140625" style="73"/>
    <col min="4351" max="4351" width="10.7109375" style="73" customWidth="1"/>
    <col min="4352" max="4352" width="39.42578125" style="73" customWidth="1"/>
    <col min="4353" max="4353" width="11.28515625" style="73" customWidth="1"/>
    <col min="4354" max="4354" width="15.42578125" style="73" customWidth="1"/>
    <col min="4355" max="4355" width="16" style="73" customWidth="1"/>
    <col min="4356" max="4356" width="20.5703125" style="73" customWidth="1"/>
    <col min="4357" max="4606" width="9.140625" style="73"/>
    <col min="4607" max="4607" width="10.7109375" style="73" customWidth="1"/>
    <col min="4608" max="4608" width="39.42578125" style="73" customWidth="1"/>
    <col min="4609" max="4609" width="11.28515625" style="73" customWidth="1"/>
    <col min="4610" max="4610" width="15.42578125" style="73" customWidth="1"/>
    <col min="4611" max="4611" width="16" style="73" customWidth="1"/>
    <col min="4612" max="4612" width="20.5703125" style="73" customWidth="1"/>
    <col min="4613" max="4862" width="9.140625" style="73"/>
    <col min="4863" max="4863" width="10.7109375" style="73" customWidth="1"/>
    <col min="4864" max="4864" width="39.42578125" style="73" customWidth="1"/>
    <col min="4865" max="4865" width="11.28515625" style="73" customWidth="1"/>
    <col min="4866" max="4866" width="15.42578125" style="73" customWidth="1"/>
    <col min="4867" max="4867" width="16" style="73" customWidth="1"/>
    <col min="4868" max="4868" width="20.5703125" style="73" customWidth="1"/>
    <col min="4869" max="5118" width="9.140625" style="73"/>
    <col min="5119" max="5119" width="10.7109375" style="73" customWidth="1"/>
    <col min="5120" max="5120" width="39.42578125" style="73" customWidth="1"/>
    <col min="5121" max="5121" width="11.28515625" style="73" customWidth="1"/>
    <col min="5122" max="5122" width="15.42578125" style="73" customWidth="1"/>
    <col min="5123" max="5123" width="16" style="73" customWidth="1"/>
    <col min="5124" max="5124" width="20.5703125" style="73" customWidth="1"/>
    <col min="5125" max="5374" width="9.140625" style="73"/>
    <col min="5375" max="5375" width="10.7109375" style="73" customWidth="1"/>
    <col min="5376" max="5376" width="39.42578125" style="73" customWidth="1"/>
    <col min="5377" max="5377" width="11.28515625" style="73" customWidth="1"/>
    <col min="5378" max="5378" width="15.42578125" style="73" customWidth="1"/>
    <col min="5379" max="5379" width="16" style="73" customWidth="1"/>
    <col min="5380" max="5380" width="20.5703125" style="73" customWidth="1"/>
    <col min="5381" max="5630" width="9.140625" style="73"/>
    <col min="5631" max="5631" width="10.7109375" style="73" customWidth="1"/>
    <col min="5632" max="5632" width="39.42578125" style="73" customWidth="1"/>
    <col min="5633" max="5633" width="11.28515625" style="73" customWidth="1"/>
    <col min="5634" max="5634" width="15.42578125" style="73" customWidth="1"/>
    <col min="5635" max="5635" width="16" style="73" customWidth="1"/>
    <col min="5636" max="5636" width="20.5703125" style="73" customWidth="1"/>
    <col min="5637" max="5886" width="9.140625" style="73"/>
    <col min="5887" max="5887" width="10.7109375" style="73" customWidth="1"/>
    <col min="5888" max="5888" width="39.42578125" style="73" customWidth="1"/>
    <col min="5889" max="5889" width="11.28515625" style="73" customWidth="1"/>
    <col min="5890" max="5890" width="15.42578125" style="73" customWidth="1"/>
    <col min="5891" max="5891" width="16" style="73" customWidth="1"/>
    <col min="5892" max="5892" width="20.5703125" style="73" customWidth="1"/>
    <col min="5893" max="6142" width="9.140625" style="73"/>
    <col min="6143" max="6143" width="10.7109375" style="73" customWidth="1"/>
    <col min="6144" max="6144" width="39.42578125" style="73" customWidth="1"/>
    <col min="6145" max="6145" width="11.28515625" style="73" customWidth="1"/>
    <col min="6146" max="6146" width="15.42578125" style="73" customWidth="1"/>
    <col min="6147" max="6147" width="16" style="73" customWidth="1"/>
    <col min="6148" max="6148" width="20.5703125" style="73" customWidth="1"/>
    <col min="6149" max="6398" width="9.140625" style="73"/>
    <col min="6399" max="6399" width="10.7109375" style="73" customWidth="1"/>
    <col min="6400" max="6400" width="39.42578125" style="73" customWidth="1"/>
    <col min="6401" max="6401" width="11.28515625" style="73" customWidth="1"/>
    <col min="6402" max="6402" width="15.42578125" style="73" customWidth="1"/>
    <col min="6403" max="6403" width="16" style="73" customWidth="1"/>
    <col min="6404" max="6404" width="20.5703125" style="73" customWidth="1"/>
    <col min="6405" max="6654" width="9.140625" style="73"/>
    <col min="6655" max="6655" width="10.7109375" style="73" customWidth="1"/>
    <col min="6656" max="6656" width="39.42578125" style="73" customWidth="1"/>
    <col min="6657" max="6657" width="11.28515625" style="73" customWidth="1"/>
    <col min="6658" max="6658" width="15.42578125" style="73" customWidth="1"/>
    <col min="6659" max="6659" width="16" style="73" customWidth="1"/>
    <col min="6660" max="6660" width="20.5703125" style="73" customWidth="1"/>
    <col min="6661" max="6910" width="9.140625" style="73"/>
    <col min="6911" max="6911" width="10.7109375" style="73" customWidth="1"/>
    <col min="6912" max="6912" width="39.42578125" style="73" customWidth="1"/>
    <col min="6913" max="6913" width="11.28515625" style="73" customWidth="1"/>
    <col min="6914" max="6914" width="15.42578125" style="73" customWidth="1"/>
    <col min="6915" max="6915" width="16" style="73" customWidth="1"/>
    <col min="6916" max="6916" width="20.5703125" style="73" customWidth="1"/>
    <col min="6917" max="7166" width="9.140625" style="73"/>
    <col min="7167" max="7167" width="10.7109375" style="73" customWidth="1"/>
    <col min="7168" max="7168" width="39.42578125" style="73" customWidth="1"/>
    <col min="7169" max="7169" width="11.28515625" style="73" customWidth="1"/>
    <col min="7170" max="7170" width="15.42578125" style="73" customWidth="1"/>
    <col min="7171" max="7171" width="16" style="73" customWidth="1"/>
    <col min="7172" max="7172" width="20.5703125" style="73" customWidth="1"/>
    <col min="7173" max="7422" width="9.140625" style="73"/>
    <col min="7423" max="7423" width="10.7109375" style="73" customWidth="1"/>
    <col min="7424" max="7424" width="39.42578125" style="73" customWidth="1"/>
    <col min="7425" max="7425" width="11.28515625" style="73" customWidth="1"/>
    <col min="7426" max="7426" width="15.42578125" style="73" customWidth="1"/>
    <col min="7427" max="7427" width="16" style="73" customWidth="1"/>
    <col min="7428" max="7428" width="20.5703125" style="73" customWidth="1"/>
    <col min="7429" max="7678" width="9.140625" style="73"/>
    <col min="7679" max="7679" width="10.7109375" style="73" customWidth="1"/>
    <col min="7680" max="7680" width="39.42578125" style="73" customWidth="1"/>
    <col min="7681" max="7681" width="11.28515625" style="73" customWidth="1"/>
    <col min="7682" max="7682" width="15.42578125" style="73" customWidth="1"/>
    <col min="7683" max="7683" width="16" style="73" customWidth="1"/>
    <col min="7684" max="7684" width="20.5703125" style="73" customWidth="1"/>
    <col min="7685" max="7934" width="9.140625" style="73"/>
    <col min="7935" max="7935" width="10.7109375" style="73" customWidth="1"/>
    <col min="7936" max="7936" width="39.42578125" style="73" customWidth="1"/>
    <col min="7937" max="7937" width="11.28515625" style="73" customWidth="1"/>
    <col min="7938" max="7938" width="15.42578125" style="73" customWidth="1"/>
    <col min="7939" max="7939" width="16" style="73" customWidth="1"/>
    <col min="7940" max="7940" width="20.5703125" style="73" customWidth="1"/>
    <col min="7941" max="8190" width="9.140625" style="73"/>
    <col min="8191" max="8191" width="10.7109375" style="73" customWidth="1"/>
    <col min="8192" max="8192" width="39.42578125" style="73" customWidth="1"/>
    <col min="8193" max="8193" width="11.28515625" style="73" customWidth="1"/>
    <col min="8194" max="8194" width="15.42578125" style="73" customWidth="1"/>
    <col min="8195" max="8195" width="16" style="73" customWidth="1"/>
    <col min="8196" max="8196" width="20.5703125" style="73" customWidth="1"/>
    <col min="8197" max="8446" width="9.140625" style="73"/>
    <col min="8447" max="8447" width="10.7109375" style="73" customWidth="1"/>
    <col min="8448" max="8448" width="39.42578125" style="73" customWidth="1"/>
    <col min="8449" max="8449" width="11.28515625" style="73" customWidth="1"/>
    <col min="8450" max="8450" width="15.42578125" style="73" customWidth="1"/>
    <col min="8451" max="8451" width="16" style="73" customWidth="1"/>
    <col min="8452" max="8452" width="20.5703125" style="73" customWidth="1"/>
    <col min="8453" max="8702" width="9.140625" style="73"/>
    <col min="8703" max="8703" width="10.7109375" style="73" customWidth="1"/>
    <col min="8704" max="8704" width="39.42578125" style="73" customWidth="1"/>
    <col min="8705" max="8705" width="11.28515625" style="73" customWidth="1"/>
    <col min="8706" max="8706" width="15.42578125" style="73" customWidth="1"/>
    <col min="8707" max="8707" width="16" style="73" customWidth="1"/>
    <col min="8708" max="8708" width="20.5703125" style="73" customWidth="1"/>
    <col min="8709" max="8958" width="9.140625" style="73"/>
    <col min="8959" max="8959" width="10.7109375" style="73" customWidth="1"/>
    <col min="8960" max="8960" width="39.42578125" style="73" customWidth="1"/>
    <col min="8961" max="8961" width="11.28515625" style="73" customWidth="1"/>
    <col min="8962" max="8962" width="15.42578125" style="73" customWidth="1"/>
    <col min="8963" max="8963" width="16" style="73" customWidth="1"/>
    <col min="8964" max="8964" width="20.5703125" style="73" customWidth="1"/>
    <col min="8965" max="9214" width="9.140625" style="73"/>
    <col min="9215" max="9215" width="10.7109375" style="73" customWidth="1"/>
    <col min="9216" max="9216" width="39.42578125" style="73" customWidth="1"/>
    <col min="9217" max="9217" width="11.28515625" style="73" customWidth="1"/>
    <col min="9218" max="9218" width="15.42578125" style="73" customWidth="1"/>
    <col min="9219" max="9219" width="16" style="73" customWidth="1"/>
    <col min="9220" max="9220" width="20.5703125" style="73" customWidth="1"/>
    <col min="9221" max="9470" width="9.140625" style="73"/>
    <col min="9471" max="9471" width="10.7109375" style="73" customWidth="1"/>
    <col min="9472" max="9472" width="39.42578125" style="73" customWidth="1"/>
    <col min="9473" max="9473" width="11.28515625" style="73" customWidth="1"/>
    <col min="9474" max="9474" width="15.42578125" style="73" customWidth="1"/>
    <col min="9475" max="9475" width="16" style="73" customWidth="1"/>
    <col min="9476" max="9476" width="20.5703125" style="73" customWidth="1"/>
    <col min="9477" max="9726" width="9.140625" style="73"/>
    <col min="9727" max="9727" width="10.7109375" style="73" customWidth="1"/>
    <col min="9728" max="9728" width="39.42578125" style="73" customWidth="1"/>
    <col min="9729" max="9729" width="11.28515625" style="73" customWidth="1"/>
    <col min="9730" max="9730" width="15.42578125" style="73" customWidth="1"/>
    <col min="9731" max="9731" width="16" style="73" customWidth="1"/>
    <col min="9732" max="9732" width="20.5703125" style="73" customWidth="1"/>
    <col min="9733" max="9982" width="9.140625" style="73"/>
    <col min="9983" max="9983" width="10.7109375" style="73" customWidth="1"/>
    <col min="9984" max="9984" width="39.42578125" style="73" customWidth="1"/>
    <col min="9985" max="9985" width="11.28515625" style="73" customWidth="1"/>
    <col min="9986" max="9986" width="15.42578125" style="73" customWidth="1"/>
    <col min="9987" max="9987" width="16" style="73" customWidth="1"/>
    <col min="9988" max="9988" width="20.5703125" style="73" customWidth="1"/>
    <col min="9989" max="10238" width="9.140625" style="73"/>
    <col min="10239" max="10239" width="10.7109375" style="73" customWidth="1"/>
    <col min="10240" max="10240" width="39.42578125" style="73" customWidth="1"/>
    <col min="10241" max="10241" width="11.28515625" style="73" customWidth="1"/>
    <col min="10242" max="10242" width="15.42578125" style="73" customWidth="1"/>
    <col min="10243" max="10243" width="16" style="73" customWidth="1"/>
    <col min="10244" max="10244" width="20.5703125" style="73" customWidth="1"/>
    <col min="10245" max="10494" width="9.140625" style="73"/>
    <col min="10495" max="10495" width="10.7109375" style="73" customWidth="1"/>
    <col min="10496" max="10496" width="39.42578125" style="73" customWidth="1"/>
    <col min="10497" max="10497" width="11.28515625" style="73" customWidth="1"/>
    <col min="10498" max="10498" width="15.42578125" style="73" customWidth="1"/>
    <col min="10499" max="10499" width="16" style="73" customWidth="1"/>
    <col min="10500" max="10500" width="20.5703125" style="73" customWidth="1"/>
    <col min="10501" max="10750" width="9.140625" style="73"/>
    <col min="10751" max="10751" width="10.7109375" style="73" customWidth="1"/>
    <col min="10752" max="10752" width="39.42578125" style="73" customWidth="1"/>
    <col min="10753" max="10753" width="11.28515625" style="73" customWidth="1"/>
    <col min="10754" max="10754" width="15.42578125" style="73" customWidth="1"/>
    <col min="10755" max="10755" width="16" style="73" customWidth="1"/>
    <col min="10756" max="10756" width="20.5703125" style="73" customWidth="1"/>
    <col min="10757" max="11006" width="9.140625" style="73"/>
    <col min="11007" max="11007" width="10.7109375" style="73" customWidth="1"/>
    <col min="11008" max="11008" width="39.42578125" style="73" customWidth="1"/>
    <col min="11009" max="11009" width="11.28515625" style="73" customWidth="1"/>
    <col min="11010" max="11010" width="15.42578125" style="73" customWidth="1"/>
    <col min="11011" max="11011" width="16" style="73" customWidth="1"/>
    <col min="11012" max="11012" width="20.5703125" style="73" customWidth="1"/>
    <col min="11013" max="11262" width="9.140625" style="73"/>
    <col min="11263" max="11263" width="10.7109375" style="73" customWidth="1"/>
    <col min="11264" max="11264" width="39.42578125" style="73" customWidth="1"/>
    <col min="11265" max="11265" width="11.28515625" style="73" customWidth="1"/>
    <col min="11266" max="11266" width="15.42578125" style="73" customWidth="1"/>
    <col min="11267" max="11267" width="16" style="73" customWidth="1"/>
    <col min="11268" max="11268" width="20.5703125" style="73" customWidth="1"/>
    <col min="11269" max="11518" width="9.140625" style="73"/>
    <col min="11519" max="11519" width="10.7109375" style="73" customWidth="1"/>
    <col min="11520" max="11520" width="39.42578125" style="73" customWidth="1"/>
    <col min="11521" max="11521" width="11.28515625" style="73" customWidth="1"/>
    <col min="11522" max="11522" width="15.42578125" style="73" customWidth="1"/>
    <col min="11523" max="11523" width="16" style="73" customWidth="1"/>
    <col min="11524" max="11524" width="20.5703125" style="73" customWidth="1"/>
    <col min="11525" max="11774" width="9.140625" style="73"/>
    <col min="11775" max="11775" width="10.7109375" style="73" customWidth="1"/>
    <col min="11776" max="11776" width="39.42578125" style="73" customWidth="1"/>
    <col min="11777" max="11777" width="11.28515625" style="73" customWidth="1"/>
    <col min="11778" max="11778" width="15.42578125" style="73" customWidth="1"/>
    <col min="11779" max="11779" width="16" style="73" customWidth="1"/>
    <col min="11780" max="11780" width="20.5703125" style="73" customWidth="1"/>
    <col min="11781" max="12030" width="9.140625" style="73"/>
    <col min="12031" max="12031" width="10.7109375" style="73" customWidth="1"/>
    <col min="12032" max="12032" width="39.42578125" style="73" customWidth="1"/>
    <col min="12033" max="12033" width="11.28515625" style="73" customWidth="1"/>
    <col min="12034" max="12034" width="15.42578125" style="73" customWidth="1"/>
    <col min="12035" max="12035" width="16" style="73" customWidth="1"/>
    <col min="12036" max="12036" width="20.5703125" style="73" customWidth="1"/>
    <col min="12037" max="12286" width="9.140625" style="73"/>
    <col min="12287" max="12287" width="10.7109375" style="73" customWidth="1"/>
    <col min="12288" max="12288" width="39.42578125" style="73" customWidth="1"/>
    <col min="12289" max="12289" width="11.28515625" style="73" customWidth="1"/>
    <col min="12290" max="12290" width="15.42578125" style="73" customWidth="1"/>
    <col min="12291" max="12291" width="16" style="73" customWidth="1"/>
    <col min="12292" max="12292" width="20.5703125" style="73" customWidth="1"/>
    <col min="12293" max="12542" width="9.140625" style="73"/>
    <col min="12543" max="12543" width="10.7109375" style="73" customWidth="1"/>
    <col min="12544" max="12544" width="39.42578125" style="73" customWidth="1"/>
    <col min="12545" max="12545" width="11.28515625" style="73" customWidth="1"/>
    <col min="12546" max="12546" width="15.42578125" style="73" customWidth="1"/>
    <col min="12547" max="12547" width="16" style="73" customWidth="1"/>
    <col min="12548" max="12548" width="20.5703125" style="73" customWidth="1"/>
    <col min="12549" max="12798" width="9.140625" style="73"/>
    <col min="12799" max="12799" width="10.7109375" style="73" customWidth="1"/>
    <col min="12800" max="12800" width="39.42578125" style="73" customWidth="1"/>
    <col min="12801" max="12801" width="11.28515625" style="73" customWidth="1"/>
    <col min="12802" max="12802" width="15.42578125" style="73" customWidth="1"/>
    <col min="12803" max="12803" width="16" style="73" customWidth="1"/>
    <col min="12804" max="12804" width="20.5703125" style="73" customWidth="1"/>
    <col min="12805" max="13054" width="9.140625" style="73"/>
    <col min="13055" max="13055" width="10.7109375" style="73" customWidth="1"/>
    <col min="13056" max="13056" width="39.42578125" style="73" customWidth="1"/>
    <col min="13057" max="13057" width="11.28515625" style="73" customWidth="1"/>
    <col min="13058" max="13058" width="15.42578125" style="73" customWidth="1"/>
    <col min="13059" max="13059" width="16" style="73" customWidth="1"/>
    <col min="13060" max="13060" width="20.5703125" style="73" customWidth="1"/>
    <col min="13061" max="13310" width="9.140625" style="73"/>
    <col min="13311" max="13311" width="10.7109375" style="73" customWidth="1"/>
    <col min="13312" max="13312" width="39.42578125" style="73" customWidth="1"/>
    <col min="13313" max="13313" width="11.28515625" style="73" customWidth="1"/>
    <col min="13314" max="13314" width="15.42578125" style="73" customWidth="1"/>
    <col min="13315" max="13315" width="16" style="73" customWidth="1"/>
    <col min="13316" max="13316" width="20.5703125" style="73" customWidth="1"/>
    <col min="13317" max="13566" width="9.140625" style="73"/>
    <col min="13567" max="13567" width="10.7109375" style="73" customWidth="1"/>
    <col min="13568" max="13568" width="39.42578125" style="73" customWidth="1"/>
    <col min="13569" max="13569" width="11.28515625" style="73" customWidth="1"/>
    <col min="13570" max="13570" width="15.42578125" style="73" customWidth="1"/>
    <col min="13571" max="13571" width="16" style="73" customWidth="1"/>
    <col min="13572" max="13572" width="20.5703125" style="73" customWidth="1"/>
    <col min="13573" max="13822" width="9.140625" style="73"/>
    <col min="13823" max="13823" width="10.7109375" style="73" customWidth="1"/>
    <col min="13824" max="13824" width="39.42578125" style="73" customWidth="1"/>
    <col min="13825" max="13825" width="11.28515625" style="73" customWidth="1"/>
    <col min="13826" max="13826" width="15.42578125" style="73" customWidth="1"/>
    <col min="13827" max="13827" width="16" style="73" customWidth="1"/>
    <col min="13828" max="13828" width="20.5703125" style="73" customWidth="1"/>
    <col min="13829" max="14078" width="9.140625" style="73"/>
    <col min="14079" max="14079" width="10.7109375" style="73" customWidth="1"/>
    <col min="14080" max="14080" width="39.42578125" style="73" customWidth="1"/>
    <col min="14081" max="14081" width="11.28515625" style="73" customWidth="1"/>
    <col min="14082" max="14082" width="15.42578125" style="73" customWidth="1"/>
    <col min="14083" max="14083" width="16" style="73" customWidth="1"/>
    <col min="14084" max="14084" width="20.5703125" style="73" customWidth="1"/>
    <col min="14085" max="14334" width="9.140625" style="73"/>
    <col min="14335" max="14335" width="10.7109375" style="73" customWidth="1"/>
    <col min="14336" max="14336" width="39.42578125" style="73" customWidth="1"/>
    <col min="14337" max="14337" width="11.28515625" style="73" customWidth="1"/>
    <col min="14338" max="14338" width="15.42578125" style="73" customWidth="1"/>
    <col min="14339" max="14339" width="16" style="73" customWidth="1"/>
    <col min="14340" max="14340" width="20.5703125" style="73" customWidth="1"/>
    <col min="14341" max="14590" width="9.140625" style="73"/>
    <col min="14591" max="14591" width="10.7109375" style="73" customWidth="1"/>
    <col min="14592" max="14592" width="39.42578125" style="73" customWidth="1"/>
    <col min="14593" max="14593" width="11.28515625" style="73" customWidth="1"/>
    <col min="14594" max="14594" width="15.42578125" style="73" customWidth="1"/>
    <col min="14595" max="14595" width="16" style="73" customWidth="1"/>
    <col min="14596" max="14596" width="20.5703125" style="73" customWidth="1"/>
    <col min="14597" max="14846" width="9.140625" style="73"/>
    <col min="14847" max="14847" width="10.7109375" style="73" customWidth="1"/>
    <col min="14848" max="14848" width="39.42578125" style="73" customWidth="1"/>
    <col min="14849" max="14849" width="11.28515625" style="73" customWidth="1"/>
    <col min="14850" max="14850" width="15.42578125" style="73" customWidth="1"/>
    <col min="14851" max="14851" width="16" style="73" customWidth="1"/>
    <col min="14852" max="14852" width="20.5703125" style="73" customWidth="1"/>
    <col min="14853" max="15102" width="9.140625" style="73"/>
    <col min="15103" max="15103" width="10.7109375" style="73" customWidth="1"/>
    <col min="15104" max="15104" width="39.42578125" style="73" customWidth="1"/>
    <col min="15105" max="15105" width="11.28515625" style="73" customWidth="1"/>
    <col min="15106" max="15106" width="15.42578125" style="73" customWidth="1"/>
    <col min="15107" max="15107" width="16" style="73" customWidth="1"/>
    <col min="15108" max="15108" width="20.5703125" style="73" customWidth="1"/>
    <col min="15109" max="15358" width="9.140625" style="73"/>
    <col min="15359" max="15359" width="10.7109375" style="73" customWidth="1"/>
    <col min="15360" max="15360" width="39.42578125" style="73" customWidth="1"/>
    <col min="15361" max="15361" width="11.28515625" style="73" customWidth="1"/>
    <col min="15362" max="15362" width="15.42578125" style="73" customWidth="1"/>
    <col min="15363" max="15363" width="16" style="73" customWidth="1"/>
    <col min="15364" max="15364" width="20.5703125" style="73" customWidth="1"/>
    <col min="15365" max="15614" width="9.140625" style="73"/>
    <col min="15615" max="15615" width="10.7109375" style="73" customWidth="1"/>
    <col min="15616" max="15616" width="39.42578125" style="73" customWidth="1"/>
    <col min="15617" max="15617" width="11.28515625" style="73" customWidth="1"/>
    <col min="15618" max="15618" width="15.42578125" style="73" customWidth="1"/>
    <col min="15619" max="15619" width="16" style="73" customWidth="1"/>
    <col min="15620" max="15620" width="20.5703125" style="73" customWidth="1"/>
    <col min="15621" max="15870" width="9.140625" style="73"/>
    <col min="15871" max="15871" width="10.7109375" style="73" customWidth="1"/>
    <col min="15872" max="15872" width="39.42578125" style="73" customWidth="1"/>
    <col min="15873" max="15873" width="11.28515625" style="73" customWidth="1"/>
    <col min="15874" max="15874" width="15.42578125" style="73" customWidth="1"/>
    <col min="15875" max="15875" width="16" style="73" customWidth="1"/>
    <col min="15876" max="15876" width="20.5703125" style="73" customWidth="1"/>
    <col min="15877" max="16126" width="9.140625" style="73"/>
    <col min="16127" max="16127" width="10.7109375" style="73" customWidth="1"/>
    <col min="16128" max="16128" width="39.42578125" style="73" customWidth="1"/>
    <col min="16129" max="16129" width="11.28515625" style="73" customWidth="1"/>
    <col min="16130" max="16130" width="15.42578125" style="73" customWidth="1"/>
    <col min="16131" max="16131" width="16" style="73" customWidth="1"/>
    <col min="16132" max="16132" width="20.5703125" style="73" customWidth="1"/>
    <col min="16133" max="16384" width="9.140625" style="73"/>
  </cols>
  <sheetData>
    <row r="1" spans="1:10" s="1" customFormat="1" ht="16.5" customHeight="1">
      <c r="B1" s="2"/>
      <c r="C1" s="3" t="s">
        <v>0</v>
      </c>
      <c r="D1" s="4"/>
      <c r="E1" s="5"/>
      <c r="F1" s="6"/>
      <c r="G1" s="7" t="s">
        <v>1</v>
      </c>
      <c r="H1" s="938"/>
    </row>
    <row r="2" spans="1:10" s="312" customFormat="1">
      <c r="B2" s="285"/>
      <c r="C2" s="1728"/>
      <c r="D2" s="287"/>
      <c r="E2" s="70"/>
      <c r="F2" s="71"/>
      <c r="G2" s="66"/>
      <c r="H2" s="315"/>
    </row>
    <row r="3" spans="1:10" ht="15">
      <c r="B3" s="316" t="s">
        <v>35</v>
      </c>
      <c r="C3" s="1653" t="s">
        <v>242</v>
      </c>
      <c r="D3" s="318"/>
      <c r="E3" s="319"/>
      <c r="F3" s="320"/>
      <c r="G3" s="321"/>
      <c r="H3" s="322"/>
    </row>
    <row r="4" spans="1:10" ht="12" customHeight="1">
      <c r="B4" s="80"/>
      <c r="C4" s="81"/>
      <c r="D4" s="82"/>
      <c r="E4" s="83"/>
      <c r="F4" s="84"/>
      <c r="G4" s="85"/>
      <c r="H4" s="322"/>
    </row>
    <row r="5" spans="1:10" s="86" customFormat="1" ht="21" customHeight="1">
      <c r="B5" s="323" t="s">
        <v>37</v>
      </c>
      <c r="C5" s="324" t="s">
        <v>243</v>
      </c>
      <c r="D5" s="318"/>
      <c r="E5" s="2300" t="s">
        <v>244</v>
      </c>
      <c r="F5" s="320"/>
      <c r="G5" s="321"/>
      <c r="H5" s="325"/>
      <c r="I5" s="87"/>
      <c r="J5" s="87"/>
    </row>
    <row r="6" spans="1:10" s="86" customFormat="1" ht="14.25">
      <c r="B6" s="80"/>
      <c r="C6" s="81"/>
      <c r="D6" s="82"/>
      <c r="E6" s="83"/>
      <c r="F6" s="84"/>
      <c r="G6" s="88"/>
      <c r="H6" s="325"/>
      <c r="I6" s="87"/>
      <c r="J6" s="87"/>
    </row>
    <row r="7" spans="1:10" s="14" customFormat="1" ht="18" customHeight="1">
      <c r="A7" s="9"/>
      <c r="B7" s="294" t="s">
        <v>2</v>
      </c>
      <c r="C7" s="296"/>
      <c r="D7" s="296"/>
      <c r="E7" s="296"/>
      <c r="F7" s="296"/>
      <c r="G7" s="297"/>
    </row>
    <row r="8" spans="1:10" s="14" customFormat="1" ht="18" customHeight="1">
      <c r="A8" s="15"/>
      <c r="B8" s="298" t="s">
        <v>3</v>
      </c>
      <c r="C8" s="301"/>
      <c r="D8" s="300"/>
      <c r="E8" s="301"/>
      <c r="F8" s="301"/>
      <c r="G8" s="300"/>
    </row>
    <row r="9" spans="1:10" s="14" customFormat="1" ht="18" customHeight="1">
      <c r="A9" s="9"/>
      <c r="B9" s="294" t="s">
        <v>4</v>
      </c>
      <c r="C9" s="296"/>
      <c r="D9" s="296"/>
      <c r="E9" s="296"/>
      <c r="F9" s="296"/>
      <c r="G9" s="297"/>
    </row>
    <row r="10" spans="1:10" s="14" customFormat="1" ht="18" customHeight="1">
      <c r="A10" s="15"/>
      <c r="B10" s="298" t="s">
        <v>5</v>
      </c>
      <c r="C10" s="301"/>
      <c r="D10" s="301"/>
      <c r="E10" s="301"/>
      <c r="F10" s="301"/>
      <c r="G10" s="300"/>
    </row>
    <row r="11" spans="1:10" s="86" customFormat="1" ht="14.25">
      <c r="B11" s="89"/>
      <c r="C11" s="90"/>
      <c r="D11" s="91"/>
      <c r="E11" s="92"/>
      <c r="F11" s="93"/>
      <c r="G11" s="94"/>
      <c r="H11" s="325"/>
      <c r="I11" s="87"/>
      <c r="J11" s="87"/>
    </row>
    <row r="12" spans="1:10" s="86" customFormat="1" ht="18.75" customHeight="1">
      <c r="B12" s="326"/>
      <c r="C12" s="327" t="s">
        <v>40</v>
      </c>
      <c r="D12" s="328"/>
      <c r="E12" s="329"/>
      <c r="F12" s="330"/>
      <c r="G12" s="331"/>
      <c r="H12" s="325"/>
      <c r="I12" s="87"/>
      <c r="J12" s="87"/>
    </row>
    <row r="13" spans="1:10" s="101" customFormat="1" ht="18.75" customHeight="1">
      <c r="B13" s="332" t="s">
        <v>41</v>
      </c>
      <c r="C13" s="333" t="s">
        <v>42</v>
      </c>
      <c r="D13" s="334"/>
      <c r="E13" s="335"/>
      <c r="F13" s="336"/>
      <c r="G13" s="337" t="s">
        <v>10</v>
      </c>
      <c r="H13" s="338"/>
    </row>
    <row r="14" spans="1:10" s="339" customFormat="1" ht="18.75" customHeight="1">
      <c r="B14" s="340" t="s">
        <v>43</v>
      </c>
      <c r="C14" s="341" t="s">
        <v>44</v>
      </c>
      <c r="D14" s="342"/>
      <c r="E14" s="343"/>
      <c r="F14" s="344"/>
      <c r="G14" s="345">
        <f>G36</f>
        <v>0</v>
      </c>
      <c r="H14" s="346"/>
    </row>
    <row r="15" spans="1:10" s="339" customFormat="1" ht="18.75" customHeight="1">
      <c r="B15" s="340" t="s">
        <v>45</v>
      </c>
      <c r="C15" s="341" t="s">
        <v>46</v>
      </c>
      <c r="D15" s="342"/>
      <c r="E15" s="343"/>
      <c r="F15" s="344"/>
      <c r="G15" s="345">
        <f>G76</f>
        <v>0</v>
      </c>
      <c r="H15" s="346"/>
    </row>
    <row r="16" spans="1:10" s="339" customFormat="1" ht="18.75" customHeight="1">
      <c r="B16" s="340" t="s">
        <v>47</v>
      </c>
      <c r="C16" s="341" t="s">
        <v>48</v>
      </c>
      <c r="D16" s="342"/>
      <c r="E16" s="343"/>
      <c r="F16" s="344"/>
      <c r="G16" s="345">
        <f>G144</f>
        <v>0</v>
      </c>
      <c r="H16" s="346"/>
    </row>
    <row r="17" spans="2:9" s="339" customFormat="1" ht="18.75" customHeight="1">
      <c r="B17" s="347"/>
      <c r="C17" s="348" t="s">
        <v>49</v>
      </c>
      <c r="D17" s="349"/>
      <c r="E17" s="350"/>
      <c r="F17" s="351"/>
      <c r="G17" s="352">
        <f>SUM(G14:G16)</f>
        <v>0</v>
      </c>
      <c r="H17" s="346"/>
    </row>
    <row r="18" spans="2:9" s="312" customFormat="1">
      <c r="B18" s="353"/>
      <c r="C18" s="1778"/>
      <c r="D18" s="355"/>
      <c r="E18" s="64"/>
      <c r="F18" s="65"/>
      <c r="G18" s="66"/>
      <c r="H18" s="315"/>
    </row>
    <row r="19" spans="2:9" s="312" customFormat="1">
      <c r="B19" s="285"/>
      <c r="C19" s="1728"/>
      <c r="D19" s="287"/>
      <c r="E19" s="70"/>
      <c r="F19" s="71"/>
      <c r="G19" s="118"/>
      <c r="H19" s="315"/>
    </row>
    <row r="20" spans="2:9" s="312" customFormat="1">
      <c r="B20" s="356" t="s">
        <v>41</v>
      </c>
      <c r="C20" s="357" t="s">
        <v>51</v>
      </c>
      <c r="D20" s="358" t="s">
        <v>52</v>
      </c>
      <c r="E20" s="359" t="s">
        <v>53</v>
      </c>
      <c r="F20" s="360" t="s">
        <v>54</v>
      </c>
      <c r="G20" s="361" t="s">
        <v>55</v>
      </c>
      <c r="H20" s="315"/>
    </row>
    <row r="21" spans="2:9" s="312" customFormat="1">
      <c r="B21" s="362"/>
      <c r="C21" s="1730"/>
      <c r="D21" s="364"/>
      <c r="E21" s="128"/>
      <c r="F21" s="129"/>
      <c r="G21" s="130"/>
      <c r="H21" s="315"/>
    </row>
    <row r="22" spans="2:9" s="372" customFormat="1" ht="20.25">
      <c r="B22" s="365" t="s">
        <v>43</v>
      </c>
      <c r="C22" s="366" t="s">
        <v>44</v>
      </c>
      <c r="D22" s="367"/>
      <c r="E22" s="368"/>
      <c r="F22" s="369"/>
      <c r="G22" s="370"/>
      <c r="H22" s="371"/>
    </row>
    <row r="23" spans="2:9" s="312" customFormat="1" ht="45.75" customHeight="1">
      <c r="B23" s="362">
        <v>1</v>
      </c>
      <c r="C23" s="396" t="s">
        <v>56</v>
      </c>
      <c r="D23" s="374" t="s">
        <v>57</v>
      </c>
      <c r="E23" s="128">
        <v>617</v>
      </c>
      <c r="F23" s="375">
        <v>0</v>
      </c>
      <c r="G23" s="376">
        <f>E23*F23</f>
        <v>0</v>
      </c>
      <c r="H23" s="315"/>
      <c r="I23" s="377"/>
    </row>
    <row r="24" spans="2:9" s="312" customFormat="1" ht="27" customHeight="1">
      <c r="B24" s="362">
        <v>2</v>
      </c>
      <c r="C24" s="396" t="s">
        <v>58</v>
      </c>
      <c r="D24" s="374" t="s">
        <v>57</v>
      </c>
      <c r="E24" s="128">
        <f>E23</f>
        <v>617</v>
      </c>
      <c r="F24" s="375">
        <v>0</v>
      </c>
      <c r="G24" s="376">
        <f>E24*F24</f>
        <v>0</v>
      </c>
      <c r="H24" s="315"/>
    </row>
    <row r="25" spans="2:9" s="312" customFormat="1" ht="55.5" customHeight="1">
      <c r="B25" s="362">
        <v>3</v>
      </c>
      <c r="C25" s="396" t="s">
        <v>245</v>
      </c>
      <c r="D25" s="374" t="s">
        <v>60</v>
      </c>
      <c r="E25" s="128">
        <v>1</v>
      </c>
      <c r="F25" s="375">
        <v>0</v>
      </c>
      <c r="G25" s="376">
        <f t="shared" ref="G25:G33" si="0">E25*F25</f>
        <v>0</v>
      </c>
      <c r="H25" s="378"/>
    </row>
    <row r="26" spans="2:9" s="312" customFormat="1" ht="170.25" customHeight="1">
      <c r="B26" s="362">
        <v>4</v>
      </c>
      <c r="C26" s="1779" t="s">
        <v>61</v>
      </c>
      <c r="D26" s="380" t="s">
        <v>60</v>
      </c>
      <c r="E26" s="128">
        <v>1</v>
      </c>
      <c r="F26" s="375">
        <v>0</v>
      </c>
      <c r="G26" s="376">
        <f>E26*F26</f>
        <v>0</v>
      </c>
      <c r="H26" s="315"/>
    </row>
    <row r="27" spans="2:9" s="312" customFormat="1" ht="38.25" customHeight="1">
      <c r="B27" s="362">
        <v>5</v>
      </c>
      <c r="C27" s="1779" t="s">
        <v>62</v>
      </c>
      <c r="D27" s="146" t="s">
        <v>60</v>
      </c>
      <c r="E27" s="128">
        <v>1</v>
      </c>
      <c r="F27" s="375">
        <v>0</v>
      </c>
      <c r="G27" s="376">
        <f t="shared" si="0"/>
        <v>0</v>
      </c>
      <c r="H27" s="315"/>
    </row>
    <row r="28" spans="2:9" s="312" customFormat="1" ht="52.5" customHeight="1">
      <c r="B28" s="362">
        <v>6</v>
      </c>
      <c r="C28" s="192" t="s">
        <v>63</v>
      </c>
      <c r="D28" s="146" t="s">
        <v>60</v>
      </c>
      <c r="E28" s="128">
        <v>1</v>
      </c>
      <c r="F28" s="375">
        <v>0</v>
      </c>
      <c r="G28" s="376">
        <f t="shared" si="0"/>
        <v>0</v>
      </c>
      <c r="H28" s="315"/>
    </row>
    <row r="29" spans="2:9" s="312" customFormat="1" ht="71.25" customHeight="1">
      <c r="B29" s="362">
        <v>7</v>
      </c>
      <c r="C29" s="192" t="s">
        <v>64</v>
      </c>
      <c r="D29" s="146" t="s">
        <v>60</v>
      </c>
      <c r="E29" s="128">
        <v>1</v>
      </c>
      <c r="F29" s="375">
        <v>0</v>
      </c>
      <c r="G29" s="376">
        <f t="shared" si="0"/>
        <v>0</v>
      </c>
      <c r="H29" s="315"/>
    </row>
    <row r="30" spans="2:9" s="312" customFormat="1" ht="65.25" customHeight="1">
      <c r="B30" s="362">
        <v>8</v>
      </c>
      <c r="C30" s="1080" t="s">
        <v>2292</v>
      </c>
      <c r="D30" s="146" t="s">
        <v>66</v>
      </c>
      <c r="E30" s="128">
        <v>30</v>
      </c>
      <c r="F30" s="375">
        <v>0</v>
      </c>
      <c r="G30" s="376">
        <f t="shared" si="0"/>
        <v>0</v>
      </c>
      <c r="H30" s="315"/>
    </row>
    <row r="31" spans="2:9" s="312" customFormat="1" ht="37.5" customHeight="1">
      <c r="B31" s="362">
        <v>9</v>
      </c>
      <c r="C31" s="1080" t="s">
        <v>2294</v>
      </c>
      <c r="D31" s="146" t="s">
        <v>57</v>
      </c>
      <c r="E31" s="128">
        <f>E23</f>
        <v>617</v>
      </c>
      <c r="F31" s="375">
        <v>0</v>
      </c>
      <c r="G31" s="376">
        <f>E31*F31</f>
        <v>0</v>
      </c>
      <c r="H31" s="378"/>
    </row>
    <row r="32" spans="2:9" s="312" customFormat="1" ht="31.5" customHeight="1">
      <c r="B32" s="362">
        <v>10</v>
      </c>
      <c r="C32" s="1080" t="s">
        <v>2293</v>
      </c>
      <c r="D32" s="146" t="s">
        <v>60</v>
      </c>
      <c r="E32" s="128">
        <v>1</v>
      </c>
      <c r="F32" s="375">
        <v>0</v>
      </c>
      <c r="G32" s="376">
        <f t="shared" si="0"/>
        <v>0</v>
      </c>
      <c r="H32" s="315"/>
    </row>
    <row r="33" spans="2:9" s="312" customFormat="1" ht="33.75" customHeight="1">
      <c r="B33" s="362">
        <v>11</v>
      </c>
      <c r="C33" s="192" t="s">
        <v>67</v>
      </c>
      <c r="D33" s="146" t="s">
        <v>60</v>
      </c>
      <c r="E33" s="128">
        <v>1</v>
      </c>
      <c r="F33" s="375">
        <v>0</v>
      </c>
      <c r="G33" s="376">
        <f t="shared" si="0"/>
        <v>0</v>
      </c>
      <c r="H33" s="315"/>
    </row>
    <row r="34" spans="2:9" s="312" customFormat="1" ht="64.5" customHeight="1">
      <c r="B34" s="362">
        <v>12</v>
      </c>
      <c r="C34" s="150" t="s">
        <v>68</v>
      </c>
      <c r="D34" s="146" t="s">
        <v>60</v>
      </c>
      <c r="E34" s="149">
        <v>1</v>
      </c>
      <c r="F34" s="375">
        <v>0</v>
      </c>
      <c r="G34" s="376">
        <f>E34*F34</f>
        <v>0</v>
      </c>
      <c r="H34" s="315"/>
    </row>
    <row r="35" spans="2:9" s="312" customFormat="1" ht="64.5" customHeight="1">
      <c r="B35" s="362">
        <v>13</v>
      </c>
      <c r="C35" s="150" t="s">
        <v>69</v>
      </c>
      <c r="D35" s="146" t="s">
        <v>60</v>
      </c>
      <c r="E35" s="149">
        <v>1</v>
      </c>
      <c r="F35" s="375">
        <v>0</v>
      </c>
      <c r="G35" s="376">
        <f>E35*F35</f>
        <v>0</v>
      </c>
      <c r="H35" s="381"/>
    </row>
    <row r="36" spans="2:9" s="388" customFormat="1" ht="23.25" customHeight="1">
      <c r="B36" s="382" t="s">
        <v>43</v>
      </c>
      <c r="C36" s="383" t="s">
        <v>70</v>
      </c>
      <c r="D36" s="383"/>
      <c r="E36" s="384"/>
      <c r="F36" s="385"/>
      <c r="G36" s="386">
        <f>SUM(G23:G35)</f>
        <v>0</v>
      </c>
      <c r="H36" s="387"/>
    </row>
    <row r="37" spans="2:9" s="312" customFormat="1">
      <c r="B37" s="362"/>
      <c r="C37" s="1730"/>
      <c r="D37" s="364"/>
      <c r="E37" s="128"/>
      <c r="F37" s="129"/>
      <c r="G37" s="130"/>
      <c r="H37" s="315"/>
    </row>
    <row r="38" spans="2:9" s="312" customFormat="1">
      <c r="B38" s="356" t="s">
        <v>41</v>
      </c>
      <c r="C38" s="357" t="s">
        <v>51</v>
      </c>
      <c r="D38" s="358" t="s">
        <v>52</v>
      </c>
      <c r="E38" s="359" t="s">
        <v>53</v>
      </c>
      <c r="F38" s="360" t="s">
        <v>54</v>
      </c>
      <c r="G38" s="361" t="s">
        <v>55</v>
      </c>
      <c r="H38" s="315"/>
    </row>
    <row r="39" spans="2:9" s="312" customFormat="1">
      <c r="B39" s="362"/>
      <c r="C39" s="1730"/>
      <c r="D39" s="374"/>
      <c r="E39" s="128"/>
      <c r="F39" s="129"/>
      <c r="G39" s="130"/>
      <c r="H39" s="315"/>
    </row>
    <row r="40" spans="2:9" s="372" customFormat="1" ht="20.25">
      <c r="B40" s="365" t="s">
        <v>45</v>
      </c>
      <c r="C40" s="1735" t="s">
        <v>71</v>
      </c>
      <c r="D40" s="391"/>
      <c r="E40" s="368"/>
      <c r="F40" s="369"/>
      <c r="G40" s="370"/>
      <c r="H40" s="371"/>
    </row>
    <row r="41" spans="2:9" s="166" customFormat="1" ht="71.25" customHeight="1">
      <c r="B41" s="2447" t="s">
        <v>72</v>
      </c>
      <c r="C41" s="2448"/>
      <c r="D41" s="2448"/>
      <c r="E41" s="2448"/>
      <c r="F41" s="2448"/>
      <c r="G41" s="2449"/>
      <c r="H41" s="315"/>
    </row>
    <row r="42" spans="2:9" s="312" customFormat="1" ht="60.75" customHeight="1">
      <c r="B42" s="392">
        <v>1</v>
      </c>
      <c r="C42" s="396" t="s">
        <v>73</v>
      </c>
      <c r="D42" s="374" t="s">
        <v>74</v>
      </c>
      <c r="E42" s="128">
        <f>250*0.2*1.2</f>
        <v>60</v>
      </c>
      <c r="F42" s="375">
        <v>0</v>
      </c>
      <c r="G42" s="376">
        <f t="shared" ref="G42:G73" si="1">E42*F42</f>
        <v>0</v>
      </c>
      <c r="H42" s="315"/>
      <c r="I42" s="393"/>
    </row>
    <row r="43" spans="2:9" s="312" customFormat="1" ht="60.75" customHeight="1">
      <c r="B43" s="392">
        <v>2</v>
      </c>
      <c r="C43" s="396" t="s">
        <v>246</v>
      </c>
      <c r="D43" s="374" t="s">
        <v>57</v>
      </c>
      <c r="E43" s="128">
        <v>135</v>
      </c>
      <c r="F43" s="375">
        <v>0</v>
      </c>
      <c r="G43" s="376">
        <f t="shared" si="1"/>
        <v>0</v>
      </c>
      <c r="H43" s="315"/>
      <c r="I43" s="393"/>
    </row>
    <row r="44" spans="2:9" s="312" customFormat="1" ht="60.75" customHeight="1">
      <c r="B44" s="392">
        <v>3</v>
      </c>
      <c r="C44" s="396" t="s">
        <v>75</v>
      </c>
      <c r="D44" s="380" t="s">
        <v>74</v>
      </c>
      <c r="E44" s="128">
        <f>E23*1.5*1.2*0.15</f>
        <v>166.58999999999997</v>
      </c>
      <c r="F44" s="375">
        <v>0</v>
      </c>
      <c r="G44" s="376">
        <f t="shared" si="1"/>
        <v>0</v>
      </c>
      <c r="H44" s="315"/>
      <c r="I44" s="394"/>
    </row>
    <row r="45" spans="2:9" s="312" customFormat="1" ht="60.75" customHeight="1">
      <c r="B45" s="392">
        <v>4</v>
      </c>
      <c r="C45" s="396" t="s">
        <v>76</v>
      </c>
      <c r="D45" s="380" t="s">
        <v>74</v>
      </c>
      <c r="E45" s="128">
        <f>E23*1.5*1.2*0.85</f>
        <v>944.00999999999988</v>
      </c>
      <c r="F45" s="375">
        <v>0</v>
      </c>
      <c r="G45" s="376">
        <f t="shared" si="1"/>
        <v>0</v>
      </c>
      <c r="H45" s="315"/>
      <c r="I45" s="394"/>
    </row>
    <row r="46" spans="2:9" s="312" customFormat="1" ht="60.75" customHeight="1">
      <c r="B46" s="392">
        <v>5</v>
      </c>
      <c r="C46" s="396" t="s">
        <v>77</v>
      </c>
      <c r="D46" s="169" t="s">
        <v>78</v>
      </c>
      <c r="E46" s="170">
        <v>1851.5</v>
      </c>
      <c r="F46" s="375">
        <v>0</v>
      </c>
      <c r="G46" s="376">
        <f t="shared" si="1"/>
        <v>0</v>
      </c>
      <c r="H46" s="315"/>
      <c r="I46" s="393"/>
    </row>
    <row r="47" spans="2:9" s="312" customFormat="1" ht="60.75" customHeight="1">
      <c r="B47" s="392">
        <v>6</v>
      </c>
      <c r="C47" s="396" t="s">
        <v>79</v>
      </c>
      <c r="D47" s="380" t="s">
        <v>78</v>
      </c>
      <c r="E47" s="128">
        <f>E23</f>
        <v>617</v>
      </c>
      <c r="F47" s="375">
        <v>0</v>
      </c>
      <c r="G47" s="376">
        <f t="shared" si="1"/>
        <v>0</v>
      </c>
      <c r="H47" s="315"/>
      <c r="I47" s="393"/>
    </row>
    <row r="48" spans="2:9" s="312" customFormat="1" ht="60.75" customHeight="1">
      <c r="B48" s="392">
        <v>7</v>
      </c>
      <c r="C48" s="396" t="s">
        <v>80</v>
      </c>
      <c r="D48" s="380" t="s">
        <v>74</v>
      </c>
      <c r="E48" s="128">
        <f>E23*0.3</f>
        <v>185.1</v>
      </c>
      <c r="F48" s="375">
        <v>0</v>
      </c>
      <c r="G48" s="376">
        <f t="shared" si="1"/>
        <v>0</v>
      </c>
      <c r="H48" s="315"/>
      <c r="I48" s="394"/>
    </row>
    <row r="49" spans="2:9" s="312" customFormat="1" ht="60.75" customHeight="1">
      <c r="B49" s="392">
        <v>8</v>
      </c>
      <c r="C49" s="396" t="s">
        <v>247</v>
      </c>
      <c r="D49" s="380" t="s">
        <v>74</v>
      </c>
      <c r="E49" s="128">
        <v>60</v>
      </c>
      <c r="F49" s="375">
        <v>0</v>
      </c>
      <c r="G49" s="376">
        <f t="shared" si="1"/>
        <v>0</v>
      </c>
      <c r="H49" s="315"/>
      <c r="I49" s="395"/>
    </row>
    <row r="50" spans="2:9" s="312" customFormat="1" ht="60.75" customHeight="1">
      <c r="B50" s="392">
        <v>9</v>
      </c>
      <c r="C50" s="1779" t="s">
        <v>248</v>
      </c>
      <c r="D50" s="380" t="s">
        <v>74</v>
      </c>
      <c r="E50" s="128">
        <v>156</v>
      </c>
      <c r="F50" s="375">
        <v>0</v>
      </c>
      <c r="G50" s="376">
        <f t="shared" si="1"/>
        <v>0</v>
      </c>
      <c r="H50" s="315"/>
    </row>
    <row r="51" spans="2:9" s="166" customFormat="1" ht="60.75" customHeight="1">
      <c r="B51" s="392">
        <v>10</v>
      </c>
      <c r="C51" s="1780" t="s">
        <v>249</v>
      </c>
      <c r="D51" s="146" t="s">
        <v>74</v>
      </c>
      <c r="E51" s="128">
        <v>1054</v>
      </c>
      <c r="F51" s="375">
        <v>0</v>
      </c>
      <c r="G51" s="376">
        <f t="shared" si="1"/>
        <v>0</v>
      </c>
      <c r="H51" s="315"/>
    </row>
    <row r="52" spans="2:9" s="166" customFormat="1" ht="60.75" customHeight="1">
      <c r="B52" s="398" t="s">
        <v>250</v>
      </c>
      <c r="C52" s="1780" t="s">
        <v>251</v>
      </c>
      <c r="D52" s="146" t="s">
        <v>74</v>
      </c>
      <c r="E52" s="128">
        <v>83</v>
      </c>
      <c r="F52" s="375">
        <v>0</v>
      </c>
      <c r="G52" s="376">
        <f>E52*F52</f>
        <v>0</v>
      </c>
      <c r="H52" s="315"/>
    </row>
    <row r="53" spans="2:9" s="388" customFormat="1" ht="54" customHeight="1">
      <c r="B53" s="2472">
        <v>11</v>
      </c>
      <c r="C53" s="178" t="s">
        <v>83</v>
      </c>
      <c r="D53" s="146" t="s">
        <v>252</v>
      </c>
      <c r="E53" s="128">
        <v>1</v>
      </c>
      <c r="F53" s="375">
        <v>0</v>
      </c>
      <c r="G53" s="376">
        <f>E53*F53</f>
        <v>0</v>
      </c>
      <c r="H53" s="399"/>
    </row>
    <row r="54" spans="2:9" s="388" customFormat="1" ht="15" customHeight="1">
      <c r="B54" s="2473"/>
      <c r="C54" s="178" t="s">
        <v>84</v>
      </c>
      <c r="D54" s="374" t="s">
        <v>57</v>
      </c>
      <c r="E54" s="128">
        <v>10</v>
      </c>
      <c r="F54" s="375">
        <v>0</v>
      </c>
      <c r="G54" s="376">
        <f>E54*F54</f>
        <v>0</v>
      </c>
      <c r="H54" s="399"/>
    </row>
    <row r="55" spans="2:9" s="388" customFormat="1" ht="15" customHeight="1">
      <c r="B55" s="2474"/>
      <c r="C55" s="178" t="s">
        <v>253</v>
      </c>
      <c r="D55" s="374" t="s">
        <v>57</v>
      </c>
      <c r="E55" s="128">
        <v>10</v>
      </c>
      <c r="F55" s="375">
        <v>0</v>
      </c>
      <c r="G55" s="376">
        <f>E55*F55</f>
        <v>0</v>
      </c>
      <c r="H55" s="399"/>
    </row>
    <row r="56" spans="2:9" s="312" customFormat="1" ht="75.75" customHeight="1">
      <c r="B56" s="392">
        <v>12</v>
      </c>
      <c r="C56" s="396" t="s">
        <v>85</v>
      </c>
      <c r="D56" s="380" t="s">
        <v>57</v>
      </c>
      <c r="E56" s="128">
        <v>930</v>
      </c>
      <c r="F56" s="375">
        <v>0</v>
      </c>
      <c r="G56" s="376">
        <f t="shared" si="1"/>
        <v>0</v>
      </c>
      <c r="H56" s="378"/>
    </row>
    <row r="57" spans="2:9" s="312" customFormat="1" ht="75.75" customHeight="1">
      <c r="B57" s="392">
        <v>13</v>
      </c>
      <c r="C57" s="396" t="s">
        <v>86</v>
      </c>
      <c r="D57" s="374" t="s">
        <v>78</v>
      </c>
      <c r="E57" s="128">
        <v>600</v>
      </c>
      <c r="F57" s="375">
        <v>0</v>
      </c>
      <c r="G57" s="376">
        <f t="shared" si="1"/>
        <v>0</v>
      </c>
      <c r="H57" s="378"/>
    </row>
    <row r="58" spans="2:9" s="312" customFormat="1" ht="75.75" customHeight="1">
      <c r="B58" s="392">
        <v>14</v>
      </c>
      <c r="C58" s="396" t="s">
        <v>87</v>
      </c>
      <c r="D58" s="374" t="s">
        <v>78</v>
      </c>
      <c r="E58" s="128">
        <f>E57</f>
        <v>600</v>
      </c>
      <c r="F58" s="375">
        <v>0</v>
      </c>
      <c r="G58" s="376">
        <f t="shared" si="1"/>
        <v>0</v>
      </c>
      <c r="H58" s="378"/>
    </row>
    <row r="59" spans="2:9" s="312" customFormat="1" ht="75.75" customHeight="1">
      <c r="B59" s="392">
        <v>15</v>
      </c>
      <c r="C59" s="1780" t="s">
        <v>254</v>
      </c>
      <c r="D59" s="380" t="s">
        <v>78</v>
      </c>
      <c r="E59" s="128">
        <v>115</v>
      </c>
      <c r="F59" s="375">
        <v>0</v>
      </c>
      <c r="G59" s="376">
        <f>E59*F59</f>
        <v>0</v>
      </c>
      <c r="H59" s="378"/>
    </row>
    <row r="60" spans="2:9" s="312" customFormat="1" ht="75.75" customHeight="1">
      <c r="B60" s="400" t="s">
        <v>255</v>
      </c>
      <c r="C60" s="1779" t="s">
        <v>256</v>
      </c>
      <c r="D60" s="380" t="s">
        <v>78</v>
      </c>
      <c r="E60" s="128">
        <v>215</v>
      </c>
      <c r="F60" s="375">
        <v>0</v>
      </c>
      <c r="G60" s="376">
        <f t="shared" si="1"/>
        <v>0</v>
      </c>
      <c r="H60" s="378"/>
    </row>
    <row r="61" spans="2:9" s="312" customFormat="1" ht="91.5" customHeight="1">
      <c r="B61" s="400" t="s">
        <v>257</v>
      </c>
      <c r="C61" s="1779" t="s">
        <v>258</v>
      </c>
      <c r="D61" s="380" t="s">
        <v>78</v>
      </c>
      <c r="E61" s="128">
        <v>215</v>
      </c>
      <c r="F61" s="375">
        <v>0</v>
      </c>
      <c r="G61" s="376">
        <f>E61*F61</f>
        <v>0</v>
      </c>
      <c r="H61" s="378"/>
    </row>
    <row r="62" spans="2:9" s="312" customFormat="1" ht="78.75" customHeight="1">
      <c r="B62" s="400" t="s">
        <v>259</v>
      </c>
      <c r="C62" s="1779" t="s">
        <v>260</v>
      </c>
      <c r="D62" s="380" t="s">
        <v>78</v>
      </c>
      <c r="E62" s="128">
        <v>715</v>
      </c>
      <c r="F62" s="375">
        <v>0</v>
      </c>
      <c r="G62" s="376">
        <f>E62*F62</f>
        <v>0</v>
      </c>
      <c r="H62" s="378"/>
    </row>
    <row r="63" spans="2:9" s="312" customFormat="1" ht="88.5" customHeight="1">
      <c r="B63" s="400" t="s">
        <v>261</v>
      </c>
      <c r="C63" s="1779" t="s">
        <v>262</v>
      </c>
      <c r="D63" s="380" t="s">
        <v>78</v>
      </c>
      <c r="E63" s="128">
        <v>715</v>
      </c>
      <c r="F63" s="375">
        <v>0</v>
      </c>
      <c r="G63" s="376">
        <f>E63*F63</f>
        <v>0</v>
      </c>
      <c r="H63" s="378"/>
    </row>
    <row r="64" spans="2:9" s="312" customFormat="1" ht="66" customHeight="1">
      <c r="B64" s="392">
        <v>16</v>
      </c>
      <c r="C64" s="396" t="s">
        <v>90</v>
      </c>
      <c r="D64" s="374" t="s">
        <v>78</v>
      </c>
      <c r="E64" s="128">
        <v>250</v>
      </c>
      <c r="F64" s="375">
        <v>0</v>
      </c>
      <c r="G64" s="376">
        <f t="shared" si="1"/>
        <v>0</v>
      </c>
      <c r="H64" s="378"/>
    </row>
    <row r="65" spans="1:9" s="312" customFormat="1" ht="33" customHeight="1">
      <c r="B65" s="392">
        <v>17</v>
      </c>
      <c r="C65" s="396" t="s">
        <v>263</v>
      </c>
      <c r="D65" s="380" t="s">
        <v>74</v>
      </c>
      <c r="E65" s="128">
        <f>E42</f>
        <v>60</v>
      </c>
      <c r="F65" s="375">
        <v>0</v>
      </c>
      <c r="G65" s="376">
        <f t="shared" si="1"/>
        <v>0</v>
      </c>
      <c r="H65" s="378"/>
    </row>
    <row r="66" spans="1:9" s="312" customFormat="1" ht="33" customHeight="1">
      <c r="B66" s="392">
        <v>18</v>
      </c>
      <c r="C66" s="396" t="s">
        <v>264</v>
      </c>
      <c r="D66" s="380" t="s">
        <v>74</v>
      </c>
      <c r="E66" s="128">
        <v>1245.5999999999999</v>
      </c>
      <c r="F66" s="375">
        <v>0</v>
      </c>
      <c r="G66" s="376">
        <f t="shared" si="1"/>
        <v>0</v>
      </c>
      <c r="H66" s="378"/>
    </row>
    <row r="67" spans="1:9" s="312" customFormat="1" ht="33" customHeight="1">
      <c r="B67" s="392">
        <v>19</v>
      </c>
      <c r="C67" s="396" t="s">
        <v>265</v>
      </c>
      <c r="D67" s="380" t="s">
        <v>74</v>
      </c>
      <c r="E67" s="128">
        <f>E66</f>
        <v>1245.5999999999999</v>
      </c>
      <c r="F67" s="375">
        <v>0</v>
      </c>
      <c r="G67" s="376">
        <f t="shared" si="1"/>
        <v>0</v>
      </c>
      <c r="H67" s="378"/>
    </row>
    <row r="68" spans="1:9" s="312" customFormat="1" ht="33" customHeight="1">
      <c r="B68" s="392">
        <v>20</v>
      </c>
      <c r="C68" s="396" t="s">
        <v>266</v>
      </c>
      <c r="D68" s="380" t="s">
        <v>78</v>
      </c>
      <c r="E68" s="128">
        <v>600</v>
      </c>
      <c r="F68" s="375">
        <v>0</v>
      </c>
      <c r="G68" s="376">
        <f t="shared" si="1"/>
        <v>0</v>
      </c>
      <c r="H68" s="315"/>
    </row>
    <row r="69" spans="1:9" s="312" customFormat="1" ht="40.5" customHeight="1">
      <c r="B69" s="392">
        <v>21</v>
      </c>
      <c r="C69" s="396" t="s">
        <v>95</v>
      </c>
      <c r="D69" s="374" t="s">
        <v>78</v>
      </c>
      <c r="E69" s="128">
        <v>63.5</v>
      </c>
      <c r="F69" s="375">
        <v>0</v>
      </c>
      <c r="G69" s="376">
        <f t="shared" si="1"/>
        <v>0</v>
      </c>
      <c r="H69" s="315"/>
      <c r="I69" s="395"/>
    </row>
    <row r="70" spans="1:9" s="312" customFormat="1" ht="40.5" customHeight="1">
      <c r="B70" s="392">
        <v>25</v>
      </c>
      <c r="C70" s="178" t="s">
        <v>96</v>
      </c>
      <c r="D70" s="374" t="s">
        <v>57</v>
      </c>
      <c r="E70" s="128">
        <v>25</v>
      </c>
      <c r="F70" s="375">
        <v>0</v>
      </c>
      <c r="G70" s="376">
        <f>E70*F70</f>
        <v>0</v>
      </c>
      <c r="H70" s="315"/>
    </row>
    <row r="71" spans="1:9" s="312" customFormat="1" ht="40.5" customHeight="1">
      <c r="B71" s="400" t="s">
        <v>267</v>
      </c>
      <c r="C71" s="178" t="s">
        <v>268</v>
      </c>
      <c r="D71" s="374" t="s">
        <v>57</v>
      </c>
      <c r="E71" s="128">
        <v>20</v>
      </c>
      <c r="F71" s="375">
        <v>0</v>
      </c>
      <c r="G71" s="376">
        <f>E71*F71</f>
        <v>0</v>
      </c>
      <c r="H71" s="315"/>
    </row>
    <row r="72" spans="1:9" s="312" customFormat="1" ht="40.5" customHeight="1">
      <c r="B72" s="401">
        <v>30</v>
      </c>
      <c r="C72" s="184" t="s">
        <v>269</v>
      </c>
      <c r="D72" s="182" t="s">
        <v>74</v>
      </c>
      <c r="E72" s="183">
        <v>5</v>
      </c>
      <c r="F72" s="375">
        <v>0</v>
      </c>
      <c r="G72" s="376">
        <f t="shared" si="1"/>
        <v>0</v>
      </c>
      <c r="H72" s="315"/>
    </row>
    <row r="73" spans="1:9" s="312" customFormat="1" ht="54.75" customHeight="1">
      <c r="B73" s="392">
        <v>31</v>
      </c>
      <c r="C73" s="184" t="s">
        <v>270</v>
      </c>
      <c r="D73" s="182" t="s">
        <v>66</v>
      </c>
      <c r="E73" s="183">
        <v>8</v>
      </c>
      <c r="F73" s="375">
        <v>0</v>
      </c>
      <c r="G73" s="376">
        <f t="shared" si="1"/>
        <v>0</v>
      </c>
      <c r="H73" s="315"/>
    </row>
    <row r="74" spans="1:9" s="166" customFormat="1" ht="54.75" customHeight="1">
      <c r="A74" s="312"/>
      <c r="B74" s="401">
        <v>32</v>
      </c>
      <c r="C74" s="184" t="s">
        <v>99</v>
      </c>
      <c r="D74" s="182" t="s">
        <v>74</v>
      </c>
      <c r="E74" s="183">
        <v>5</v>
      </c>
      <c r="F74" s="375">
        <v>0</v>
      </c>
      <c r="G74" s="376">
        <f>E74*F74</f>
        <v>0</v>
      </c>
      <c r="H74" s="315"/>
    </row>
    <row r="75" spans="1:9" s="166" customFormat="1" ht="54.75" customHeight="1">
      <c r="A75" s="312"/>
      <c r="B75" s="392">
        <v>33</v>
      </c>
      <c r="C75" s="184" t="s">
        <v>100</v>
      </c>
      <c r="D75" s="182" t="s">
        <v>65</v>
      </c>
      <c r="E75" s="183">
        <v>20</v>
      </c>
      <c r="F75" s="375">
        <v>0</v>
      </c>
      <c r="G75" s="376">
        <f>E75*F75</f>
        <v>0</v>
      </c>
      <c r="H75" s="315"/>
    </row>
    <row r="76" spans="1:9" s="166" customFormat="1" ht="33" customHeight="1">
      <c r="A76" s="388"/>
      <c r="B76" s="382" t="s">
        <v>45</v>
      </c>
      <c r="C76" s="383" t="s">
        <v>101</v>
      </c>
      <c r="D76" s="403"/>
      <c r="E76" s="384"/>
      <c r="F76" s="385"/>
      <c r="G76" s="386">
        <f>SUM(G42:G75)</f>
        <v>0</v>
      </c>
      <c r="H76" s="315"/>
    </row>
    <row r="79" spans="1:9" s="166" customFormat="1" ht="45" customHeight="1">
      <c r="A79" s="312"/>
      <c r="B79" s="356" t="s">
        <v>41</v>
      </c>
      <c r="C79" s="357" t="s">
        <v>51</v>
      </c>
      <c r="D79" s="357" t="s">
        <v>52</v>
      </c>
      <c r="E79" s="359" t="s">
        <v>53</v>
      </c>
      <c r="F79" s="360" t="s">
        <v>54</v>
      </c>
      <c r="G79" s="361" t="s">
        <v>55</v>
      </c>
      <c r="H79" s="315"/>
    </row>
    <row r="80" spans="1:9" s="166" customFormat="1" ht="125.25" hidden="1" customHeight="1">
      <c r="A80" s="312"/>
      <c r="B80" s="362"/>
      <c r="C80" s="1730"/>
      <c r="D80" s="374"/>
      <c r="E80" s="128"/>
      <c r="F80" s="129"/>
      <c r="G80" s="130"/>
      <c r="H80" s="315"/>
    </row>
    <row r="81" spans="1:8" s="166" customFormat="1" ht="20.25">
      <c r="A81" s="372"/>
      <c r="B81" s="404" t="s">
        <v>47</v>
      </c>
      <c r="C81" s="1746" t="s">
        <v>102</v>
      </c>
      <c r="D81" s="391"/>
      <c r="E81" s="368"/>
      <c r="F81" s="369"/>
      <c r="G81" s="370"/>
      <c r="H81" s="315"/>
    </row>
    <row r="82" spans="1:8" s="166" customFormat="1" ht="15">
      <c r="A82" s="9"/>
      <c r="B82" s="294" t="s">
        <v>2</v>
      </c>
      <c r="C82" s="296"/>
      <c r="D82" s="296"/>
      <c r="E82" s="296"/>
      <c r="F82" s="296"/>
      <c r="G82" s="297"/>
      <c r="H82" s="315"/>
    </row>
    <row r="83" spans="1:8" s="312" customFormat="1" ht="24.75" customHeight="1">
      <c r="A83" s="15"/>
      <c r="B83" s="298" t="s">
        <v>3</v>
      </c>
      <c r="C83" s="301"/>
      <c r="D83" s="300"/>
      <c r="E83" s="301"/>
      <c r="F83" s="301"/>
      <c r="G83" s="300"/>
      <c r="H83" s="315"/>
    </row>
    <row r="84" spans="1:8" s="166" customFormat="1" ht="16.5" customHeight="1">
      <c r="A84" s="9"/>
      <c r="B84" s="294" t="s">
        <v>4</v>
      </c>
      <c r="C84" s="296"/>
      <c r="D84" s="296"/>
      <c r="E84" s="296"/>
      <c r="F84" s="296"/>
      <c r="G84" s="297"/>
      <c r="H84" s="378"/>
    </row>
    <row r="85" spans="1:8" s="166" customFormat="1" ht="19.5" customHeight="1">
      <c r="A85" s="15"/>
      <c r="B85" s="298" t="s">
        <v>5</v>
      </c>
      <c r="C85" s="301"/>
      <c r="D85" s="301"/>
      <c r="E85" s="301"/>
      <c r="F85" s="301"/>
      <c r="G85" s="300"/>
      <c r="H85" s="378"/>
    </row>
    <row r="86" spans="1:8" s="166" customFormat="1">
      <c r="B86" s="2447" t="s">
        <v>271</v>
      </c>
      <c r="C86" s="2448"/>
      <c r="D86" s="2448"/>
      <c r="E86" s="2448"/>
      <c r="F86" s="2448"/>
      <c r="G86" s="2449"/>
      <c r="H86" s="315"/>
    </row>
    <row r="87" spans="1:8" s="166" customFormat="1">
      <c r="B87" s="2447" t="s">
        <v>104</v>
      </c>
      <c r="C87" s="2448"/>
      <c r="D87" s="2448"/>
      <c r="E87" s="2448"/>
      <c r="F87" s="2448"/>
      <c r="G87" s="2449"/>
      <c r="H87" s="315"/>
    </row>
    <row r="88" spans="1:8" s="166" customFormat="1">
      <c r="B88" s="2447" t="s">
        <v>105</v>
      </c>
      <c r="C88" s="2448"/>
      <c r="D88" s="2448"/>
      <c r="E88" s="2448"/>
      <c r="F88" s="2448"/>
      <c r="G88" s="2449"/>
      <c r="H88" s="315"/>
    </row>
    <row r="89" spans="1:8" s="166" customFormat="1" ht="48" customHeight="1">
      <c r="A89" s="312"/>
      <c r="B89" s="406">
        <v>1</v>
      </c>
      <c r="C89" s="1781" t="s">
        <v>106</v>
      </c>
      <c r="D89" s="190"/>
      <c r="E89" s="128"/>
      <c r="F89" s="129"/>
      <c r="G89" s="130"/>
      <c r="H89" s="315"/>
    </row>
    <row r="90" spans="1:8" s="166" customFormat="1" ht="21" customHeight="1">
      <c r="A90" s="312"/>
      <c r="B90" s="406"/>
      <c r="C90" s="271" t="s">
        <v>272</v>
      </c>
      <c r="D90" s="190" t="s">
        <v>57</v>
      </c>
      <c r="E90" s="128">
        <v>432</v>
      </c>
      <c r="F90" s="375">
        <v>0</v>
      </c>
      <c r="G90" s="375">
        <f>E90*F90</f>
        <v>0</v>
      </c>
      <c r="H90" s="315"/>
    </row>
    <row r="91" spans="1:8" s="166" customFormat="1" ht="36" customHeight="1">
      <c r="A91" s="388"/>
      <c r="B91" s="408"/>
      <c r="C91" s="271" t="s">
        <v>273</v>
      </c>
      <c r="D91" s="190" t="s">
        <v>57</v>
      </c>
      <c r="E91" s="128">
        <v>185</v>
      </c>
      <c r="F91" s="375">
        <v>0</v>
      </c>
      <c r="G91" s="375">
        <f>E91*F91</f>
        <v>0</v>
      </c>
      <c r="H91" s="387"/>
    </row>
    <row r="92" spans="1:8" s="312" customFormat="1" ht="45.75" customHeight="1">
      <c r="A92" s="166"/>
      <c r="B92" s="2469" t="s">
        <v>111</v>
      </c>
      <c r="C92" s="1782" t="s">
        <v>112</v>
      </c>
      <c r="D92" s="194"/>
      <c r="E92" s="128"/>
      <c r="F92" s="375"/>
      <c r="G92" s="376"/>
      <c r="H92" s="315"/>
    </row>
    <row r="93" spans="1:8" s="312" customFormat="1" ht="51" customHeight="1">
      <c r="A93" s="166"/>
      <c r="B93" s="2470"/>
      <c r="C93" s="429" t="s">
        <v>113</v>
      </c>
      <c r="D93" s="194" t="s">
        <v>57</v>
      </c>
      <c r="E93" s="128">
        <v>18</v>
      </c>
      <c r="F93" s="375">
        <v>0</v>
      </c>
      <c r="G93" s="376">
        <f t="shared" ref="G93:G99" si="2">E93*F93</f>
        <v>0</v>
      </c>
      <c r="H93" s="315"/>
    </row>
    <row r="94" spans="1:8" s="312" customFormat="1" ht="29.25" customHeight="1">
      <c r="A94" s="166"/>
      <c r="B94" s="2470"/>
      <c r="C94" s="429" t="s">
        <v>274</v>
      </c>
      <c r="D94" s="194" t="s">
        <v>57</v>
      </c>
      <c r="E94" s="128">
        <v>18</v>
      </c>
      <c r="F94" s="375">
        <v>0</v>
      </c>
      <c r="G94" s="376">
        <f t="shared" si="2"/>
        <v>0</v>
      </c>
      <c r="H94" s="315"/>
    </row>
    <row r="95" spans="1:8" s="312" customFormat="1" ht="34.5" customHeight="1">
      <c r="A95" s="166"/>
      <c r="B95" s="2471"/>
      <c r="C95" s="429" t="s">
        <v>275</v>
      </c>
      <c r="D95" s="194" t="s">
        <v>57</v>
      </c>
      <c r="E95" s="128">
        <v>18</v>
      </c>
      <c r="F95" s="375">
        <v>0</v>
      </c>
      <c r="G95" s="376">
        <f t="shared" si="2"/>
        <v>0</v>
      </c>
      <c r="H95" s="371"/>
    </row>
    <row r="96" spans="1:8" s="312" customFormat="1" ht="63" customHeight="1">
      <c r="B96" s="196">
        <v>2</v>
      </c>
      <c r="C96" s="1783" t="s">
        <v>114</v>
      </c>
      <c r="D96" s="380" t="s">
        <v>57</v>
      </c>
      <c r="E96" s="198">
        <f>E24</f>
        <v>617</v>
      </c>
      <c r="F96" s="375">
        <v>0</v>
      </c>
      <c r="G96" s="376">
        <f t="shared" si="2"/>
        <v>0</v>
      </c>
      <c r="H96" s="14"/>
    </row>
    <row r="97" spans="1:8" s="312" customFormat="1" ht="57.75" customHeight="1">
      <c r="B97" s="409" t="s">
        <v>115</v>
      </c>
      <c r="C97" s="1783" t="s">
        <v>116</v>
      </c>
      <c r="D97" s="380" t="s">
        <v>57</v>
      </c>
      <c r="E97" s="198">
        <f>E24</f>
        <v>617</v>
      </c>
      <c r="F97" s="375">
        <v>0</v>
      </c>
      <c r="G97" s="376">
        <f t="shared" si="2"/>
        <v>0</v>
      </c>
      <c r="H97" s="14"/>
    </row>
    <row r="98" spans="1:8" s="312" customFormat="1" ht="49.5" customHeight="1">
      <c r="B98" s="409" t="s">
        <v>117</v>
      </c>
      <c r="C98" s="1783" t="s">
        <v>118</v>
      </c>
      <c r="D98" s="380" t="s">
        <v>57</v>
      </c>
      <c r="E98" s="198">
        <f>E24</f>
        <v>617</v>
      </c>
      <c r="F98" s="375">
        <v>0</v>
      </c>
      <c r="G98" s="376">
        <f t="shared" si="2"/>
        <v>0</v>
      </c>
      <c r="H98" s="14"/>
    </row>
    <row r="99" spans="1:8" s="312" customFormat="1" ht="58.5" customHeight="1">
      <c r="B99" s="409" t="s">
        <v>119</v>
      </c>
      <c r="C99" s="1783" t="s">
        <v>120</v>
      </c>
      <c r="D99" s="380" t="s">
        <v>57</v>
      </c>
      <c r="E99" s="198">
        <f>E24</f>
        <v>617</v>
      </c>
      <c r="F99" s="375">
        <v>0</v>
      </c>
      <c r="G99" s="376">
        <f t="shared" si="2"/>
        <v>0</v>
      </c>
      <c r="H99" s="14"/>
    </row>
    <row r="100" spans="1:8" s="312" customFormat="1" ht="48" customHeight="1">
      <c r="A100" s="166"/>
      <c r="B100" s="406">
        <v>3</v>
      </c>
      <c r="C100" s="1784" t="s">
        <v>121</v>
      </c>
      <c r="D100" s="364"/>
      <c r="E100" s="128"/>
      <c r="F100" s="129"/>
      <c r="G100" s="130"/>
      <c r="H100" s="315"/>
    </row>
    <row r="101" spans="1:8" s="312" customFormat="1" ht="16.5" customHeight="1">
      <c r="B101" s="411" t="s">
        <v>122</v>
      </c>
      <c r="C101" s="1785" t="s">
        <v>123</v>
      </c>
      <c r="D101" s="413"/>
      <c r="E101" s="414"/>
      <c r="F101" s="415"/>
      <c r="G101" s="416"/>
      <c r="H101" s="315"/>
    </row>
    <row r="102" spans="1:8" s="388" customFormat="1" ht="21.75" customHeight="1">
      <c r="A102" s="312"/>
      <c r="B102" s="362"/>
      <c r="C102" s="1785" t="s">
        <v>276</v>
      </c>
      <c r="D102" s="413"/>
      <c r="E102" s="414"/>
      <c r="F102" s="415"/>
      <c r="G102" s="416"/>
      <c r="H102" s="315"/>
    </row>
    <row r="103" spans="1:8" s="312" customFormat="1" ht="24" customHeight="1">
      <c r="B103" s="362"/>
      <c r="C103" s="422" t="s">
        <v>277</v>
      </c>
      <c r="D103" s="418" t="s">
        <v>66</v>
      </c>
      <c r="E103" s="414">
        <v>5</v>
      </c>
      <c r="F103" s="419">
        <v>0</v>
      </c>
      <c r="G103" s="420">
        <f t="shared" ref="G103:G115" si="3">E103*F103</f>
        <v>0</v>
      </c>
      <c r="H103" s="315"/>
    </row>
    <row r="104" spans="1:8" s="312" customFormat="1" ht="18.75" customHeight="1">
      <c r="B104" s="362"/>
      <c r="C104" s="422" t="s">
        <v>278</v>
      </c>
      <c r="D104" s="418" t="s">
        <v>66</v>
      </c>
      <c r="E104" s="414">
        <v>3</v>
      </c>
      <c r="F104" s="419">
        <v>0</v>
      </c>
      <c r="G104" s="420">
        <f t="shared" si="3"/>
        <v>0</v>
      </c>
      <c r="H104" s="387"/>
    </row>
    <row r="105" spans="1:8" s="312" customFormat="1" ht="20.25" customHeight="1">
      <c r="B105" s="362"/>
      <c r="C105" s="422" t="s">
        <v>279</v>
      </c>
      <c r="D105" s="418" t="s">
        <v>66</v>
      </c>
      <c r="E105" s="414">
        <v>8</v>
      </c>
      <c r="F105" s="419">
        <v>0</v>
      </c>
      <c r="G105" s="420">
        <f t="shared" si="3"/>
        <v>0</v>
      </c>
      <c r="H105" s="315"/>
    </row>
    <row r="106" spans="1:8" s="372" customFormat="1" ht="20.25">
      <c r="A106" s="388"/>
      <c r="B106" s="421"/>
      <c r="C106" s="422" t="s">
        <v>280</v>
      </c>
      <c r="D106" s="418" t="s">
        <v>66</v>
      </c>
      <c r="E106" s="414">
        <v>32</v>
      </c>
      <c r="F106" s="419">
        <v>0</v>
      </c>
      <c r="G106" s="420">
        <f t="shared" si="3"/>
        <v>0</v>
      </c>
      <c r="H106" s="315"/>
    </row>
    <row r="107" spans="1:8" s="14" customFormat="1" ht="18" customHeight="1">
      <c r="A107" s="423"/>
      <c r="B107" s="411" t="s">
        <v>126</v>
      </c>
      <c r="C107" s="1793" t="s">
        <v>127</v>
      </c>
      <c r="D107" s="1794"/>
      <c r="E107" s="1795"/>
      <c r="F107" s="1796"/>
      <c r="G107" s="1796"/>
      <c r="H107" s="315"/>
    </row>
    <row r="108" spans="1:8" s="14" customFormat="1" ht="18" customHeight="1">
      <c r="A108" s="423"/>
      <c r="B108" s="411"/>
      <c r="C108" s="1793" t="s">
        <v>281</v>
      </c>
      <c r="D108" s="1794"/>
      <c r="E108" s="1795"/>
      <c r="F108" s="1796"/>
      <c r="G108" s="1797"/>
      <c r="H108" s="315"/>
    </row>
    <row r="109" spans="1:8" s="14" customFormat="1" ht="24" customHeight="1">
      <c r="A109" s="423"/>
      <c r="B109" s="424"/>
      <c r="C109" s="1798" t="s">
        <v>282</v>
      </c>
      <c r="D109" s="1794" t="s">
        <v>66</v>
      </c>
      <c r="E109" s="1795">
        <v>1</v>
      </c>
      <c r="F109" s="1799">
        <v>0</v>
      </c>
      <c r="G109" s="1800">
        <f t="shared" si="3"/>
        <v>0</v>
      </c>
      <c r="H109" s="315"/>
    </row>
    <row r="110" spans="1:8" s="14" customFormat="1" ht="46.5" customHeight="1">
      <c r="A110" s="423"/>
      <c r="B110" s="424"/>
      <c r="C110" s="1798" t="s">
        <v>283</v>
      </c>
      <c r="D110" s="1794" t="s">
        <v>66</v>
      </c>
      <c r="E110" s="1795">
        <v>1</v>
      </c>
      <c r="F110" s="1799">
        <v>0</v>
      </c>
      <c r="G110" s="1800">
        <f t="shared" si="3"/>
        <v>0</v>
      </c>
      <c r="H110" s="315"/>
    </row>
    <row r="111" spans="1:8" s="166" customFormat="1" ht="27" customHeight="1">
      <c r="A111" s="423"/>
      <c r="B111" s="424"/>
      <c r="C111" s="1798" t="s">
        <v>183</v>
      </c>
      <c r="D111" s="1794" t="s">
        <v>66</v>
      </c>
      <c r="E111" s="1795">
        <v>1</v>
      </c>
      <c r="F111" s="1799">
        <v>0</v>
      </c>
      <c r="G111" s="1800">
        <f t="shared" si="3"/>
        <v>0</v>
      </c>
      <c r="H111" s="315"/>
    </row>
    <row r="112" spans="1:8" s="166" customFormat="1" ht="25.5" customHeight="1">
      <c r="A112" s="423"/>
      <c r="B112" s="424"/>
      <c r="C112" s="1798" t="s">
        <v>131</v>
      </c>
      <c r="D112" s="1794" t="s">
        <v>66</v>
      </c>
      <c r="E112" s="1795">
        <v>1</v>
      </c>
      <c r="F112" s="1799">
        <v>0</v>
      </c>
      <c r="G112" s="1800">
        <f t="shared" si="3"/>
        <v>0</v>
      </c>
      <c r="H112" s="315"/>
    </row>
    <row r="113" spans="1:8" s="166" customFormat="1" ht="29.25" customHeight="1">
      <c r="A113" s="423"/>
      <c r="B113" s="424"/>
      <c r="C113" s="1801" t="s">
        <v>216</v>
      </c>
      <c r="D113" s="1794" t="s">
        <v>66</v>
      </c>
      <c r="E113" s="1795">
        <v>2</v>
      </c>
      <c r="F113" s="1799">
        <v>0</v>
      </c>
      <c r="G113" s="1800">
        <f t="shared" si="3"/>
        <v>0</v>
      </c>
      <c r="H113" s="315"/>
    </row>
    <row r="114" spans="1:8" s="312" customFormat="1" ht="30" customHeight="1">
      <c r="A114" s="423"/>
      <c r="B114" s="424"/>
      <c r="C114" s="1801" t="s">
        <v>134</v>
      </c>
      <c r="D114" s="1794" t="s">
        <v>66</v>
      </c>
      <c r="E114" s="1795">
        <v>1</v>
      </c>
      <c r="F114" s="1799">
        <v>0</v>
      </c>
      <c r="G114" s="1800">
        <f t="shared" si="3"/>
        <v>0</v>
      </c>
      <c r="H114" s="315"/>
    </row>
    <row r="115" spans="1:8" s="388" customFormat="1" ht="33" customHeight="1">
      <c r="A115" s="423"/>
      <c r="B115" s="424"/>
      <c r="C115" s="1801" t="s">
        <v>135</v>
      </c>
      <c r="D115" s="1794" t="s">
        <v>66</v>
      </c>
      <c r="E115" s="1795">
        <v>1</v>
      </c>
      <c r="F115" s="1799">
        <v>0</v>
      </c>
      <c r="G115" s="1800">
        <f t="shared" si="3"/>
        <v>0</v>
      </c>
      <c r="H115" s="315"/>
    </row>
    <row r="116" spans="1:8" s="166" customFormat="1" ht="18.75" customHeight="1">
      <c r="A116" s="423"/>
      <c r="B116" s="424" t="s">
        <v>136</v>
      </c>
      <c r="C116" s="1786" t="s">
        <v>137</v>
      </c>
      <c r="D116" s="1787" t="s">
        <v>66</v>
      </c>
      <c r="E116" s="240"/>
      <c r="F116" s="1788"/>
      <c r="G116" s="1789"/>
      <c r="H116" s="315"/>
    </row>
    <row r="117" spans="1:8" s="166" customFormat="1" ht="20.25" customHeight="1">
      <c r="A117" s="423"/>
      <c r="B117" s="411"/>
      <c r="C117" s="1786" t="s">
        <v>284</v>
      </c>
      <c r="D117" s="1787"/>
      <c r="E117" s="240"/>
      <c r="F117" s="1788"/>
      <c r="G117" s="242"/>
      <c r="H117" s="315"/>
    </row>
    <row r="118" spans="1:8" s="166" customFormat="1" ht="20.25" customHeight="1">
      <c r="A118" s="423"/>
      <c r="B118" s="411"/>
      <c r="C118" s="1790" t="s">
        <v>1538</v>
      </c>
      <c r="D118" s="1787" t="s">
        <v>285</v>
      </c>
      <c r="E118" s="240">
        <v>2</v>
      </c>
      <c r="F118" s="1788">
        <v>0</v>
      </c>
      <c r="G118" s="1789">
        <f t="shared" ref="G118" si="4">E118*F118</f>
        <v>0</v>
      </c>
      <c r="H118" s="387"/>
    </row>
    <row r="119" spans="1:8" s="312" customFormat="1" ht="20.25" customHeight="1">
      <c r="A119" s="423"/>
      <c r="B119" s="424"/>
      <c r="C119" s="1790" t="s">
        <v>155</v>
      </c>
      <c r="D119" s="1787" t="s">
        <v>66</v>
      </c>
      <c r="E119" s="240">
        <v>4</v>
      </c>
      <c r="F119" s="1788">
        <v>0</v>
      </c>
      <c r="G119" s="1789">
        <f t="shared" ref="G119:G133" si="5">E119*F119</f>
        <v>0</v>
      </c>
      <c r="H119" s="315"/>
    </row>
    <row r="120" spans="1:8" s="312" customFormat="1" ht="20.25" customHeight="1">
      <c r="A120" s="423"/>
      <c r="B120" s="424"/>
      <c r="C120" s="1790" t="s">
        <v>140</v>
      </c>
      <c r="D120" s="1787" t="s">
        <v>66</v>
      </c>
      <c r="E120" s="240">
        <v>2</v>
      </c>
      <c r="F120" s="1788">
        <v>0</v>
      </c>
      <c r="G120" s="1789">
        <f t="shared" si="5"/>
        <v>0</v>
      </c>
      <c r="H120" s="315"/>
    </row>
    <row r="121" spans="1:8" s="312" customFormat="1" ht="20.25" customHeight="1">
      <c r="A121" s="423"/>
      <c r="B121" s="424"/>
      <c r="C121" s="1790" t="s">
        <v>141</v>
      </c>
      <c r="D121" s="1787" t="s">
        <v>66</v>
      </c>
      <c r="E121" s="240">
        <v>2</v>
      </c>
      <c r="F121" s="1788">
        <v>0</v>
      </c>
      <c r="G121" s="1789">
        <f t="shared" si="5"/>
        <v>0</v>
      </c>
      <c r="H121" s="315"/>
    </row>
    <row r="122" spans="1:8" s="312" customFormat="1" ht="20.25" customHeight="1">
      <c r="A122" s="423"/>
      <c r="B122" s="424"/>
      <c r="C122" s="1790" t="s">
        <v>142</v>
      </c>
      <c r="D122" s="1787" t="s">
        <v>66</v>
      </c>
      <c r="E122" s="240">
        <v>2</v>
      </c>
      <c r="F122" s="1788">
        <v>0</v>
      </c>
      <c r="G122" s="1789">
        <f t="shared" si="5"/>
        <v>0</v>
      </c>
      <c r="H122" s="315"/>
    </row>
    <row r="123" spans="1:8" s="312" customFormat="1" ht="20.25" customHeight="1">
      <c r="A123" s="423"/>
      <c r="B123" s="424"/>
      <c r="C123" s="1790" t="s">
        <v>143</v>
      </c>
      <c r="D123" s="1787" t="s">
        <v>66</v>
      </c>
      <c r="E123" s="240">
        <v>2</v>
      </c>
      <c r="F123" s="1788">
        <v>0</v>
      </c>
      <c r="G123" s="1789">
        <f t="shared" si="5"/>
        <v>0</v>
      </c>
      <c r="H123" s="315"/>
    </row>
    <row r="124" spans="1:8" s="312" customFormat="1" ht="20.25" customHeight="1">
      <c r="A124" s="423"/>
      <c r="B124" s="424"/>
      <c r="C124" s="1790" t="s">
        <v>155</v>
      </c>
      <c r="D124" s="1787" t="s">
        <v>66</v>
      </c>
      <c r="E124" s="240">
        <v>2</v>
      </c>
      <c r="F124" s="1788">
        <v>0</v>
      </c>
      <c r="G124" s="1789">
        <f t="shared" si="5"/>
        <v>0</v>
      </c>
      <c r="H124" s="315"/>
    </row>
    <row r="125" spans="1:8" s="312" customFormat="1" ht="20.25" customHeight="1">
      <c r="A125" s="423"/>
      <c r="B125" s="424"/>
      <c r="C125" s="1790" t="s">
        <v>145</v>
      </c>
      <c r="D125" s="1787" t="s">
        <v>66</v>
      </c>
      <c r="E125" s="240">
        <v>2</v>
      </c>
      <c r="F125" s="1788">
        <v>0</v>
      </c>
      <c r="G125" s="1789">
        <f t="shared" si="5"/>
        <v>0</v>
      </c>
      <c r="H125" s="315"/>
    </row>
    <row r="126" spans="1:8" s="312" customFormat="1" ht="20.25" customHeight="1">
      <c r="A126" s="423"/>
      <c r="B126" s="424"/>
      <c r="C126" s="1790" t="s">
        <v>146</v>
      </c>
      <c r="D126" s="1787" t="s">
        <v>66</v>
      </c>
      <c r="E126" s="240">
        <v>2</v>
      </c>
      <c r="F126" s="1788">
        <v>0</v>
      </c>
      <c r="G126" s="1789">
        <f t="shared" si="5"/>
        <v>0</v>
      </c>
      <c r="H126" s="315"/>
    </row>
    <row r="127" spans="1:8" s="312" customFormat="1" ht="20.25" customHeight="1">
      <c r="A127" s="423"/>
      <c r="B127" s="424"/>
      <c r="C127" s="246" t="s">
        <v>147</v>
      </c>
      <c r="D127" s="1787" t="s">
        <v>66</v>
      </c>
      <c r="E127" s="240">
        <v>2</v>
      </c>
      <c r="F127" s="1788">
        <v>0</v>
      </c>
      <c r="G127" s="1789">
        <f t="shared" si="5"/>
        <v>0</v>
      </c>
      <c r="H127" s="315"/>
    </row>
    <row r="128" spans="1:8" s="312" customFormat="1" ht="20.25" customHeight="1">
      <c r="A128" s="423"/>
      <c r="B128" s="424"/>
      <c r="C128" s="246" t="s">
        <v>188</v>
      </c>
      <c r="D128" s="1787" t="s">
        <v>66</v>
      </c>
      <c r="E128" s="240">
        <v>2</v>
      </c>
      <c r="F128" s="1788">
        <v>0</v>
      </c>
      <c r="G128" s="1789">
        <f t="shared" si="5"/>
        <v>0</v>
      </c>
      <c r="H128" s="315"/>
    </row>
    <row r="129" spans="1:8" s="312" customFormat="1" ht="20.25" customHeight="1">
      <c r="A129" s="423"/>
      <c r="B129" s="424"/>
      <c r="C129" s="246" t="s">
        <v>166</v>
      </c>
      <c r="D129" s="1787" t="s">
        <v>66</v>
      </c>
      <c r="E129" s="240">
        <v>4</v>
      </c>
      <c r="F129" s="1788">
        <v>0</v>
      </c>
      <c r="G129" s="1789">
        <f t="shared" si="5"/>
        <v>0</v>
      </c>
      <c r="H129" s="315"/>
    </row>
    <row r="130" spans="1:8" s="388" customFormat="1" ht="20.25" customHeight="1">
      <c r="A130" s="423"/>
      <c r="B130" s="424"/>
      <c r="C130" s="246" t="s">
        <v>167</v>
      </c>
      <c r="D130" s="1787" t="s">
        <v>66</v>
      </c>
      <c r="E130" s="240">
        <v>4</v>
      </c>
      <c r="F130" s="1788">
        <v>0</v>
      </c>
      <c r="G130" s="1789">
        <f t="shared" si="5"/>
        <v>0</v>
      </c>
      <c r="H130" s="315"/>
    </row>
    <row r="131" spans="1:8" s="423" customFormat="1" ht="19.5" customHeight="1">
      <c r="B131" s="424"/>
      <c r="C131" s="246" t="s">
        <v>216</v>
      </c>
      <c r="D131" s="1787" t="s">
        <v>66</v>
      </c>
      <c r="E131" s="240">
        <v>4</v>
      </c>
      <c r="F131" s="1788"/>
      <c r="G131" s="1789"/>
      <c r="H131" s="315"/>
    </row>
    <row r="132" spans="1:8" s="312" customFormat="1" ht="20.25" customHeight="1">
      <c r="A132" s="423"/>
      <c r="B132" s="424"/>
      <c r="C132" s="246" t="s">
        <v>149</v>
      </c>
      <c r="D132" s="1787" t="s">
        <v>66</v>
      </c>
      <c r="E132" s="240">
        <v>2</v>
      </c>
      <c r="F132" s="1788">
        <v>0</v>
      </c>
      <c r="G132" s="1789">
        <f t="shared" si="5"/>
        <v>0</v>
      </c>
      <c r="H132" s="315"/>
    </row>
    <row r="133" spans="1:8" s="388" customFormat="1" ht="20.25" customHeight="1">
      <c r="A133" s="423"/>
      <c r="B133" s="424"/>
      <c r="C133" s="246" t="s">
        <v>150</v>
      </c>
      <c r="D133" s="1787" t="s">
        <v>66</v>
      </c>
      <c r="E133" s="240">
        <v>6</v>
      </c>
      <c r="F133" s="1788">
        <v>0</v>
      </c>
      <c r="G133" s="1789">
        <f t="shared" si="5"/>
        <v>0</v>
      </c>
      <c r="H133" s="315"/>
    </row>
    <row r="134" spans="1:8" s="423" customFormat="1" ht="19.5" customHeight="1">
      <c r="B134" s="424"/>
      <c r="C134" s="246" t="s">
        <v>135</v>
      </c>
      <c r="D134" s="1787" t="s">
        <v>66</v>
      </c>
      <c r="E134" s="240">
        <v>2</v>
      </c>
      <c r="F134" s="1788">
        <v>0</v>
      </c>
      <c r="G134" s="1789">
        <f>E134*F134</f>
        <v>0</v>
      </c>
      <c r="H134" s="315"/>
    </row>
    <row r="135" spans="1:8" s="423" customFormat="1" ht="19.5" customHeight="1">
      <c r="B135" s="424" t="s">
        <v>151</v>
      </c>
      <c r="C135" s="246" t="s">
        <v>286</v>
      </c>
      <c r="D135" s="1787"/>
      <c r="E135" s="240"/>
      <c r="F135" s="1788"/>
      <c r="G135" s="1789"/>
      <c r="H135" s="315"/>
    </row>
    <row r="136" spans="1:8" s="423" customFormat="1" ht="19.5" customHeight="1">
      <c r="B136" s="424"/>
      <c r="C136" s="246" t="s">
        <v>2130</v>
      </c>
      <c r="D136" s="1787" t="s">
        <v>66</v>
      </c>
      <c r="E136" s="240">
        <v>2</v>
      </c>
      <c r="F136" s="1788">
        <v>0</v>
      </c>
      <c r="G136" s="1789">
        <f t="shared" ref="G136:G138" si="6">E136*F136</f>
        <v>0</v>
      </c>
      <c r="H136" s="315"/>
    </row>
    <row r="137" spans="1:8" s="423" customFormat="1" ht="19.5" customHeight="1">
      <c r="B137" s="424"/>
      <c r="C137" s="246" t="s">
        <v>2126</v>
      </c>
      <c r="D137" s="1787" t="s">
        <v>66</v>
      </c>
      <c r="E137" s="240">
        <v>2</v>
      </c>
      <c r="F137" s="1788">
        <v>0</v>
      </c>
      <c r="G137" s="1789">
        <f t="shared" si="6"/>
        <v>0</v>
      </c>
      <c r="H137" s="315"/>
    </row>
    <row r="138" spans="1:8" s="423" customFormat="1" ht="19.5" customHeight="1">
      <c r="B138" s="424"/>
      <c r="C138" s="246" t="s">
        <v>216</v>
      </c>
      <c r="D138" s="1787" t="s">
        <v>66</v>
      </c>
      <c r="E138" s="240">
        <v>2</v>
      </c>
      <c r="F138" s="1788">
        <v>0</v>
      </c>
      <c r="G138" s="1789">
        <f t="shared" si="6"/>
        <v>0</v>
      </c>
      <c r="H138" s="315"/>
    </row>
    <row r="139" spans="1:8" s="423" customFormat="1" ht="19.5" customHeight="1">
      <c r="B139" s="424" t="s">
        <v>159</v>
      </c>
      <c r="C139" s="246" t="s">
        <v>287</v>
      </c>
      <c r="D139" s="1787"/>
      <c r="E139" s="240"/>
      <c r="F139" s="1788"/>
      <c r="G139" s="1789"/>
      <c r="H139" s="315"/>
    </row>
    <row r="140" spans="1:8" s="423" customFormat="1" ht="19.5" customHeight="1">
      <c r="B140" s="424"/>
      <c r="C140" s="246" t="s">
        <v>2125</v>
      </c>
      <c r="D140" s="1787" t="s">
        <v>66</v>
      </c>
      <c r="E140" s="240">
        <v>2</v>
      </c>
      <c r="F140" s="1788">
        <v>0</v>
      </c>
      <c r="G140" s="1789">
        <f t="shared" ref="G140:G143" si="7">E140*F140</f>
        <v>0</v>
      </c>
      <c r="H140" s="315"/>
    </row>
    <row r="141" spans="1:8" s="423" customFormat="1" ht="19.5" customHeight="1">
      <c r="B141" s="424"/>
      <c r="C141" s="246" t="s">
        <v>216</v>
      </c>
      <c r="D141" s="1787" t="s">
        <v>66</v>
      </c>
      <c r="E141" s="240">
        <v>4</v>
      </c>
      <c r="F141" s="1788">
        <v>0</v>
      </c>
      <c r="G141" s="1789">
        <f t="shared" si="7"/>
        <v>0</v>
      </c>
      <c r="H141" s="315"/>
    </row>
    <row r="142" spans="1:8" s="423" customFormat="1" ht="19.5" customHeight="1">
      <c r="B142" s="424"/>
      <c r="C142" s="246" t="s">
        <v>288</v>
      </c>
      <c r="D142" s="1787" t="s">
        <v>285</v>
      </c>
      <c r="E142" s="240">
        <v>2</v>
      </c>
      <c r="F142" s="1788">
        <v>0</v>
      </c>
      <c r="G142" s="1789">
        <f t="shared" si="7"/>
        <v>0</v>
      </c>
      <c r="H142" s="315"/>
    </row>
    <row r="143" spans="1:8" s="423" customFormat="1" ht="19.5" customHeight="1">
      <c r="B143" s="424"/>
      <c r="C143" s="246" t="s">
        <v>289</v>
      </c>
      <c r="D143" s="1787" t="s">
        <v>66</v>
      </c>
      <c r="E143" s="240">
        <v>2</v>
      </c>
      <c r="F143" s="1788">
        <v>0</v>
      </c>
      <c r="G143" s="1789">
        <f t="shared" si="7"/>
        <v>0</v>
      </c>
      <c r="H143" s="315"/>
    </row>
    <row r="144" spans="1:8" s="423" customFormat="1" ht="18.75" customHeight="1">
      <c r="B144" s="424" t="s">
        <v>47</v>
      </c>
      <c r="C144" s="425" t="s">
        <v>175</v>
      </c>
      <c r="D144" s="426"/>
      <c r="E144" s="427"/>
      <c r="F144" s="428"/>
      <c r="G144" s="386">
        <f>SUM(G89:G143)</f>
        <v>0</v>
      </c>
      <c r="H144" s="315"/>
    </row>
    <row r="145" spans="1:8" s="423" customFormat="1">
      <c r="A145" s="287"/>
      <c r="B145" s="70"/>
      <c r="C145" s="71"/>
      <c r="D145" s="66"/>
      <c r="E145" s="315"/>
    </row>
    <row r="146" spans="1:8" s="423" customFormat="1">
      <c r="B146" s="285"/>
      <c r="C146" s="1728"/>
      <c r="D146" s="287"/>
      <c r="E146" s="70"/>
      <c r="F146" s="71"/>
      <c r="G146" s="66"/>
      <c r="H146" s="315"/>
    </row>
  </sheetData>
  <mergeCells count="6">
    <mergeCell ref="B92:B95"/>
    <mergeCell ref="B41:G41"/>
    <mergeCell ref="B53:B55"/>
    <mergeCell ref="B86:G86"/>
    <mergeCell ref="B87:G87"/>
    <mergeCell ref="B88:G88"/>
  </mergeCells>
  <pageMargins left="0.75" right="0.75" top="1" bottom="1" header="0" footer="0"/>
  <pageSetup paperSize="9" orientation="portrait"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B240-C84E-4961-B4D8-EE96C319051E}">
  <sheetPr>
    <tabColor rgb="FFFFFF00"/>
  </sheetPr>
  <dimension ref="A2:L199"/>
  <sheetViews>
    <sheetView showZeros="0" topLeftCell="A22" zoomScale="110" zoomScaleNormal="110" workbookViewId="0">
      <selection activeCell="C33" sqref="C33"/>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5703125"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c r="B2" s="2"/>
      <c r="C2" s="3" t="s">
        <v>0</v>
      </c>
      <c r="D2" s="4"/>
      <c r="E2" s="5"/>
      <c r="F2" s="6"/>
      <c r="G2" s="7" t="s">
        <v>1</v>
      </c>
    </row>
    <row r="4" spans="1:12" s="14" customFormat="1" ht="15">
      <c r="B4" s="1523" t="s">
        <v>35</v>
      </c>
      <c r="C4" s="1522" t="s">
        <v>242</v>
      </c>
      <c r="D4" s="1521"/>
      <c r="E4" s="1520"/>
      <c r="F4" s="1519"/>
      <c r="G4" s="1518"/>
      <c r="H4" s="1392"/>
    </row>
    <row r="5" spans="1:12" s="14" customFormat="1" ht="12" customHeight="1">
      <c r="B5" s="1515"/>
      <c r="C5" s="1514"/>
      <c r="D5" s="1513"/>
      <c r="E5" s="1512"/>
      <c r="F5" s="1511"/>
      <c r="G5" s="1517"/>
      <c r="H5" s="1392"/>
    </row>
    <row r="6" spans="1:12" s="20" customFormat="1" ht="21" customHeight="1">
      <c r="B6" s="1516" t="s">
        <v>37</v>
      </c>
      <c r="C6" s="2402" t="s">
        <v>1966</v>
      </c>
      <c r="D6" s="2402"/>
      <c r="E6" s="2402"/>
      <c r="F6" s="2402"/>
      <c r="G6" s="2403"/>
      <c r="H6" s="1394"/>
      <c r="I6" s="28"/>
      <c r="J6" s="28"/>
      <c r="K6" s="28"/>
      <c r="L6" s="28"/>
    </row>
    <row r="7" spans="1:12" s="20" customFormat="1" ht="14.25">
      <c r="B7" s="1515"/>
      <c r="C7" s="1514"/>
      <c r="D7" s="1513"/>
      <c r="E7" s="1512"/>
      <c r="F7" s="1511"/>
      <c r="G7" s="1510"/>
      <c r="H7" s="1394"/>
      <c r="I7" s="28"/>
      <c r="J7" s="28"/>
      <c r="K7" s="28"/>
      <c r="L7" s="28"/>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20" customFormat="1" ht="14.25">
      <c r="B12" s="21"/>
      <c r="C12" s="22"/>
      <c r="D12" s="23"/>
      <c r="E12" s="24"/>
      <c r="F12" s="25"/>
      <c r="G12" s="26"/>
      <c r="H12" s="1394"/>
      <c r="I12" s="28"/>
      <c r="J12" s="28"/>
      <c r="K12" s="28"/>
      <c r="L12" s="28"/>
    </row>
    <row r="13" spans="1:12" s="20" customFormat="1" ht="18.75" customHeight="1">
      <c r="B13" s="1509"/>
      <c r="C13" s="1508" t="s">
        <v>40</v>
      </c>
      <c r="D13" s="1507"/>
      <c r="E13" s="1506"/>
      <c r="F13" s="1505"/>
      <c r="G13" s="1504"/>
      <c r="H13" s="1394"/>
      <c r="I13" s="28"/>
      <c r="J13" s="28"/>
      <c r="K13" s="28"/>
      <c r="L13" s="28"/>
    </row>
    <row r="14" spans="1:12" s="14" customFormat="1" ht="18.75" customHeight="1">
      <c r="B14" s="1503" t="s">
        <v>41</v>
      </c>
      <c r="C14" s="1502" t="s">
        <v>42</v>
      </c>
      <c r="D14" s="1501"/>
      <c r="E14" s="1500"/>
      <c r="F14" s="1499"/>
      <c r="G14" s="1498" t="s">
        <v>10</v>
      </c>
      <c r="H14" s="1402"/>
    </row>
    <row r="15" spans="1:12" s="1486" customFormat="1" ht="18.75" customHeight="1">
      <c r="B15" s="1496" t="s">
        <v>43</v>
      </c>
      <c r="C15" s="1495" t="s">
        <v>44</v>
      </c>
      <c r="D15" s="1494"/>
      <c r="E15" s="1493"/>
      <c r="F15" s="1497"/>
      <c r="G15" s="1408">
        <f>G37</f>
        <v>0</v>
      </c>
      <c r="H15" s="1409"/>
    </row>
    <row r="16" spans="1:12" s="1486" customFormat="1" ht="18.75" customHeight="1">
      <c r="B16" s="1496" t="s">
        <v>45</v>
      </c>
      <c r="C16" s="1495" t="s">
        <v>46</v>
      </c>
      <c r="D16" s="1494"/>
      <c r="E16" s="1493"/>
      <c r="F16" s="1497"/>
      <c r="G16" s="1408">
        <f>G57</f>
        <v>0</v>
      </c>
      <c r="H16" s="1409"/>
    </row>
    <row r="17" spans="2:8" s="1486" customFormat="1" ht="18.75" customHeight="1">
      <c r="B17" s="1496" t="s">
        <v>47</v>
      </c>
      <c r="C17" s="1495" t="s">
        <v>48</v>
      </c>
      <c r="D17" s="1494"/>
      <c r="E17" s="1493"/>
      <c r="F17" s="1497"/>
      <c r="G17" s="1408">
        <f>G96</f>
        <v>0</v>
      </c>
      <c r="H17" s="1409"/>
    </row>
    <row r="18" spans="2:8" s="1486" customFormat="1" ht="18.75" customHeight="1">
      <c r="B18" s="1496" t="s">
        <v>914</v>
      </c>
      <c r="C18" s="1495" t="s">
        <v>916</v>
      </c>
      <c r="D18" s="1494"/>
      <c r="E18" s="1493"/>
      <c r="F18" s="1492"/>
      <c r="G18" s="1408">
        <f>G199</f>
        <v>0</v>
      </c>
      <c r="H18" s="1409"/>
    </row>
    <row r="19" spans="2:8" s="1486" customFormat="1" ht="18.75" customHeight="1">
      <c r="B19" s="1491"/>
      <c r="C19" s="1490" t="s">
        <v>49</v>
      </c>
      <c r="D19" s="1489"/>
      <c r="E19" s="1488"/>
      <c r="F19" s="1487"/>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27.75" customHeight="1">
      <c r="B25" s="125">
        <v>1</v>
      </c>
      <c r="C25" s="139" t="s">
        <v>56</v>
      </c>
      <c r="D25" s="140" t="s">
        <v>57</v>
      </c>
      <c r="E25" s="1485">
        <v>6</v>
      </c>
      <c r="F25" s="1482">
        <v>0</v>
      </c>
      <c r="G25" s="1093">
        <f t="shared" ref="G25:G36" si="0">E25*F25</f>
        <v>0</v>
      </c>
    </row>
    <row r="26" spans="2:8">
      <c r="B26" s="125">
        <v>2</v>
      </c>
      <c r="C26" s="139" t="s">
        <v>58</v>
      </c>
      <c r="D26" s="140" t="s">
        <v>57</v>
      </c>
      <c r="E26" s="1485">
        <v>12</v>
      </c>
      <c r="F26" s="1482">
        <v>0</v>
      </c>
      <c r="G26" s="1093">
        <f t="shared" si="0"/>
        <v>0</v>
      </c>
    </row>
    <row r="27" spans="2:8" ht="53.25" customHeight="1">
      <c r="B27" s="125">
        <v>3</v>
      </c>
      <c r="C27" s="139" t="s">
        <v>245</v>
      </c>
      <c r="D27" s="140" t="s">
        <v>60</v>
      </c>
      <c r="E27" s="1485">
        <v>1</v>
      </c>
      <c r="F27" s="1482">
        <v>0</v>
      </c>
      <c r="G27" s="1093">
        <f t="shared" si="0"/>
        <v>0</v>
      </c>
    </row>
    <row r="28" spans="2:8" ht="127.5" customHeight="1">
      <c r="B28" s="125">
        <v>4</v>
      </c>
      <c r="C28" s="144" t="s">
        <v>61</v>
      </c>
      <c r="D28" s="145" t="s">
        <v>60</v>
      </c>
      <c r="E28" s="1485">
        <v>1</v>
      </c>
      <c r="F28" s="1482">
        <v>0</v>
      </c>
      <c r="G28" s="1093">
        <f t="shared" si="0"/>
        <v>0</v>
      </c>
    </row>
    <row r="29" spans="2:8" ht="30.75" customHeight="1">
      <c r="B29" s="125">
        <v>5</v>
      </c>
      <c r="C29" s="144" t="s">
        <v>62</v>
      </c>
      <c r="D29" s="146" t="s">
        <v>60</v>
      </c>
      <c r="E29" s="1485">
        <v>1</v>
      </c>
      <c r="F29" s="1482">
        <v>0</v>
      </c>
      <c r="G29" s="1093">
        <f t="shared" si="0"/>
        <v>0</v>
      </c>
    </row>
    <row r="30" spans="2:8" ht="27" customHeight="1">
      <c r="B30" s="125">
        <v>6</v>
      </c>
      <c r="C30" s="1080" t="s">
        <v>63</v>
      </c>
      <c r="D30" s="146" t="s">
        <v>60</v>
      </c>
      <c r="E30" s="1485">
        <v>1</v>
      </c>
      <c r="F30" s="1482">
        <v>0</v>
      </c>
      <c r="G30" s="1093">
        <f t="shared" si="0"/>
        <v>0</v>
      </c>
    </row>
    <row r="31" spans="2:8" ht="52.5" customHeight="1">
      <c r="B31" s="125">
        <v>7</v>
      </c>
      <c r="C31" s="1080" t="s">
        <v>64</v>
      </c>
      <c r="D31" s="146" t="s">
        <v>60</v>
      </c>
      <c r="E31" s="1485">
        <v>1</v>
      </c>
      <c r="F31" s="1482">
        <v>0</v>
      </c>
      <c r="G31" s="1093">
        <f t="shared" si="0"/>
        <v>0</v>
      </c>
    </row>
    <row r="32" spans="2:8" ht="25.5" customHeight="1">
      <c r="B32" s="125">
        <v>8</v>
      </c>
      <c r="C32" s="1080" t="s">
        <v>2294</v>
      </c>
      <c r="D32" s="146" t="s">
        <v>66</v>
      </c>
      <c r="E32" s="1485">
        <v>1</v>
      </c>
      <c r="F32" s="1482">
        <v>0</v>
      </c>
      <c r="G32" s="1093">
        <f t="shared" si="0"/>
        <v>0</v>
      </c>
    </row>
    <row r="33" spans="2:12" ht="27.75" customHeight="1">
      <c r="B33" s="125">
        <v>9</v>
      </c>
      <c r="C33" s="1080" t="s">
        <v>2293</v>
      </c>
      <c r="D33" s="146" t="s">
        <v>60</v>
      </c>
      <c r="E33" s="1485">
        <v>1</v>
      </c>
      <c r="F33" s="1482">
        <v>0</v>
      </c>
      <c r="G33" s="1093">
        <f t="shared" si="0"/>
        <v>0</v>
      </c>
    </row>
    <row r="34" spans="2:12" ht="14.25" customHeight="1">
      <c r="B34" s="125">
        <v>10</v>
      </c>
      <c r="C34" s="1080" t="s">
        <v>67</v>
      </c>
      <c r="D34" s="146" t="s">
        <v>60</v>
      </c>
      <c r="E34" s="1485">
        <v>1</v>
      </c>
      <c r="F34" s="1482">
        <v>0</v>
      </c>
      <c r="G34" s="1093">
        <f t="shared" si="0"/>
        <v>0</v>
      </c>
    </row>
    <row r="35" spans="2:12" ht="38.25" customHeight="1">
      <c r="B35" s="125">
        <v>11</v>
      </c>
      <c r="C35" s="148" t="s">
        <v>68</v>
      </c>
      <c r="D35" s="146" t="s">
        <v>60</v>
      </c>
      <c r="E35" s="1485">
        <v>1</v>
      </c>
      <c r="F35" s="1482">
        <v>0</v>
      </c>
      <c r="G35" s="1093">
        <f t="shared" si="0"/>
        <v>0</v>
      </c>
    </row>
    <row r="36" spans="2:12" ht="39.75" customHeight="1">
      <c r="B36" s="125">
        <v>12</v>
      </c>
      <c r="C36" s="150" t="s">
        <v>69</v>
      </c>
      <c r="D36" s="146" t="s">
        <v>60</v>
      </c>
      <c r="E36" s="1485">
        <v>1</v>
      </c>
      <c r="F36" s="1482">
        <v>0</v>
      </c>
      <c r="G36" s="1093">
        <f t="shared" si="0"/>
        <v>0</v>
      </c>
    </row>
    <row r="37" spans="2:12" s="179" customFormat="1" ht="23.25" customHeight="1">
      <c r="B37" s="713" t="s">
        <v>43</v>
      </c>
      <c r="C37" s="153" t="s">
        <v>70</v>
      </c>
      <c r="D37" s="153"/>
      <c r="E37" s="154"/>
      <c r="F37" s="155"/>
      <c r="G37" s="263">
        <f>SUM(G25:G36)</f>
        <v>0</v>
      </c>
      <c r="H37" s="802"/>
    </row>
    <row r="38" spans="2:12">
      <c r="B38" s="125"/>
      <c r="C38" s="126"/>
      <c r="D38" s="127"/>
      <c r="E38" s="719"/>
      <c r="F38" s="1107"/>
      <c r="G38" s="731"/>
    </row>
    <row r="39" spans="2:12" ht="24">
      <c r="B39" s="119" t="s">
        <v>41</v>
      </c>
      <c r="C39" s="120" t="s">
        <v>51</v>
      </c>
      <c r="D39" s="121" t="s">
        <v>52</v>
      </c>
      <c r="E39" s="122" t="s">
        <v>53</v>
      </c>
      <c r="F39" s="123" t="s">
        <v>54</v>
      </c>
      <c r="G39" s="124" t="s">
        <v>55</v>
      </c>
    </row>
    <row r="40" spans="2:12">
      <c r="B40" s="125"/>
      <c r="C40" s="163"/>
      <c r="D40" s="140"/>
      <c r="E40" s="719"/>
      <c r="F40" s="1107"/>
      <c r="G40" s="731"/>
    </row>
    <row r="41" spans="2:12" s="138" customFormat="1" ht="20.25">
      <c r="B41" s="131" t="s">
        <v>45</v>
      </c>
      <c r="C41" s="164" t="s">
        <v>71</v>
      </c>
      <c r="D41" s="165"/>
      <c r="E41" s="134"/>
      <c r="F41" s="135"/>
      <c r="G41" s="136"/>
      <c r="H41" s="946"/>
    </row>
    <row r="42" spans="2:12" s="166" customFormat="1" ht="71.25" customHeight="1">
      <c r="B42" s="2399" t="s">
        <v>72</v>
      </c>
      <c r="C42" s="2400"/>
      <c r="D42" s="2400"/>
      <c r="E42" s="2400"/>
      <c r="F42" s="2400"/>
      <c r="G42" s="2401"/>
      <c r="H42" s="938"/>
    </row>
    <row r="43" spans="2:12" ht="27.75" customHeight="1">
      <c r="B43" s="167">
        <v>1</v>
      </c>
      <c r="C43" s="139" t="s">
        <v>73</v>
      </c>
      <c r="D43" s="140" t="s">
        <v>74</v>
      </c>
      <c r="E43" s="1485">
        <v>3</v>
      </c>
      <c r="F43" s="1482">
        <v>0</v>
      </c>
      <c r="G43" s="1093">
        <f t="shared" ref="G43:G52" si="1">E43*F43</f>
        <v>0</v>
      </c>
      <c r="I43" s="266"/>
    </row>
    <row r="44" spans="2:12" ht="39" customHeight="1">
      <c r="B44" s="167">
        <v>2</v>
      </c>
      <c r="C44" s="139" t="s">
        <v>246</v>
      </c>
      <c r="D44" s="140" t="s">
        <v>57</v>
      </c>
      <c r="E44" s="1485">
        <v>16</v>
      </c>
      <c r="F44" s="1482">
        <v>0</v>
      </c>
      <c r="G44" s="1093">
        <f t="shared" si="1"/>
        <v>0</v>
      </c>
      <c r="I44" s="266"/>
    </row>
    <row r="45" spans="2:12" ht="36">
      <c r="B45" s="167">
        <v>3</v>
      </c>
      <c r="C45" s="139" t="s">
        <v>75</v>
      </c>
      <c r="D45" s="145" t="s">
        <v>74</v>
      </c>
      <c r="E45" s="1485">
        <v>3.6</v>
      </c>
      <c r="F45" s="1482">
        <v>0</v>
      </c>
      <c r="G45" s="1093">
        <f t="shared" si="1"/>
        <v>0</v>
      </c>
      <c r="I45" s="1209"/>
      <c r="K45" s="270"/>
      <c r="L45" s="270"/>
    </row>
    <row r="46" spans="2:12" ht="39.75" customHeight="1">
      <c r="B46" s="167">
        <v>4</v>
      </c>
      <c r="C46" s="139" t="s">
        <v>76</v>
      </c>
      <c r="D46" s="145" t="s">
        <v>74</v>
      </c>
      <c r="E46" s="1485">
        <v>29</v>
      </c>
      <c r="F46" s="1482">
        <v>0</v>
      </c>
      <c r="G46" s="1093">
        <f t="shared" si="1"/>
        <v>0</v>
      </c>
      <c r="I46" s="1209"/>
    </row>
    <row r="47" spans="2:12" ht="29.25" customHeight="1">
      <c r="B47" s="167">
        <v>5</v>
      </c>
      <c r="C47" s="139" t="s">
        <v>79</v>
      </c>
      <c r="D47" s="145" t="s">
        <v>78</v>
      </c>
      <c r="E47" s="1485">
        <v>18</v>
      </c>
      <c r="F47" s="1482">
        <v>0</v>
      </c>
      <c r="G47" s="1093">
        <f t="shared" si="1"/>
        <v>0</v>
      </c>
      <c r="I47" s="266"/>
    </row>
    <row r="48" spans="2:12" ht="27" customHeight="1">
      <c r="B48" s="167">
        <v>6</v>
      </c>
      <c r="C48" s="139" t="s">
        <v>80</v>
      </c>
      <c r="D48" s="145" t="s">
        <v>74</v>
      </c>
      <c r="E48" s="1485">
        <v>2</v>
      </c>
      <c r="F48" s="1482">
        <v>0</v>
      </c>
      <c r="G48" s="1093">
        <f t="shared" si="1"/>
        <v>0</v>
      </c>
      <c r="I48" s="1209"/>
    </row>
    <row r="49" spans="1:9" ht="24">
      <c r="B49" s="167">
        <v>7</v>
      </c>
      <c r="C49" s="139" t="s">
        <v>247</v>
      </c>
      <c r="D49" s="145" t="s">
        <v>74</v>
      </c>
      <c r="E49" s="1485">
        <v>29</v>
      </c>
      <c r="F49" s="1482">
        <v>0</v>
      </c>
      <c r="G49" s="1093">
        <f t="shared" si="1"/>
        <v>0</v>
      </c>
      <c r="I49" s="270"/>
    </row>
    <row r="50" spans="1:9" ht="40.5" customHeight="1">
      <c r="B50" s="167">
        <v>8</v>
      </c>
      <c r="C50" s="144" t="s">
        <v>248</v>
      </c>
      <c r="D50" s="145" t="s">
        <v>74</v>
      </c>
      <c r="E50" s="1485">
        <v>12</v>
      </c>
      <c r="F50" s="1482">
        <v>0</v>
      </c>
      <c r="G50" s="1093">
        <f t="shared" si="1"/>
        <v>0</v>
      </c>
    </row>
    <row r="51" spans="1:9" ht="14.25" customHeight="1">
      <c r="B51" s="167">
        <v>9</v>
      </c>
      <c r="C51" s="139" t="s">
        <v>264</v>
      </c>
      <c r="D51" s="145" t="s">
        <v>74</v>
      </c>
      <c r="E51" s="719">
        <v>6</v>
      </c>
      <c r="F51" s="1482">
        <v>0</v>
      </c>
      <c r="G51" s="1093">
        <f t="shared" si="1"/>
        <v>0</v>
      </c>
    </row>
    <row r="52" spans="1:9">
      <c r="B52" s="167">
        <v>10</v>
      </c>
      <c r="C52" s="139" t="s">
        <v>265</v>
      </c>
      <c r="D52" s="145" t="s">
        <v>74</v>
      </c>
      <c r="E52" s="719">
        <v>4</v>
      </c>
      <c r="F52" s="1482">
        <v>0</v>
      </c>
      <c r="G52" s="1093">
        <f t="shared" si="1"/>
        <v>0</v>
      </c>
    </row>
    <row r="53" spans="1:9" ht="186.75" customHeight="1">
      <c r="B53" s="167">
        <v>11</v>
      </c>
      <c r="C53" s="402" t="s">
        <v>2282</v>
      </c>
      <c r="D53" s="182" t="s">
        <v>66</v>
      </c>
      <c r="E53" s="1484">
        <v>1</v>
      </c>
      <c r="F53" s="1482">
        <v>0</v>
      </c>
      <c r="G53" s="1093">
        <f t="shared" ref="G53:G56" si="2">E53*F53</f>
        <v>0</v>
      </c>
    </row>
    <row r="54" spans="1:9" ht="36.75" customHeight="1">
      <c r="B54" s="167">
        <v>12</v>
      </c>
      <c r="C54" s="184" t="s">
        <v>270</v>
      </c>
      <c r="D54" s="182" t="s">
        <v>66</v>
      </c>
      <c r="E54" s="1484">
        <v>2</v>
      </c>
      <c r="F54" s="1482">
        <v>0</v>
      </c>
      <c r="G54" s="1093">
        <f t="shared" si="2"/>
        <v>0</v>
      </c>
    </row>
    <row r="55" spans="1:9" ht="30" customHeight="1">
      <c r="B55" s="167">
        <v>13</v>
      </c>
      <c r="C55" s="184" t="s">
        <v>99</v>
      </c>
      <c r="D55" s="182" t="s">
        <v>74</v>
      </c>
      <c r="E55" s="1483">
        <v>5.2</v>
      </c>
      <c r="F55" s="1482">
        <v>0</v>
      </c>
      <c r="G55" s="1093">
        <f t="shared" si="2"/>
        <v>0</v>
      </c>
    </row>
    <row r="56" spans="1:9" ht="28.5" customHeight="1">
      <c r="B56" s="167">
        <v>14</v>
      </c>
      <c r="C56" s="184" t="s">
        <v>100</v>
      </c>
      <c r="D56" s="182" t="s">
        <v>65</v>
      </c>
      <c r="E56" s="1483">
        <v>16</v>
      </c>
      <c r="F56" s="1482">
        <v>0</v>
      </c>
      <c r="G56" s="1093">
        <f t="shared" si="2"/>
        <v>0</v>
      </c>
    </row>
    <row r="57" spans="1:9" s="179" customFormat="1" ht="21.75" customHeight="1">
      <c r="B57" s="713" t="s">
        <v>45</v>
      </c>
      <c r="C57" s="153" t="s">
        <v>101</v>
      </c>
      <c r="D57" s="185"/>
      <c r="E57" s="154"/>
      <c r="F57" s="155"/>
      <c r="G57" s="263">
        <f>SUM(G43:G56)</f>
        <v>0</v>
      </c>
      <c r="H57" s="802"/>
    </row>
    <row r="58" spans="1:9">
      <c r="B58" s="125"/>
      <c r="C58" s="126"/>
      <c r="D58" s="127"/>
      <c r="E58" s="719"/>
      <c r="F58" s="1107"/>
      <c r="G58" s="731"/>
    </row>
    <row r="59" spans="1:9" ht="24">
      <c r="B59" s="119" t="s">
        <v>41</v>
      </c>
      <c r="C59" s="120" t="s">
        <v>51</v>
      </c>
      <c r="D59" s="120" t="s">
        <v>52</v>
      </c>
      <c r="E59" s="122" t="s">
        <v>53</v>
      </c>
      <c r="F59" s="123" t="s">
        <v>54</v>
      </c>
      <c r="G59" s="124" t="s">
        <v>55</v>
      </c>
    </row>
    <row r="60" spans="1:9">
      <c r="B60" s="125"/>
      <c r="C60" s="126"/>
      <c r="D60" s="140"/>
      <c r="E60" s="719"/>
      <c r="F60" s="1107"/>
      <c r="G60" s="731"/>
    </row>
    <row r="61" spans="1:9" s="138" customFormat="1" ht="20.25">
      <c r="B61" s="186" t="s">
        <v>47</v>
      </c>
      <c r="C61" s="187" t="s">
        <v>102</v>
      </c>
      <c r="D61" s="165"/>
      <c r="E61" s="134"/>
      <c r="F61" s="135"/>
      <c r="G61" s="136"/>
      <c r="H61" s="946"/>
    </row>
    <row r="62" spans="1:9" s="14" customFormat="1" ht="18" customHeight="1">
      <c r="A62" s="9"/>
      <c r="B62" s="10" t="s">
        <v>2</v>
      </c>
      <c r="C62" s="11"/>
      <c r="D62" s="12"/>
      <c r="E62" s="12"/>
      <c r="F62" s="12"/>
      <c r="G62" s="13"/>
    </row>
    <row r="63" spans="1:9" s="14" customFormat="1" ht="18" customHeight="1">
      <c r="A63" s="15"/>
      <c r="B63" s="16" t="s">
        <v>3</v>
      </c>
      <c r="C63" s="17"/>
      <c r="D63" s="18"/>
      <c r="E63" s="19"/>
      <c r="F63" s="19"/>
      <c r="G63" s="18"/>
    </row>
    <row r="64" spans="1:9" s="14" customFormat="1" ht="18" customHeight="1">
      <c r="A64" s="9"/>
      <c r="B64" s="10" t="s">
        <v>4</v>
      </c>
      <c r="C64" s="11"/>
      <c r="D64" s="12"/>
      <c r="E64" s="12"/>
      <c r="F64" s="12"/>
      <c r="G64" s="13"/>
    </row>
    <row r="65" spans="1:8" s="14" customFormat="1" ht="18" customHeight="1">
      <c r="A65" s="15"/>
      <c r="B65" s="16" t="s">
        <v>5</v>
      </c>
      <c r="C65" s="17"/>
      <c r="D65" s="19"/>
      <c r="E65" s="19"/>
      <c r="F65" s="19"/>
      <c r="G65" s="18"/>
    </row>
    <row r="66" spans="1:8" s="166" customFormat="1" ht="18.75" customHeight="1">
      <c r="B66" s="2399" t="s">
        <v>271</v>
      </c>
      <c r="C66" s="2400"/>
      <c r="D66" s="2400"/>
      <c r="E66" s="2400"/>
      <c r="F66" s="2400"/>
      <c r="G66" s="2401"/>
      <c r="H66" s="938"/>
    </row>
    <row r="67" spans="1:8" s="166" customFormat="1" ht="18.75" customHeight="1">
      <c r="B67" s="2399" t="s">
        <v>104</v>
      </c>
      <c r="C67" s="2400"/>
      <c r="D67" s="2400"/>
      <c r="E67" s="2400"/>
      <c r="F67" s="2400"/>
      <c r="G67" s="2401"/>
      <c r="H67" s="938"/>
    </row>
    <row r="68" spans="1:8" s="166" customFormat="1" ht="18.75" customHeight="1">
      <c r="B68" s="2399" t="s">
        <v>105</v>
      </c>
      <c r="C68" s="2400"/>
      <c r="D68" s="2400"/>
      <c r="E68" s="2400"/>
      <c r="F68" s="2400"/>
      <c r="G68" s="2401"/>
      <c r="H68" s="938"/>
    </row>
    <row r="69" spans="1:8" ht="41.25" customHeight="1">
      <c r="B69" s="199" t="s">
        <v>115</v>
      </c>
      <c r="C69" s="197" t="s">
        <v>116</v>
      </c>
      <c r="D69" s="145" t="s">
        <v>60</v>
      </c>
      <c r="E69" s="732">
        <v>1</v>
      </c>
      <c r="F69" s="1092">
        <v>0</v>
      </c>
      <c r="G69" s="1093">
        <f>E69*F69</f>
        <v>0</v>
      </c>
    </row>
    <row r="70" spans="1:8" ht="27" customHeight="1">
      <c r="B70" s="199" t="s">
        <v>117</v>
      </c>
      <c r="C70" s="197" t="s">
        <v>118</v>
      </c>
      <c r="D70" s="145" t="s">
        <v>60</v>
      </c>
      <c r="E70" s="732">
        <v>1</v>
      </c>
      <c r="F70" s="1092">
        <v>0</v>
      </c>
      <c r="G70" s="1093">
        <f>E70*F70</f>
        <v>0</v>
      </c>
    </row>
    <row r="71" spans="1:8" ht="39" customHeight="1">
      <c r="B71" s="199" t="s">
        <v>119</v>
      </c>
      <c r="C71" s="197" t="s">
        <v>120</v>
      </c>
      <c r="D71" s="145" t="s">
        <v>60</v>
      </c>
      <c r="E71" s="732">
        <v>1</v>
      </c>
      <c r="F71" s="1092">
        <v>0</v>
      </c>
      <c r="G71" s="1093">
        <f>E71*F71</f>
        <v>0</v>
      </c>
    </row>
    <row r="72" spans="1:8" ht="27.75" customHeight="1">
      <c r="B72" s="188">
        <v>3</v>
      </c>
      <c r="C72" s="200" t="s">
        <v>121</v>
      </c>
      <c r="D72" s="127"/>
      <c r="E72" s="719"/>
      <c r="F72" s="731"/>
      <c r="G72" s="731"/>
    </row>
    <row r="73" spans="1:8" s="217" customFormat="1">
      <c r="B73" s="201" t="s">
        <v>344</v>
      </c>
      <c r="C73" s="223" t="s">
        <v>345</v>
      </c>
      <c r="D73" s="224"/>
      <c r="E73" s="225"/>
      <c r="F73" s="226"/>
      <c r="G73" s="227"/>
      <c r="H73" s="938"/>
    </row>
    <row r="74" spans="1:8" s="217" customFormat="1">
      <c r="B74" s="218"/>
      <c r="C74" s="223" t="s">
        <v>1678</v>
      </c>
      <c r="D74" s="224"/>
      <c r="E74" s="225"/>
      <c r="F74" s="226">
        <v>0</v>
      </c>
      <c r="G74" s="227"/>
      <c r="H74" s="938"/>
    </row>
    <row r="75" spans="1:8" s="217" customFormat="1">
      <c r="B75" s="218"/>
      <c r="C75" s="228" t="s">
        <v>279</v>
      </c>
      <c r="D75" s="224" t="s">
        <v>66</v>
      </c>
      <c r="E75" s="225">
        <v>2</v>
      </c>
      <c r="F75" s="229">
        <v>0</v>
      </c>
      <c r="G75" s="230">
        <f t="shared" ref="G75:G95" si="3">E75*F75</f>
        <v>0</v>
      </c>
      <c r="H75" s="938"/>
    </row>
    <row r="76" spans="1:8" s="217" customFormat="1">
      <c r="B76" s="218"/>
      <c r="C76" s="228" t="s">
        <v>1676</v>
      </c>
      <c r="D76" s="224" t="s">
        <v>66</v>
      </c>
      <c r="E76" s="225">
        <v>2</v>
      </c>
      <c r="F76" s="229">
        <v>0</v>
      </c>
      <c r="G76" s="230">
        <f t="shared" si="3"/>
        <v>0</v>
      </c>
      <c r="H76" s="938"/>
    </row>
    <row r="77" spans="1:8" s="217" customFormat="1">
      <c r="B77" s="218"/>
      <c r="C77" s="228" t="s">
        <v>213</v>
      </c>
      <c r="D77" s="224" t="s">
        <v>66</v>
      </c>
      <c r="E77" s="225">
        <v>2</v>
      </c>
      <c r="F77" s="229">
        <v>0</v>
      </c>
      <c r="G77" s="230">
        <f t="shared" si="3"/>
        <v>0</v>
      </c>
      <c r="H77" s="938"/>
    </row>
    <row r="78" spans="1:8" s="217" customFormat="1">
      <c r="B78" s="218"/>
      <c r="C78" s="228" t="s">
        <v>187</v>
      </c>
      <c r="D78" s="224" t="s">
        <v>66</v>
      </c>
      <c r="E78" s="225">
        <v>2</v>
      </c>
      <c r="F78" s="229">
        <v>0</v>
      </c>
      <c r="G78" s="230">
        <f t="shared" si="3"/>
        <v>0</v>
      </c>
      <c r="H78" s="938"/>
    </row>
    <row r="79" spans="1:8" s="217" customFormat="1">
      <c r="B79" s="218"/>
      <c r="C79" s="228" t="s">
        <v>1679</v>
      </c>
      <c r="D79" s="224" t="s">
        <v>66</v>
      </c>
      <c r="E79" s="225">
        <v>2</v>
      </c>
      <c r="F79" s="229">
        <v>0</v>
      </c>
      <c r="G79" s="230">
        <f t="shared" ref="G79" si="4">E79*F79</f>
        <v>0</v>
      </c>
      <c r="H79" s="938"/>
    </row>
    <row r="80" spans="1:8" s="217" customFormat="1">
      <c r="B80" s="218"/>
      <c r="C80" s="228" t="s">
        <v>2263</v>
      </c>
      <c r="D80" s="224" t="s">
        <v>66</v>
      </c>
      <c r="E80" s="225">
        <v>1</v>
      </c>
      <c r="F80" s="229">
        <v>0</v>
      </c>
      <c r="G80" s="230">
        <f t="shared" si="3"/>
        <v>0</v>
      </c>
      <c r="H80" s="938"/>
    </row>
    <row r="81" spans="2:8" s="217" customFormat="1">
      <c r="B81" s="218"/>
      <c r="C81" s="228" t="s">
        <v>2264</v>
      </c>
      <c r="D81" s="224" t="s">
        <v>66</v>
      </c>
      <c r="E81" s="225">
        <v>2</v>
      </c>
      <c r="F81" s="229">
        <v>0</v>
      </c>
      <c r="G81" s="230">
        <f t="shared" ref="G81" si="5">E81*F81</f>
        <v>0</v>
      </c>
      <c r="H81" s="938"/>
    </row>
    <row r="82" spans="2:8" s="217" customFormat="1" ht="15" customHeight="1">
      <c r="B82" s="218"/>
      <c r="C82" s="228" t="s">
        <v>1194</v>
      </c>
      <c r="D82" s="224" t="s">
        <v>66</v>
      </c>
      <c r="E82" s="225">
        <v>2</v>
      </c>
      <c r="F82" s="229">
        <v>0</v>
      </c>
      <c r="G82" s="230">
        <f t="shared" si="3"/>
        <v>0</v>
      </c>
      <c r="H82" s="938"/>
    </row>
    <row r="83" spans="2:8" s="217" customFormat="1" ht="12" customHeight="1">
      <c r="B83" s="218"/>
      <c r="C83" s="228" t="s">
        <v>1680</v>
      </c>
      <c r="D83" s="224" t="s">
        <v>66</v>
      </c>
      <c r="E83" s="225">
        <v>1</v>
      </c>
      <c r="F83" s="229">
        <v>0</v>
      </c>
      <c r="G83" s="230">
        <f t="shared" si="3"/>
        <v>0</v>
      </c>
      <c r="H83" s="938"/>
    </row>
    <row r="84" spans="2:8" s="217" customFormat="1" ht="12.75" customHeight="1">
      <c r="B84" s="218"/>
      <c r="C84" s="231" t="s">
        <v>1681</v>
      </c>
      <c r="D84" s="224" t="s">
        <v>66</v>
      </c>
      <c r="E84" s="225">
        <v>1</v>
      </c>
      <c r="F84" s="229">
        <v>0</v>
      </c>
      <c r="G84" s="230">
        <f t="shared" si="3"/>
        <v>0</v>
      </c>
      <c r="H84" s="938"/>
    </row>
    <row r="85" spans="2:8" s="217" customFormat="1">
      <c r="B85" s="218"/>
      <c r="C85" s="231" t="s">
        <v>1682</v>
      </c>
      <c r="D85" s="224" t="s">
        <v>66</v>
      </c>
      <c r="E85" s="225">
        <v>1</v>
      </c>
      <c r="F85" s="229">
        <v>0</v>
      </c>
      <c r="G85" s="230">
        <f t="shared" si="3"/>
        <v>0</v>
      </c>
      <c r="H85" s="938"/>
    </row>
    <row r="86" spans="2:8" s="217" customFormat="1">
      <c r="B86" s="218"/>
      <c r="C86" s="231" t="s">
        <v>1683</v>
      </c>
      <c r="D86" s="224" t="s">
        <v>66</v>
      </c>
      <c r="E86" s="225">
        <v>1</v>
      </c>
      <c r="F86" s="229">
        <v>0</v>
      </c>
      <c r="G86" s="230">
        <f t="shared" si="3"/>
        <v>0</v>
      </c>
      <c r="H86" s="938"/>
    </row>
    <row r="87" spans="2:8" s="217" customFormat="1" ht="74.25" customHeight="1">
      <c r="B87" s="218"/>
      <c r="C87" s="231" t="s">
        <v>1964</v>
      </c>
      <c r="D87" s="224" t="s">
        <v>66</v>
      </c>
      <c r="E87" s="225">
        <v>1</v>
      </c>
      <c r="F87" s="229">
        <v>0</v>
      </c>
      <c r="G87" s="230">
        <f t="shared" si="3"/>
        <v>0</v>
      </c>
      <c r="H87" s="938"/>
    </row>
    <row r="88" spans="2:8" s="217" customFormat="1">
      <c r="B88" s="218"/>
      <c r="C88" s="231" t="s">
        <v>1685</v>
      </c>
      <c r="D88" s="224" t="s">
        <v>66</v>
      </c>
      <c r="E88" s="225">
        <v>1</v>
      </c>
      <c r="F88" s="229">
        <v>0</v>
      </c>
      <c r="G88" s="230">
        <f t="shared" si="3"/>
        <v>0</v>
      </c>
      <c r="H88" s="938"/>
    </row>
    <row r="89" spans="2:8" s="217" customFormat="1">
      <c r="B89" s="218"/>
      <c r="C89" s="739" t="s">
        <v>1963</v>
      </c>
      <c r="D89" s="224" t="s">
        <v>66</v>
      </c>
      <c r="E89" s="225">
        <v>1</v>
      </c>
      <c r="F89" s="229">
        <v>0</v>
      </c>
      <c r="G89" s="230">
        <f t="shared" si="3"/>
        <v>0</v>
      </c>
      <c r="H89" s="938"/>
    </row>
    <row r="90" spans="2:8" s="217" customFormat="1">
      <c r="B90" s="218"/>
      <c r="C90" s="739" t="s">
        <v>1686</v>
      </c>
      <c r="D90" s="224" t="s">
        <v>66</v>
      </c>
      <c r="E90" s="225">
        <v>1</v>
      </c>
      <c r="F90" s="229">
        <v>0</v>
      </c>
      <c r="G90" s="230">
        <f t="shared" si="3"/>
        <v>0</v>
      </c>
      <c r="H90" s="938"/>
    </row>
    <row r="91" spans="2:8" s="217" customFormat="1">
      <c r="B91" s="218"/>
      <c r="C91" s="228" t="s">
        <v>1196</v>
      </c>
      <c r="D91" s="224" t="s">
        <v>66</v>
      </c>
      <c r="E91" s="225">
        <v>1</v>
      </c>
      <c r="F91" s="229">
        <v>0</v>
      </c>
      <c r="G91" s="230">
        <f t="shared" si="3"/>
        <v>0</v>
      </c>
      <c r="H91" s="938"/>
    </row>
    <row r="92" spans="2:8" s="217" customFormat="1">
      <c r="B92" s="218"/>
      <c r="C92" s="739" t="s">
        <v>216</v>
      </c>
      <c r="D92" s="224" t="s">
        <v>66</v>
      </c>
      <c r="E92" s="225">
        <v>2</v>
      </c>
      <c r="F92" s="229">
        <v>0</v>
      </c>
      <c r="G92" s="230">
        <f t="shared" si="3"/>
        <v>0</v>
      </c>
      <c r="H92" s="938"/>
    </row>
    <row r="93" spans="2:8" s="217" customFormat="1">
      <c r="B93" s="218"/>
      <c r="C93" s="739" t="s">
        <v>184</v>
      </c>
      <c r="D93" s="224" t="s">
        <v>66</v>
      </c>
      <c r="E93" s="225">
        <v>4</v>
      </c>
      <c r="F93" s="229">
        <v>0</v>
      </c>
      <c r="G93" s="230">
        <f t="shared" si="3"/>
        <v>0</v>
      </c>
      <c r="H93" s="938"/>
    </row>
    <row r="94" spans="2:8" s="217" customFormat="1">
      <c r="B94" s="218"/>
      <c r="C94" s="739" t="s">
        <v>150</v>
      </c>
      <c r="D94" s="224" t="s">
        <v>66</v>
      </c>
      <c r="E94" s="225">
        <v>2</v>
      </c>
      <c r="F94" s="229">
        <v>0</v>
      </c>
      <c r="G94" s="230">
        <f t="shared" si="3"/>
        <v>0</v>
      </c>
      <c r="H94" s="938"/>
    </row>
    <row r="95" spans="2:8" s="217" customFormat="1">
      <c r="B95" s="218"/>
      <c r="C95" s="740" t="s">
        <v>135</v>
      </c>
      <c r="D95" s="224" t="s">
        <v>66</v>
      </c>
      <c r="E95" s="225">
        <v>1</v>
      </c>
      <c r="F95" s="229">
        <v>0</v>
      </c>
      <c r="G95" s="230">
        <f t="shared" si="3"/>
        <v>0</v>
      </c>
      <c r="H95" s="938"/>
    </row>
    <row r="96" spans="2:8" s="179" customFormat="1" ht="25.5" customHeight="1">
      <c r="B96" s="258" t="s">
        <v>47</v>
      </c>
      <c r="C96" s="259" t="s">
        <v>175</v>
      </c>
      <c r="D96" s="260"/>
      <c r="E96" s="261"/>
      <c r="F96" s="262"/>
      <c r="G96" s="263">
        <f>SUM(G69:G95)</f>
        <v>0</v>
      </c>
      <c r="H96" s="802"/>
    </row>
    <row r="97" spans="2:7">
      <c r="B97" s="157"/>
      <c r="C97" s="158"/>
      <c r="D97" s="158"/>
      <c r="E97" s="160"/>
      <c r="F97" s="161"/>
      <c r="G97" s="162"/>
    </row>
    <row r="98" spans="2:7" ht="20.25">
      <c r="B98" s="186" t="s">
        <v>914</v>
      </c>
      <c r="C98" s="187" t="s">
        <v>916</v>
      </c>
      <c r="D98" s="165"/>
      <c r="E98" s="134"/>
      <c r="F98" s="135"/>
      <c r="G98" s="136"/>
    </row>
    <row r="99" spans="2:7" ht="12.75" customHeight="1">
      <c r="B99" s="2396" t="s">
        <v>551</v>
      </c>
      <c r="C99" s="2397"/>
      <c r="D99" s="2397"/>
      <c r="E99" s="2397"/>
      <c r="F99" s="2397"/>
      <c r="G99" s="2398"/>
    </row>
    <row r="100" spans="2:7" ht="25.5" customHeight="1">
      <c r="B100" s="2396" t="s">
        <v>552</v>
      </c>
      <c r="C100" s="2397"/>
      <c r="D100" s="2397"/>
      <c r="E100" s="2397"/>
      <c r="F100" s="2397"/>
      <c r="G100" s="2398"/>
    </row>
    <row r="101" spans="2:7" ht="12.75" customHeight="1">
      <c r="B101" s="2396" t="s">
        <v>553</v>
      </c>
      <c r="C101" s="2397"/>
      <c r="D101" s="2397"/>
      <c r="E101" s="2397"/>
      <c r="F101" s="2397"/>
      <c r="G101" s="2398"/>
    </row>
    <row r="102" spans="2:7" ht="25.5" customHeight="1">
      <c r="B102" s="2396" t="s">
        <v>554</v>
      </c>
      <c r="C102" s="2397"/>
      <c r="D102" s="2397"/>
      <c r="E102" s="2397"/>
      <c r="F102" s="2397"/>
      <c r="G102" s="2398"/>
    </row>
    <row r="103" spans="2:7" ht="25.5" customHeight="1">
      <c r="B103" s="2396" t="s">
        <v>555</v>
      </c>
      <c r="C103" s="2397"/>
      <c r="D103" s="2397"/>
      <c r="E103" s="2397"/>
      <c r="F103" s="2397"/>
      <c r="G103" s="2398"/>
    </row>
    <row r="104" spans="2:7" ht="25.5" customHeight="1">
      <c r="B104" s="2396" t="s">
        <v>556</v>
      </c>
      <c r="C104" s="2397"/>
      <c r="D104" s="2397"/>
      <c r="E104" s="2397"/>
      <c r="F104" s="2397"/>
      <c r="G104" s="2398"/>
    </row>
    <row r="105" spans="2:7" ht="12.75" customHeight="1">
      <c r="B105" s="2396" t="s">
        <v>557</v>
      </c>
      <c r="C105" s="2397"/>
      <c r="D105" s="2397"/>
      <c r="E105" s="2397"/>
      <c r="F105" s="2397"/>
      <c r="G105" s="2398"/>
    </row>
    <row r="106" spans="2:7">
      <c r="B106" s="188">
        <v>1</v>
      </c>
      <c r="C106" s="159" t="s">
        <v>1218</v>
      </c>
      <c r="D106" s="140"/>
      <c r="E106" s="719"/>
      <c r="F106" s="1092"/>
      <c r="G106" s="1093"/>
    </row>
    <row r="107" spans="2:7" ht="108">
      <c r="B107" s="188"/>
      <c r="C107" s="126" t="s">
        <v>1877</v>
      </c>
      <c r="D107" s="140" t="s">
        <v>60</v>
      </c>
      <c r="E107" s="719">
        <v>1</v>
      </c>
      <c r="F107" s="1092">
        <v>0</v>
      </c>
      <c r="G107" s="1093">
        <f t="shared" ref="G107:G132" si="6">E107*F107</f>
        <v>0</v>
      </c>
    </row>
    <row r="108" spans="2:7" ht="60">
      <c r="B108" s="188"/>
      <c r="C108" s="126" t="s">
        <v>1962</v>
      </c>
      <c r="D108" s="140" t="s">
        <v>252</v>
      </c>
      <c r="E108" s="719">
        <v>1</v>
      </c>
      <c r="F108" s="1092">
        <v>0</v>
      </c>
      <c r="G108" s="1093">
        <f t="shared" si="6"/>
        <v>0</v>
      </c>
    </row>
    <row r="109" spans="2:7" ht="36">
      <c r="B109" s="188"/>
      <c r="C109" s="126" t="s">
        <v>1961</v>
      </c>
      <c r="D109" s="140" t="s">
        <v>252</v>
      </c>
      <c r="E109" s="719">
        <v>1</v>
      </c>
      <c r="F109" s="1092">
        <v>0</v>
      </c>
      <c r="G109" s="1093">
        <f t="shared" si="6"/>
        <v>0</v>
      </c>
    </row>
    <row r="110" spans="2:7" ht="24">
      <c r="B110" s="188"/>
      <c r="C110" s="126" t="s">
        <v>1960</v>
      </c>
      <c r="D110" s="140" t="s">
        <v>252</v>
      </c>
      <c r="E110" s="719">
        <v>1</v>
      </c>
      <c r="F110" s="1092">
        <v>0</v>
      </c>
      <c r="G110" s="1093">
        <f t="shared" si="6"/>
        <v>0</v>
      </c>
    </row>
    <row r="111" spans="2:7" ht="36">
      <c r="B111" s="188"/>
      <c r="C111" s="126" t="s">
        <v>1959</v>
      </c>
      <c r="D111" s="140" t="s">
        <v>252</v>
      </c>
      <c r="E111" s="719">
        <v>1</v>
      </c>
      <c r="F111" s="1092">
        <v>0</v>
      </c>
      <c r="G111" s="1093">
        <f t="shared" si="6"/>
        <v>0</v>
      </c>
    </row>
    <row r="112" spans="2:7" ht="108">
      <c r="B112" s="125"/>
      <c r="C112" s="126" t="s">
        <v>1958</v>
      </c>
      <c r="D112" s="140" t="s">
        <v>60</v>
      </c>
      <c r="E112" s="719">
        <v>1</v>
      </c>
      <c r="F112" s="1092">
        <v>0</v>
      </c>
      <c r="G112" s="1093">
        <f t="shared" si="6"/>
        <v>0</v>
      </c>
    </row>
    <row r="113" spans="2:7" ht="72">
      <c r="B113" s="125"/>
      <c r="C113" s="126" t="s">
        <v>1817</v>
      </c>
      <c r="D113" s="140" t="s">
        <v>252</v>
      </c>
      <c r="E113" s="719">
        <v>1</v>
      </c>
      <c r="F113" s="1092">
        <v>0</v>
      </c>
      <c r="G113" s="1093">
        <f t="shared" si="6"/>
        <v>0</v>
      </c>
    </row>
    <row r="114" spans="2:7" ht="72">
      <c r="B114" s="125"/>
      <c r="C114" s="126" t="s">
        <v>1818</v>
      </c>
      <c r="D114" s="140" t="s">
        <v>252</v>
      </c>
      <c r="E114" s="719">
        <v>1</v>
      </c>
      <c r="F114" s="1092">
        <v>0</v>
      </c>
      <c r="G114" s="1093">
        <f t="shared" si="6"/>
        <v>0</v>
      </c>
    </row>
    <row r="115" spans="2:7" ht="72">
      <c r="B115" s="125"/>
      <c r="C115" s="126" t="s">
        <v>1819</v>
      </c>
      <c r="D115" s="140" t="s">
        <v>252</v>
      </c>
      <c r="E115" s="719">
        <v>2</v>
      </c>
      <c r="F115" s="1092">
        <v>0</v>
      </c>
      <c r="G115" s="1093">
        <f t="shared" si="6"/>
        <v>0</v>
      </c>
    </row>
    <row r="116" spans="2:7" ht="72">
      <c r="B116" s="125"/>
      <c r="C116" s="126" t="s">
        <v>1820</v>
      </c>
      <c r="D116" s="140" t="s">
        <v>252</v>
      </c>
      <c r="E116" s="719">
        <v>1</v>
      </c>
      <c r="F116" s="1092">
        <v>0</v>
      </c>
      <c r="G116" s="1093">
        <f t="shared" si="6"/>
        <v>0</v>
      </c>
    </row>
    <row r="117" spans="2:7" ht="60">
      <c r="B117" s="125"/>
      <c r="C117" s="126" t="s">
        <v>1821</v>
      </c>
      <c r="D117" s="140" t="s">
        <v>252</v>
      </c>
      <c r="E117" s="719">
        <v>1</v>
      </c>
      <c r="F117" s="1092">
        <v>0</v>
      </c>
      <c r="G117" s="1093">
        <f t="shared" si="6"/>
        <v>0</v>
      </c>
    </row>
    <row r="118" spans="2:7" ht="84">
      <c r="B118" s="125"/>
      <c r="C118" s="716" t="s">
        <v>1822</v>
      </c>
      <c r="D118" s="140" t="s">
        <v>60</v>
      </c>
      <c r="E118" s="719">
        <v>1</v>
      </c>
      <c r="F118" s="1092">
        <v>0</v>
      </c>
      <c r="G118" s="1093">
        <f t="shared" si="6"/>
        <v>0</v>
      </c>
    </row>
    <row r="119" spans="2:7" ht="60">
      <c r="B119" s="125"/>
      <c r="C119" s="126" t="s">
        <v>1823</v>
      </c>
      <c r="D119" s="140" t="s">
        <v>252</v>
      </c>
      <c r="E119" s="719">
        <v>1</v>
      </c>
      <c r="F119" s="1092">
        <v>0</v>
      </c>
      <c r="G119" s="1093">
        <f t="shared" si="6"/>
        <v>0</v>
      </c>
    </row>
    <row r="120" spans="2:7" ht="120">
      <c r="B120" s="125"/>
      <c r="C120" s="126" t="s">
        <v>635</v>
      </c>
      <c r="D120" s="140" t="s">
        <v>252</v>
      </c>
      <c r="E120" s="719">
        <v>1</v>
      </c>
      <c r="F120" s="1092">
        <v>0</v>
      </c>
      <c r="G120" s="1093">
        <f t="shared" si="6"/>
        <v>0</v>
      </c>
    </row>
    <row r="121" spans="2:7" ht="36">
      <c r="B121" s="125"/>
      <c r="C121" s="126" t="s">
        <v>1824</v>
      </c>
      <c r="D121" s="140" t="s">
        <v>252</v>
      </c>
      <c r="E121" s="719">
        <v>60</v>
      </c>
      <c r="F121" s="1092">
        <v>0</v>
      </c>
      <c r="G121" s="1093">
        <f t="shared" si="6"/>
        <v>0</v>
      </c>
    </row>
    <row r="122" spans="2:7" ht="36">
      <c r="B122" s="125"/>
      <c r="C122" s="126" t="s">
        <v>1825</v>
      </c>
      <c r="D122" s="140" t="s">
        <v>252</v>
      </c>
      <c r="E122" s="719">
        <v>10</v>
      </c>
      <c r="F122" s="1092">
        <v>0</v>
      </c>
      <c r="G122" s="1093">
        <f t="shared" si="6"/>
        <v>0</v>
      </c>
    </row>
    <row r="123" spans="2:7" ht="36">
      <c r="B123" s="125"/>
      <c r="C123" s="126" t="s">
        <v>1826</v>
      </c>
      <c r="D123" s="140" t="s">
        <v>252</v>
      </c>
      <c r="E123" s="719">
        <v>2</v>
      </c>
      <c r="F123" s="1092">
        <v>0</v>
      </c>
      <c r="G123" s="1093">
        <f t="shared" si="6"/>
        <v>0</v>
      </c>
    </row>
    <row r="124" spans="2:7" ht="36">
      <c r="B124" s="125"/>
      <c r="C124" s="126" t="s">
        <v>1827</v>
      </c>
      <c r="D124" s="140" t="s">
        <v>252</v>
      </c>
      <c r="E124" s="719">
        <v>12</v>
      </c>
      <c r="F124" s="1092">
        <v>0</v>
      </c>
      <c r="G124" s="1093">
        <f t="shared" si="6"/>
        <v>0</v>
      </c>
    </row>
    <row r="125" spans="2:7" ht="36">
      <c r="B125" s="125"/>
      <c r="C125" s="126" t="s">
        <v>1828</v>
      </c>
      <c r="D125" s="140" t="s">
        <v>252</v>
      </c>
      <c r="E125" s="719">
        <v>1</v>
      </c>
      <c r="F125" s="1092">
        <v>0</v>
      </c>
      <c r="G125" s="1093">
        <f t="shared" si="6"/>
        <v>0</v>
      </c>
    </row>
    <row r="126" spans="2:7" ht="48">
      <c r="B126" s="125"/>
      <c r="C126" s="126" t="s">
        <v>1829</v>
      </c>
      <c r="D126" s="140" t="s">
        <v>252</v>
      </c>
      <c r="E126" s="719">
        <v>1</v>
      </c>
      <c r="F126" s="1092">
        <v>0</v>
      </c>
      <c r="G126" s="1093">
        <f t="shared" si="6"/>
        <v>0</v>
      </c>
    </row>
    <row r="127" spans="2:7" ht="60">
      <c r="B127" s="125"/>
      <c r="C127" s="126" t="s">
        <v>1830</v>
      </c>
      <c r="D127" s="140" t="s">
        <v>252</v>
      </c>
      <c r="E127" s="719">
        <v>3</v>
      </c>
      <c r="F127" s="1092">
        <v>0</v>
      </c>
      <c r="G127" s="1093">
        <f t="shared" si="6"/>
        <v>0</v>
      </c>
    </row>
    <row r="128" spans="2:7" ht="60">
      <c r="B128" s="125"/>
      <c r="C128" s="126" t="s">
        <v>1831</v>
      </c>
      <c r="D128" s="140" t="s">
        <v>252</v>
      </c>
      <c r="E128" s="719">
        <v>3</v>
      </c>
      <c r="F128" s="1092">
        <v>0</v>
      </c>
      <c r="G128" s="1093">
        <f t="shared" si="6"/>
        <v>0</v>
      </c>
    </row>
    <row r="129" spans="2:7" ht="60">
      <c r="B129" s="125"/>
      <c r="C129" s="126" t="s">
        <v>1832</v>
      </c>
      <c r="D129" s="140" t="s">
        <v>252</v>
      </c>
      <c r="E129" s="719">
        <v>3</v>
      </c>
      <c r="F129" s="1092">
        <v>0</v>
      </c>
      <c r="G129" s="1093">
        <f t="shared" si="6"/>
        <v>0</v>
      </c>
    </row>
    <row r="130" spans="2:7" ht="48">
      <c r="B130" s="125"/>
      <c r="C130" s="126" t="s">
        <v>1833</v>
      </c>
      <c r="D130" s="140" t="s">
        <v>60</v>
      </c>
      <c r="E130" s="719">
        <v>1</v>
      </c>
      <c r="F130" s="1092">
        <v>0</v>
      </c>
      <c r="G130" s="1093">
        <f t="shared" si="6"/>
        <v>0</v>
      </c>
    </row>
    <row r="131" spans="2:7" ht="72">
      <c r="B131" s="125"/>
      <c r="C131" s="126" t="s">
        <v>1834</v>
      </c>
      <c r="D131" s="140" t="s">
        <v>252</v>
      </c>
      <c r="E131" s="719">
        <v>1</v>
      </c>
      <c r="F131" s="1092">
        <v>0</v>
      </c>
      <c r="G131" s="1093">
        <f t="shared" si="6"/>
        <v>0</v>
      </c>
    </row>
    <row r="132" spans="2:7" ht="84">
      <c r="B132" s="125"/>
      <c r="C132" s="126" t="s">
        <v>1835</v>
      </c>
      <c r="D132" s="140" t="s">
        <v>252</v>
      </c>
      <c r="E132" s="719">
        <v>1</v>
      </c>
      <c r="F132" s="1092">
        <v>0</v>
      </c>
      <c r="G132" s="1093">
        <f t="shared" si="6"/>
        <v>0</v>
      </c>
    </row>
    <row r="133" spans="2:7">
      <c r="B133" s="188">
        <v>2</v>
      </c>
      <c r="C133" s="159" t="s">
        <v>1294</v>
      </c>
      <c r="D133" s="140"/>
      <c r="E133" s="719"/>
      <c r="F133" s="1092"/>
      <c r="G133" s="1093"/>
    </row>
    <row r="134" spans="2:7" ht="387.75" customHeight="1">
      <c r="B134" s="2262"/>
      <c r="C134" s="2263"/>
      <c r="D134" s="2264"/>
      <c r="E134" s="2265"/>
      <c r="F134" s="2266"/>
      <c r="G134" s="2254"/>
    </row>
    <row r="135" spans="2:7" ht="24.75" customHeight="1">
      <c r="B135" s="2271"/>
      <c r="C135" s="2263" t="s">
        <v>2262</v>
      </c>
      <c r="D135" s="2272" t="s">
        <v>60</v>
      </c>
      <c r="E135" s="2265">
        <v>1</v>
      </c>
      <c r="F135" s="2266">
        <v>0</v>
      </c>
      <c r="G135" s="2254">
        <f t="shared" ref="G135" si="7">E135*F135</f>
        <v>0</v>
      </c>
    </row>
    <row r="136" spans="2:7" ht="48">
      <c r="B136" s="125"/>
      <c r="C136" s="126" t="s">
        <v>1836</v>
      </c>
      <c r="D136" s="140" t="s">
        <v>252</v>
      </c>
      <c r="E136" s="719">
        <v>1</v>
      </c>
      <c r="F136" s="1092">
        <v>0</v>
      </c>
      <c r="G136" s="1093">
        <f t="shared" ref="G136:G141" si="8">E136*F136</f>
        <v>0</v>
      </c>
    </row>
    <row r="137" spans="2:7" ht="48">
      <c r="B137" s="125"/>
      <c r="C137" s="126" t="s">
        <v>1941</v>
      </c>
      <c r="D137" s="140" t="s">
        <v>252</v>
      </c>
      <c r="E137" s="719">
        <v>1</v>
      </c>
      <c r="F137" s="1092">
        <v>0</v>
      </c>
      <c r="G137" s="1093">
        <f t="shared" si="8"/>
        <v>0</v>
      </c>
    </row>
    <row r="138" spans="2:7" ht="60">
      <c r="B138" s="125"/>
      <c r="C138" s="126" t="s">
        <v>1837</v>
      </c>
      <c r="D138" s="140" t="s">
        <v>252</v>
      </c>
      <c r="E138" s="719">
        <v>1</v>
      </c>
      <c r="F138" s="1092">
        <v>0</v>
      </c>
      <c r="G138" s="1093">
        <f t="shared" si="8"/>
        <v>0</v>
      </c>
    </row>
    <row r="139" spans="2:7" ht="228">
      <c r="B139" s="188"/>
      <c r="C139" s="716" t="s">
        <v>654</v>
      </c>
      <c r="D139" s="140" t="s">
        <v>252</v>
      </c>
      <c r="E139" s="719">
        <v>1</v>
      </c>
      <c r="F139" s="1092">
        <v>0</v>
      </c>
      <c r="G139" s="1093">
        <f t="shared" si="8"/>
        <v>0</v>
      </c>
    </row>
    <row r="140" spans="2:7" ht="72">
      <c r="B140" s="188"/>
      <c r="C140" s="716" t="s">
        <v>655</v>
      </c>
      <c r="D140" s="140" t="s">
        <v>60</v>
      </c>
      <c r="E140" s="719">
        <v>1</v>
      </c>
      <c r="F140" s="1092">
        <v>0</v>
      </c>
      <c r="G140" s="1093">
        <f t="shared" si="8"/>
        <v>0</v>
      </c>
    </row>
    <row r="141" spans="2:7" ht="48">
      <c r="B141" s="125"/>
      <c r="C141" s="126" t="s">
        <v>1838</v>
      </c>
      <c r="D141" s="140" t="s">
        <v>252</v>
      </c>
      <c r="E141" s="719">
        <v>1</v>
      </c>
      <c r="F141" s="1092">
        <v>0</v>
      </c>
      <c r="G141" s="1093">
        <f t="shared" si="8"/>
        <v>0</v>
      </c>
    </row>
    <row r="142" spans="2:7">
      <c r="B142" s="188">
        <v>3</v>
      </c>
      <c r="C142" s="159" t="s">
        <v>1840</v>
      </c>
      <c r="D142" s="140"/>
      <c r="E142" s="719"/>
      <c r="F142" s="1092"/>
      <c r="G142" s="1093"/>
    </row>
    <row r="143" spans="2:7" ht="312">
      <c r="B143" s="188"/>
      <c r="C143" s="716" t="s">
        <v>1869</v>
      </c>
      <c r="D143" s="140" t="s">
        <v>60</v>
      </c>
      <c r="E143" s="719">
        <v>1</v>
      </c>
      <c r="F143" s="1092">
        <v>0</v>
      </c>
      <c r="G143" s="1093">
        <f>E143*F143</f>
        <v>0</v>
      </c>
    </row>
    <row r="144" spans="2:7" ht="72">
      <c r="B144" s="125"/>
      <c r="C144" s="126" t="s">
        <v>1842</v>
      </c>
      <c r="D144" s="140" t="s">
        <v>60</v>
      </c>
      <c r="E144" s="719">
        <v>1</v>
      </c>
      <c r="F144" s="1092">
        <v>0</v>
      </c>
      <c r="G144" s="1093">
        <f>E144*F144</f>
        <v>0</v>
      </c>
    </row>
    <row r="145" spans="2:7" ht="108">
      <c r="B145" s="125"/>
      <c r="C145" s="126" t="s">
        <v>1843</v>
      </c>
      <c r="D145" s="140" t="s">
        <v>60</v>
      </c>
      <c r="E145" s="719">
        <v>1</v>
      </c>
      <c r="F145" s="1092">
        <v>0</v>
      </c>
      <c r="G145" s="1093">
        <f>E145*F145</f>
        <v>0</v>
      </c>
    </row>
    <row r="146" spans="2:7">
      <c r="B146" s="188">
        <v>4</v>
      </c>
      <c r="C146" s="159" t="s">
        <v>1844</v>
      </c>
      <c r="D146" s="140"/>
      <c r="E146" s="719"/>
      <c r="F146" s="1092"/>
      <c r="G146" s="1093"/>
    </row>
    <row r="147" spans="2:7" ht="72">
      <c r="B147" s="125"/>
      <c r="C147" s="126" t="s">
        <v>1845</v>
      </c>
      <c r="D147" s="140" t="s">
        <v>60</v>
      </c>
      <c r="E147" s="719">
        <v>3</v>
      </c>
      <c r="F147" s="1092">
        <v>0</v>
      </c>
      <c r="G147" s="1093">
        <f>E147*F147</f>
        <v>0</v>
      </c>
    </row>
    <row r="148" spans="2:7" ht="60">
      <c r="B148" s="188"/>
      <c r="C148" s="716" t="s">
        <v>1846</v>
      </c>
      <c r="D148" s="140" t="s">
        <v>60</v>
      </c>
      <c r="E148" s="719">
        <v>1</v>
      </c>
      <c r="F148" s="1092">
        <v>0</v>
      </c>
      <c r="G148" s="1093">
        <f>E148*F148</f>
        <v>0</v>
      </c>
    </row>
    <row r="149" spans="2:7" ht="36">
      <c r="B149" s="188"/>
      <c r="C149" s="716" t="s">
        <v>1847</v>
      </c>
      <c r="D149" s="140" t="s">
        <v>252</v>
      </c>
      <c r="E149" s="719">
        <v>1</v>
      </c>
      <c r="F149" s="1092">
        <v>0</v>
      </c>
      <c r="G149" s="1093">
        <f>E149*F149</f>
        <v>0</v>
      </c>
    </row>
    <row r="150" spans="2:7" ht="132">
      <c r="B150" s="188"/>
      <c r="C150" s="716" t="s">
        <v>1190</v>
      </c>
      <c r="D150" s="140" t="s">
        <v>252</v>
      </c>
      <c r="E150" s="719">
        <v>1</v>
      </c>
      <c r="F150" s="1092">
        <v>0</v>
      </c>
      <c r="G150" s="1093">
        <f>E150*F150</f>
        <v>0</v>
      </c>
    </row>
    <row r="151" spans="2:7" ht="120">
      <c r="B151" s="125"/>
      <c r="C151" s="126" t="s">
        <v>1848</v>
      </c>
      <c r="D151" s="140" t="s">
        <v>252</v>
      </c>
      <c r="E151" s="719">
        <v>1</v>
      </c>
      <c r="F151" s="1092">
        <v>0</v>
      </c>
      <c r="G151" s="1093">
        <f>E151*F151</f>
        <v>0</v>
      </c>
    </row>
    <row r="152" spans="2:7">
      <c r="B152" s="188">
        <v>5</v>
      </c>
      <c r="C152" s="159" t="s">
        <v>1849</v>
      </c>
      <c r="D152" s="140"/>
      <c r="E152" s="719"/>
      <c r="F152" s="1092"/>
      <c r="G152" s="1093"/>
    </row>
    <row r="153" spans="2:7">
      <c r="B153" s="188"/>
      <c r="C153" s="716" t="s">
        <v>1870</v>
      </c>
      <c r="D153" s="140" t="s">
        <v>397</v>
      </c>
      <c r="E153" s="719">
        <v>30</v>
      </c>
      <c r="F153" s="1092">
        <v>0</v>
      </c>
      <c r="G153" s="1093">
        <f t="shared" ref="G153:G161" si="9">E153*F153</f>
        <v>0</v>
      </c>
    </row>
    <row r="154" spans="2:7">
      <c r="B154" s="188"/>
      <c r="C154" s="716" t="s">
        <v>1850</v>
      </c>
      <c r="D154" s="140" t="s">
        <v>397</v>
      </c>
      <c r="E154" s="719">
        <v>50</v>
      </c>
      <c r="F154" s="1092">
        <v>0</v>
      </c>
      <c r="G154" s="1093">
        <f t="shared" si="9"/>
        <v>0</v>
      </c>
    </row>
    <row r="155" spans="2:7">
      <c r="B155" s="188"/>
      <c r="C155" s="716" t="s">
        <v>1851</v>
      </c>
      <c r="D155" s="140" t="s">
        <v>397</v>
      </c>
      <c r="E155" s="719">
        <v>200</v>
      </c>
      <c r="F155" s="1092">
        <v>0</v>
      </c>
      <c r="G155" s="1093">
        <f t="shared" si="9"/>
        <v>0</v>
      </c>
    </row>
    <row r="156" spans="2:7">
      <c r="B156" s="188"/>
      <c r="C156" s="716" t="s">
        <v>1852</v>
      </c>
      <c r="D156" s="140" t="s">
        <v>397</v>
      </c>
      <c r="E156" s="719">
        <v>100</v>
      </c>
      <c r="F156" s="1092">
        <v>0</v>
      </c>
      <c r="G156" s="1093">
        <f t="shared" si="9"/>
        <v>0</v>
      </c>
    </row>
    <row r="157" spans="2:7">
      <c r="B157" s="188"/>
      <c r="C157" s="716" t="s">
        <v>1315</v>
      </c>
      <c r="D157" s="140" t="s">
        <v>397</v>
      </c>
      <c r="E157" s="719">
        <v>50</v>
      </c>
      <c r="F157" s="1092">
        <v>0</v>
      </c>
      <c r="G157" s="1093">
        <f t="shared" si="9"/>
        <v>0</v>
      </c>
    </row>
    <row r="158" spans="2:7">
      <c r="B158" s="188"/>
      <c r="C158" s="716" t="s">
        <v>1853</v>
      </c>
      <c r="D158" s="140" t="s">
        <v>252</v>
      </c>
      <c r="E158" s="719">
        <v>2</v>
      </c>
      <c r="F158" s="1092">
        <v>0</v>
      </c>
      <c r="G158" s="1093">
        <f t="shared" si="9"/>
        <v>0</v>
      </c>
    </row>
    <row r="159" spans="2:7">
      <c r="B159" s="188"/>
      <c r="C159" s="716" t="s">
        <v>1854</v>
      </c>
      <c r="D159" s="140" t="s">
        <v>397</v>
      </c>
      <c r="E159" s="719">
        <v>70</v>
      </c>
      <c r="F159" s="1092">
        <v>0</v>
      </c>
      <c r="G159" s="1093">
        <f t="shared" si="9"/>
        <v>0</v>
      </c>
    </row>
    <row r="160" spans="2:7">
      <c r="B160" s="188"/>
      <c r="C160" s="716" t="s">
        <v>1855</v>
      </c>
      <c r="D160" s="140" t="s">
        <v>397</v>
      </c>
      <c r="E160" s="719">
        <v>50</v>
      </c>
      <c r="F160" s="1092">
        <v>0</v>
      </c>
      <c r="G160" s="1093">
        <f t="shared" si="9"/>
        <v>0</v>
      </c>
    </row>
    <row r="161" spans="2:7">
      <c r="B161" s="188"/>
      <c r="C161" s="716" t="s">
        <v>1293</v>
      </c>
      <c r="D161" s="140" t="s">
        <v>60</v>
      </c>
      <c r="E161" s="719">
        <v>1</v>
      </c>
      <c r="F161" s="1092">
        <v>0</v>
      </c>
      <c r="G161" s="1093">
        <f t="shared" si="9"/>
        <v>0</v>
      </c>
    </row>
    <row r="162" spans="2:7">
      <c r="B162" s="188">
        <v>6</v>
      </c>
      <c r="C162" s="159" t="s">
        <v>1856</v>
      </c>
      <c r="D162" s="140"/>
      <c r="E162" s="719"/>
      <c r="F162" s="1092"/>
      <c r="G162" s="1093"/>
    </row>
    <row r="163" spans="2:7" ht="36">
      <c r="B163" s="188"/>
      <c r="C163" s="716" t="s">
        <v>1345</v>
      </c>
      <c r="D163" s="140" t="s">
        <v>397</v>
      </c>
      <c r="E163" s="719">
        <v>40</v>
      </c>
      <c r="F163" s="1092">
        <v>0</v>
      </c>
      <c r="G163" s="1093">
        <f t="shared" ref="G163:G173" si="10">E163*F163</f>
        <v>0</v>
      </c>
    </row>
    <row r="164" spans="2:7">
      <c r="B164" s="188"/>
      <c r="C164" s="716" t="s">
        <v>1347</v>
      </c>
      <c r="D164" s="140" t="s">
        <v>397</v>
      </c>
      <c r="E164" s="719">
        <v>100</v>
      </c>
      <c r="F164" s="1092">
        <v>0</v>
      </c>
      <c r="G164" s="1093">
        <f t="shared" si="10"/>
        <v>0</v>
      </c>
    </row>
    <row r="165" spans="2:7">
      <c r="B165" s="188"/>
      <c r="C165" s="716" t="s">
        <v>1348</v>
      </c>
      <c r="D165" s="140" t="s">
        <v>397</v>
      </c>
      <c r="E165" s="719">
        <v>40</v>
      </c>
      <c r="F165" s="1092">
        <v>0</v>
      </c>
      <c r="G165" s="1093">
        <f t="shared" si="10"/>
        <v>0</v>
      </c>
    </row>
    <row r="166" spans="2:7">
      <c r="B166" s="188"/>
      <c r="C166" s="716" t="s">
        <v>1349</v>
      </c>
      <c r="D166" s="140" t="s">
        <v>252</v>
      </c>
      <c r="E166" s="719">
        <v>1</v>
      </c>
      <c r="F166" s="1092">
        <v>0</v>
      </c>
      <c r="G166" s="1093">
        <f t="shared" si="10"/>
        <v>0</v>
      </c>
    </row>
    <row r="167" spans="2:7">
      <c r="B167" s="188"/>
      <c r="C167" s="716" t="s">
        <v>1957</v>
      </c>
      <c r="D167" s="140" t="s">
        <v>252</v>
      </c>
      <c r="E167" s="719">
        <v>1</v>
      </c>
      <c r="F167" s="1092">
        <v>0</v>
      </c>
      <c r="G167" s="1093">
        <f t="shared" si="10"/>
        <v>0</v>
      </c>
    </row>
    <row r="168" spans="2:7">
      <c r="B168" s="188"/>
      <c r="C168" s="716" t="s">
        <v>1956</v>
      </c>
      <c r="D168" s="140" t="s">
        <v>252</v>
      </c>
      <c r="E168" s="719">
        <v>1</v>
      </c>
      <c r="F168" s="1092">
        <v>0</v>
      </c>
      <c r="G168" s="1093">
        <f t="shared" si="10"/>
        <v>0</v>
      </c>
    </row>
    <row r="169" spans="2:7" ht="24">
      <c r="B169" s="188"/>
      <c r="C169" s="716" t="s">
        <v>1353</v>
      </c>
      <c r="D169" s="140" t="s">
        <v>252</v>
      </c>
      <c r="E169" s="719">
        <v>4</v>
      </c>
      <c r="F169" s="1092">
        <v>0</v>
      </c>
      <c r="G169" s="1093">
        <f t="shared" si="10"/>
        <v>0</v>
      </c>
    </row>
    <row r="170" spans="2:7">
      <c r="B170" s="188"/>
      <c r="C170" s="716" t="s">
        <v>1871</v>
      </c>
      <c r="D170" s="140" t="s">
        <v>252</v>
      </c>
      <c r="E170" s="719">
        <v>1</v>
      </c>
      <c r="F170" s="1092">
        <v>0</v>
      </c>
      <c r="G170" s="1093">
        <f t="shared" si="10"/>
        <v>0</v>
      </c>
    </row>
    <row r="171" spans="2:7">
      <c r="B171" s="188"/>
      <c r="C171" s="716" t="s">
        <v>1857</v>
      </c>
      <c r="D171" s="140" t="s">
        <v>252</v>
      </c>
      <c r="E171" s="719">
        <v>3</v>
      </c>
      <c r="F171" s="1092">
        <v>0</v>
      </c>
      <c r="G171" s="1093">
        <f t="shared" si="10"/>
        <v>0</v>
      </c>
    </row>
    <row r="172" spans="2:7">
      <c r="B172" s="188"/>
      <c r="C172" s="716" t="s">
        <v>1858</v>
      </c>
      <c r="D172" s="140" t="s">
        <v>252</v>
      </c>
      <c r="E172" s="719">
        <v>2</v>
      </c>
      <c r="F172" s="1092">
        <v>0</v>
      </c>
      <c r="G172" s="1093">
        <f t="shared" si="10"/>
        <v>0</v>
      </c>
    </row>
    <row r="173" spans="2:7" ht="24">
      <c r="B173" s="188"/>
      <c r="C173" s="716" t="s">
        <v>1859</v>
      </c>
      <c r="D173" s="140" t="s">
        <v>252</v>
      </c>
      <c r="E173" s="719">
        <v>1</v>
      </c>
      <c r="F173" s="1092">
        <v>0</v>
      </c>
      <c r="G173" s="1093">
        <f t="shared" si="10"/>
        <v>0</v>
      </c>
    </row>
    <row r="174" spans="2:7">
      <c r="B174" s="188">
        <v>7</v>
      </c>
      <c r="C174" s="159" t="s">
        <v>1860</v>
      </c>
      <c r="D174" s="140"/>
      <c r="E174" s="719"/>
      <c r="F174" s="1092"/>
      <c r="G174" s="1093"/>
    </row>
    <row r="175" spans="2:7">
      <c r="B175" s="125"/>
      <c r="C175" s="126" t="s">
        <v>1325</v>
      </c>
      <c r="D175" s="140" t="s">
        <v>397</v>
      </c>
      <c r="E175" s="719">
        <v>60</v>
      </c>
      <c r="F175" s="1092">
        <v>0</v>
      </c>
      <c r="G175" s="1093">
        <f t="shared" ref="G175:G181" si="11">E175*F175</f>
        <v>0</v>
      </c>
    </row>
    <row r="176" spans="2:7" ht="36">
      <c r="B176" s="125"/>
      <c r="C176" s="126" t="s">
        <v>1326</v>
      </c>
      <c r="D176" s="140" t="s">
        <v>60</v>
      </c>
      <c r="E176" s="719">
        <v>2</v>
      </c>
      <c r="F176" s="1092">
        <v>0</v>
      </c>
      <c r="G176" s="1093">
        <f t="shared" si="11"/>
        <v>0</v>
      </c>
    </row>
    <row r="177" spans="2:7" ht="36">
      <c r="B177" s="125"/>
      <c r="C177" s="126" t="s">
        <v>1327</v>
      </c>
      <c r="D177" s="140" t="s">
        <v>60</v>
      </c>
      <c r="E177" s="719">
        <v>1</v>
      </c>
      <c r="F177" s="1092">
        <v>0</v>
      </c>
      <c r="G177" s="1093">
        <f t="shared" si="11"/>
        <v>0</v>
      </c>
    </row>
    <row r="178" spans="2:7" ht="24">
      <c r="B178" s="125"/>
      <c r="C178" s="126" t="s">
        <v>1955</v>
      </c>
      <c r="D178" s="140" t="s">
        <v>397</v>
      </c>
      <c r="E178" s="719">
        <v>160</v>
      </c>
      <c r="F178" s="1092">
        <v>0</v>
      </c>
      <c r="G178" s="1093">
        <f t="shared" si="11"/>
        <v>0</v>
      </c>
    </row>
    <row r="179" spans="2:7">
      <c r="B179" s="125"/>
      <c r="C179" s="126" t="s">
        <v>1954</v>
      </c>
      <c r="D179" s="140" t="s">
        <v>252</v>
      </c>
      <c r="E179" s="719">
        <v>15</v>
      </c>
      <c r="F179" s="1092">
        <v>0</v>
      </c>
      <c r="G179" s="1093">
        <f t="shared" si="11"/>
        <v>0</v>
      </c>
    </row>
    <row r="180" spans="2:7" ht="24">
      <c r="B180" s="125"/>
      <c r="C180" s="126" t="s">
        <v>1332</v>
      </c>
      <c r="D180" s="140" t="s">
        <v>60</v>
      </c>
      <c r="E180" s="719">
        <v>15</v>
      </c>
      <c r="F180" s="1092">
        <v>0</v>
      </c>
      <c r="G180" s="1093">
        <f t="shared" si="11"/>
        <v>0</v>
      </c>
    </row>
    <row r="181" spans="2:7">
      <c r="B181" s="125"/>
      <c r="C181" s="126" t="s">
        <v>1333</v>
      </c>
      <c r="D181" s="140" t="s">
        <v>60</v>
      </c>
      <c r="E181" s="719">
        <v>1</v>
      </c>
      <c r="F181" s="1092">
        <v>0</v>
      </c>
      <c r="G181" s="1093">
        <f t="shared" si="11"/>
        <v>0</v>
      </c>
    </row>
    <row r="182" spans="2:7">
      <c r="B182" s="188">
        <v>8</v>
      </c>
      <c r="C182" s="159" t="s">
        <v>1357</v>
      </c>
      <c r="D182" s="140"/>
      <c r="E182" s="719"/>
      <c r="F182" s="1092"/>
      <c r="G182" s="1093"/>
    </row>
    <row r="183" spans="2:7">
      <c r="B183" s="188"/>
      <c r="C183" s="716" t="s">
        <v>1358</v>
      </c>
      <c r="D183" s="140" t="s">
        <v>60</v>
      </c>
      <c r="E183" s="719">
        <v>16</v>
      </c>
      <c r="F183" s="1092">
        <v>0</v>
      </c>
      <c r="G183" s="1093">
        <f>E183*F183</f>
        <v>0</v>
      </c>
    </row>
    <row r="184" spans="2:7" ht="60">
      <c r="B184" s="188"/>
      <c r="C184" s="716" t="s">
        <v>1872</v>
      </c>
      <c r="D184" s="140" t="s">
        <v>60</v>
      </c>
      <c r="E184" s="719">
        <v>1</v>
      </c>
      <c r="F184" s="1092">
        <v>0</v>
      </c>
      <c r="G184" s="1093">
        <f>E184*F184</f>
        <v>0</v>
      </c>
    </row>
    <row r="185" spans="2:7" ht="36">
      <c r="B185" s="125"/>
      <c r="C185" s="126" t="s">
        <v>1862</v>
      </c>
      <c r="D185" s="140" t="s">
        <v>60</v>
      </c>
      <c r="E185" s="719">
        <v>1</v>
      </c>
      <c r="F185" s="1092">
        <v>0</v>
      </c>
      <c r="G185" s="1093">
        <f>E185*F185</f>
        <v>0</v>
      </c>
    </row>
    <row r="186" spans="2:7" ht="48">
      <c r="B186" s="188"/>
      <c r="C186" s="716" t="s">
        <v>1863</v>
      </c>
      <c r="D186" s="140" t="s">
        <v>60</v>
      </c>
      <c r="E186" s="719">
        <v>1</v>
      </c>
      <c r="F186" s="1092">
        <v>0</v>
      </c>
      <c r="G186" s="1093">
        <f>E186*F186</f>
        <v>0</v>
      </c>
    </row>
    <row r="187" spans="2:7" ht="48">
      <c r="B187" s="188"/>
      <c r="C187" s="716" t="s">
        <v>1864</v>
      </c>
      <c r="D187" s="140" t="s">
        <v>60</v>
      </c>
      <c r="E187" s="719">
        <v>1</v>
      </c>
      <c r="F187" s="1092">
        <v>0</v>
      </c>
      <c r="G187" s="1093">
        <f>E187*F187</f>
        <v>0</v>
      </c>
    </row>
    <row r="188" spans="2:7">
      <c r="B188" s="188">
        <v>9</v>
      </c>
      <c r="C188" s="159" t="s">
        <v>1953</v>
      </c>
      <c r="D188" s="140"/>
      <c r="E188" s="719"/>
      <c r="F188" s="1092"/>
      <c r="G188" s="1093"/>
    </row>
    <row r="189" spans="2:7" ht="132">
      <c r="B189" s="1481"/>
      <c r="C189" s="1480" t="s">
        <v>1952</v>
      </c>
      <c r="D189" s="140" t="s">
        <v>60</v>
      </c>
      <c r="E189" s="719">
        <v>1</v>
      </c>
      <c r="F189" s="1092">
        <v>0</v>
      </c>
      <c r="G189" s="1093">
        <f t="shared" ref="G189:G198" si="12">E189*F189</f>
        <v>0</v>
      </c>
    </row>
    <row r="190" spans="2:7" ht="24">
      <c r="B190" s="188"/>
      <c r="C190" s="1479" t="s">
        <v>1951</v>
      </c>
      <c r="D190" s="140" t="s">
        <v>397</v>
      </c>
      <c r="E190" s="719">
        <v>180</v>
      </c>
      <c r="F190" s="1092">
        <v>0</v>
      </c>
      <c r="G190" s="1093">
        <f t="shared" si="12"/>
        <v>0</v>
      </c>
    </row>
    <row r="191" spans="2:7" ht="108">
      <c r="B191" s="188"/>
      <c r="C191" s="1478" t="s">
        <v>1950</v>
      </c>
      <c r="D191" s="140" t="s">
        <v>397</v>
      </c>
      <c r="E191" s="719">
        <v>150</v>
      </c>
      <c r="F191" s="1092">
        <v>0</v>
      </c>
      <c r="G191" s="1093">
        <f t="shared" si="12"/>
        <v>0</v>
      </c>
    </row>
    <row r="192" spans="2:7" ht="36">
      <c r="B192" s="188"/>
      <c r="C192" s="1477" t="s">
        <v>1949</v>
      </c>
      <c r="D192" s="140" t="s">
        <v>60</v>
      </c>
      <c r="E192" s="719">
        <v>1</v>
      </c>
      <c r="F192" s="1092">
        <v>0</v>
      </c>
      <c r="G192" s="1093">
        <f t="shared" si="12"/>
        <v>0</v>
      </c>
    </row>
    <row r="193" spans="2:7" ht="36">
      <c r="B193" s="188"/>
      <c r="C193" s="1477" t="s">
        <v>1948</v>
      </c>
      <c r="D193" s="140" t="s">
        <v>60</v>
      </c>
      <c r="E193" s="719">
        <v>1</v>
      </c>
      <c r="F193" s="1092">
        <v>0</v>
      </c>
      <c r="G193" s="1093">
        <f t="shared" si="12"/>
        <v>0</v>
      </c>
    </row>
    <row r="194" spans="2:7" ht="24">
      <c r="B194" s="188"/>
      <c r="C194" s="1477" t="s">
        <v>1947</v>
      </c>
      <c r="D194" s="140" t="s">
        <v>60</v>
      </c>
      <c r="E194" s="719">
        <v>1</v>
      </c>
      <c r="F194" s="1092">
        <v>0</v>
      </c>
      <c r="G194" s="1093">
        <f t="shared" si="12"/>
        <v>0</v>
      </c>
    </row>
    <row r="195" spans="2:7">
      <c r="B195" s="188"/>
      <c r="C195" s="1477" t="s">
        <v>1370</v>
      </c>
      <c r="D195" s="140" t="s">
        <v>397</v>
      </c>
      <c r="E195" s="719">
        <v>60</v>
      </c>
      <c r="F195" s="1092">
        <v>0</v>
      </c>
      <c r="G195" s="1093">
        <f t="shared" si="12"/>
        <v>0</v>
      </c>
    </row>
    <row r="196" spans="2:7">
      <c r="B196" s="188"/>
      <c r="C196" s="1477" t="s">
        <v>1946</v>
      </c>
      <c r="D196" s="140" t="s">
        <v>60</v>
      </c>
      <c r="E196" s="719">
        <v>1</v>
      </c>
      <c r="F196" s="1092">
        <v>0</v>
      </c>
      <c r="G196" s="1093">
        <f t="shared" si="12"/>
        <v>0</v>
      </c>
    </row>
    <row r="197" spans="2:7">
      <c r="B197" s="188"/>
      <c r="C197" s="1477" t="s">
        <v>1945</v>
      </c>
      <c r="D197" s="140" t="s">
        <v>60</v>
      </c>
      <c r="E197" s="719">
        <v>1</v>
      </c>
      <c r="F197" s="1092">
        <v>0</v>
      </c>
      <c r="G197" s="1093">
        <f t="shared" si="12"/>
        <v>0</v>
      </c>
    </row>
    <row r="198" spans="2:7" ht="24">
      <c r="B198" s="188"/>
      <c r="C198" s="1477" t="s">
        <v>1944</v>
      </c>
      <c r="D198" s="140" t="s">
        <v>60</v>
      </c>
      <c r="E198" s="719">
        <v>1</v>
      </c>
      <c r="F198" s="1092">
        <v>0</v>
      </c>
      <c r="G198" s="1093">
        <f t="shared" si="12"/>
        <v>0</v>
      </c>
    </row>
    <row r="199" spans="2:7">
      <c r="B199" s="258" t="s">
        <v>914</v>
      </c>
      <c r="C199" s="259" t="s">
        <v>1385</v>
      </c>
      <c r="D199" s="260"/>
      <c r="E199" s="261"/>
      <c r="F199" s="262"/>
      <c r="G199" s="263">
        <f>SUM(G107:G198)</f>
        <v>0</v>
      </c>
    </row>
  </sheetData>
  <mergeCells count="12">
    <mergeCell ref="B66:G66"/>
    <mergeCell ref="C6:G6"/>
    <mergeCell ref="B42:G42"/>
    <mergeCell ref="B103:G103"/>
    <mergeCell ref="B104:G104"/>
    <mergeCell ref="B105:G105"/>
    <mergeCell ref="B67:G67"/>
    <mergeCell ref="B68:G68"/>
    <mergeCell ref="B99:G99"/>
    <mergeCell ref="B100:G100"/>
    <mergeCell ref="B101:G101"/>
    <mergeCell ref="B102:G102"/>
  </mergeCells>
  <pageMargins left="0.7" right="0.7" top="0.75" bottom="0.75" header="0.3" footer="0.3"/>
  <pageSetup paperSize="9" scale="80" orientation="portrait" horizontalDpi="4294967295" verticalDpi="4294967295" r:id="rId1"/>
  <headerFooter alignWithMargins="0">
    <oddFooter>&amp;C&amp;8&amp;P/&amp;N</oddFooter>
  </headerFooter>
  <rowBreaks count="2" manualBreakCount="2">
    <brk id="18" max="16383" man="1"/>
    <brk id="5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8775-4A7A-4554-B8BB-4585CCF31C78}">
  <sheetPr>
    <tabColor rgb="FFFFFF00"/>
  </sheetPr>
  <dimension ref="A2:L128"/>
  <sheetViews>
    <sheetView showZeros="0" topLeftCell="A13" zoomScale="110" zoomScaleNormal="110" workbookViewId="0">
      <selection activeCell="F27" sqref="F27"/>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1934</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47</v>
      </c>
      <c r="C15" s="1404" t="s">
        <v>48</v>
      </c>
      <c r="D15" s="1405"/>
      <c r="E15" s="1406"/>
      <c r="F15" s="1407"/>
      <c r="G15" s="1408">
        <f>G42</f>
        <v>0</v>
      </c>
      <c r="H15" s="1409"/>
    </row>
    <row r="16" spans="1:12" s="339" customFormat="1" ht="18.75" customHeight="1">
      <c r="B16" s="1403" t="s">
        <v>914</v>
      </c>
      <c r="C16" s="1404" t="s">
        <v>916</v>
      </c>
      <c r="D16" s="1405"/>
      <c r="E16" s="1406"/>
      <c r="F16" s="1428"/>
      <c r="G16" s="1408">
        <f>G128</f>
        <v>0</v>
      </c>
      <c r="H16" s="1409"/>
    </row>
    <row r="17" spans="1:8" s="339" customFormat="1" ht="18.75" customHeight="1">
      <c r="B17" s="1410"/>
      <c r="C17" s="1411" t="s">
        <v>49</v>
      </c>
      <c r="D17" s="1412"/>
      <c r="E17" s="1413"/>
      <c r="F17" s="1414"/>
      <c r="G17" s="1415">
        <f>SUM(G15:G16)</f>
        <v>0</v>
      </c>
      <c r="H17" s="1409"/>
    </row>
    <row r="18" spans="1:8">
      <c r="B18" s="61"/>
      <c r="C18" s="62"/>
      <c r="D18" s="63"/>
      <c r="E18" s="1416"/>
      <c r="F18" s="1417"/>
    </row>
    <row r="19" spans="1:8" ht="24">
      <c r="B19" s="119" t="s">
        <v>41</v>
      </c>
      <c r="C19" s="120" t="s">
        <v>51</v>
      </c>
      <c r="D19" s="120" t="s">
        <v>52</v>
      </c>
      <c r="E19" s="122" t="s">
        <v>53</v>
      </c>
      <c r="F19" s="123" t="s">
        <v>54</v>
      </c>
      <c r="G19" s="124" t="s">
        <v>55</v>
      </c>
    </row>
    <row r="20" spans="1:8">
      <c r="B20" s="125"/>
      <c r="C20" s="126"/>
      <c r="D20" s="140"/>
      <c r="E20" s="719"/>
      <c r="F20" s="1107"/>
      <c r="G20" s="731"/>
    </row>
    <row r="21" spans="1:8" s="138" customFormat="1" ht="20.25">
      <c r="B21" s="186" t="s">
        <v>47</v>
      </c>
      <c r="C21" s="187" t="s">
        <v>102</v>
      </c>
      <c r="D21" s="165"/>
      <c r="E21" s="134"/>
      <c r="F21" s="135"/>
      <c r="G21" s="136"/>
      <c r="H21" s="946"/>
    </row>
    <row r="22" spans="1:8" s="14" customFormat="1" ht="18" customHeight="1">
      <c r="A22" s="9"/>
      <c r="B22" s="10" t="s">
        <v>2</v>
      </c>
      <c r="C22" s="11"/>
      <c r="D22" s="12"/>
      <c r="E22" s="12"/>
      <c r="F22" s="12"/>
      <c r="G22" s="13"/>
    </row>
    <row r="23" spans="1:8" s="14" customFormat="1" ht="18" customHeight="1">
      <c r="A23" s="15"/>
      <c r="B23" s="16" t="s">
        <v>3</v>
      </c>
      <c r="C23" s="17"/>
      <c r="D23" s="18"/>
      <c r="E23" s="19"/>
      <c r="F23" s="19"/>
      <c r="G23" s="18"/>
    </row>
    <row r="24" spans="1:8" s="14" customFormat="1" ht="18" customHeight="1">
      <c r="A24" s="9"/>
      <c r="B24" s="10" t="s">
        <v>4</v>
      </c>
      <c r="C24" s="11"/>
      <c r="D24" s="12"/>
      <c r="E24" s="12"/>
      <c r="F24" s="12"/>
      <c r="G24" s="13"/>
    </row>
    <row r="25" spans="1:8" s="14" customFormat="1" ht="18" customHeight="1">
      <c r="A25" s="15"/>
      <c r="B25" s="16" t="s">
        <v>5</v>
      </c>
      <c r="C25" s="17"/>
      <c r="D25" s="19"/>
      <c r="E25" s="19"/>
      <c r="F25" s="19"/>
      <c r="G25" s="18"/>
    </row>
    <row r="26" spans="1:8" s="166" customFormat="1" ht="18.75" customHeight="1">
      <c r="B26" s="2399" t="s">
        <v>271</v>
      </c>
      <c r="C26" s="2400"/>
      <c r="D26" s="2400"/>
      <c r="E26" s="2400"/>
      <c r="F26" s="2400"/>
      <c r="G26" s="2401"/>
      <c r="H26" s="938"/>
    </row>
    <row r="27" spans="1:8" ht="41.25" customHeight="1">
      <c r="B27" s="199" t="s">
        <v>115</v>
      </c>
      <c r="C27" s="197" t="s">
        <v>116</v>
      </c>
      <c r="D27" s="145" t="s">
        <v>60</v>
      </c>
      <c r="E27" s="732">
        <v>1</v>
      </c>
      <c r="F27" s="1092">
        <v>0</v>
      </c>
      <c r="G27" s="1093">
        <f>E27*F27</f>
        <v>0</v>
      </c>
    </row>
    <row r="28" spans="1:8" ht="27" customHeight="1">
      <c r="B28" s="199" t="s">
        <v>117</v>
      </c>
      <c r="C28" s="197" t="s">
        <v>118</v>
      </c>
      <c r="D28" s="145" t="s">
        <v>60</v>
      </c>
      <c r="E28" s="732">
        <v>1</v>
      </c>
      <c r="F28" s="1092">
        <v>0</v>
      </c>
      <c r="G28" s="1093">
        <f>E28*F28</f>
        <v>0</v>
      </c>
    </row>
    <row r="29" spans="1:8" ht="39" customHeight="1">
      <c r="B29" s="199" t="s">
        <v>119</v>
      </c>
      <c r="C29" s="197" t="s">
        <v>120</v>
      </c>
      <c r="D29" s="145" t="s">
        <v>60</v>
      </c>
      <c r="E29" s="732">
        <v>1</v>
      </c>
      <c r="F29" s="1092">
        <v>0</v>
      </c>
      <c r="G29" s="1093">
        <f>E29*F29</f>
        <v>0</v>
      </c>
    </row>
    <row r="30" spans="1:8" ht="27.75" customHeight="1">
      <c r="B30" s="188">
        <v>3</v>
      </c>
      <c r="C30" s="200" t="s">
        <v>121</v>
      </c>
      <c r="D30" s="127"/>
      <c r="E30" s="719"/>
      <c r="F30" s="1107">
        <v>0</v>
      </c>
      <c r="G30" s="731"/>
    </row>
    <row r="31" spans="1:8" s="217" customFormat="1" ht="15" customHeight="1">
      <c r="B31" s="201" t="s">
        <v>1916</v>
      </c>
      <c r="C31" s="1462" t="s">
        <v>1923</v>
      </c>
      <c r="D31" s="1463"/>
      <c r="E31" s="1464"/>
      <c r="F31" s="1465"/>
      <c r="G31" s="1466"/>
      <c r="H31" s="938"/>
    </row>
    <row r="32" spans="1:8" s="217" customFormat="1" ht="334.5" customHeight="1">
      <c r="B32" s="218"/>
      <c r="C32" s="1467" t="s">
        <v>1935</v>
      </c>
      <c r="D32" s="1463" t="s">
        <v>66</v>
      </c>
      <c r="E32" s="1464">
        <v>1</v>
      </c>
      <c r="F32" s="1465"/>
      <c r="G32" s="1466"/>
      <c r="H32" s="938"/>
    </row>
    <row r="33" spans="2:8" s="217" customFormat="1" ht="399.75" customHeight="1">
      <c r="B33" s="218"/>
      <c r="C33" s="1468" t="s">
        <v>2042</v>
      </c>
      <c r="D33" s="1463" t="s">
        <v>1221</v>
      </c>
      <c r="E33" s="1464">
        <v>1</v>
      </c>
      <c r="F33" s="1465"/>
      <c r="G33" s="1466"/>
      <c r="H33" s="938"/>
    </row>
    <row r="34" spans="2:8" s="217" customFormat="1" ht="149.25" customHeight="1">
      <c r="B34" s="218"/>
      <c r="C34" s="1468" t="s">
        <v>2043</v>
      </c>
      <c r="D34" s="1463" t="s">
        <v>66</v>
      </c>
      <c r="E34" s="1464">
        <v>2</v>
      </c>
      <c r="F34" s="1465"/>
      <c r="G34" s="1466"/>
      <c r="H34" s="938"/>
    </row>
    <row r="35" spans="2:8" s="217" customFormat="1" ht="187.5" customHeight="1">
      <c r="B35" s="218"/>
      <c r="C35" s="1468" t="s">
        <v>1936</v>
      </c>
      <c r="D35" s="1463" t="s">
        <v>66</v>
      </c>
      <c r="E35" s="1464">
        <v>1</v>
      </c>
      <c r="F35" s="1465"/>
      <c r="G35" s="1466"/>
      <c r="H35" s="938"/>
    </row>
    <row r="36" spans="2:8" s="217" customFormat="1" ht="186.75" customHeight="1">
      <c r="B36" s="218"/>
      <c r="C36" s="1469" t="s">
        <v>1937</v>
      </c>
      <c r="D36" s="1463" t="s">
        <v>66</v>
      </c>
      <c r="E36" s="1464">
        <v>2</v>
      </c>
      <c r="F36" s="1465"/>
      <c r="G36" s="1466"/>
      <c r="H36" s="938"/>
    </row>
    <row r="37" spans="2:8" s="217" customFormat="1" ht="186.75" customHeight="1">
      <c r="B37" s="218"/>
      <c r="C37" s="1468" t="s">
        <v>1938</v>
      </c>
      <c r="D37" s="1463" t="s">
        <v>66</v>
      </c>
      <c r="E37" s="1464">
        <v>1</v>
      </c>
      <c r="F37" s="1465"/>
      <c r="G37" s="1466"/>
      <c r="H37" s="938"/>
    </row>
    <row r="38" spans="2:8" s="217" customFormat="1" ht="140.25" customHeight="1">
      <c r="B38" s="218"/>
      <c r="C38" s="1469" t="s">
        <v>1939</v>
      </c>
      <c r="D38" s="1463" t="s">
        <v>66</v>
      </c>
      <c r="E38" s="1464">
        <v>1</v>
      </c>
      <c r="F38" s="1465"/>
      <c r="G38" s="1466"/>
      <c r="H38" s="938"/>
    </row>
    <row r="39" spans="2:8" s="217" customFormat="1" ht="303" customHeight="1">
      <c r="B39" s="218"/>
      <c r="C39" s="1467" t="s">
        <v>1940</v>
      </c>
      <c r="D39" s="1463" t="s">
        <v>66</v>
      </c>
      <c r="E39" s="1464">
        <v>1</v>
      </c>
      <c r="F39" s="1465"/>
      <c r="G39" s="1466"/>
      <c r="H39" s="938"/>
    </row>
    <row r="40" spans="2:8" s="217" customFormat="1" ht="15" customHeight="1">
      <c r="B40" s="218"/>
      <c r="C40" s="1469" t="s">
        <v>1929</v>
      </c>
      <c r="D40" s="1463" t="s">
        <v>66</v>
      </c>
      <c r="E40" s="1464">
        <v>1</v>
      </c>
      <c r="F40" s="1465"/>
      <c r="G40" s="1466"/>
      <c r="H40" s="938"/>
    </row>
    <row r="41" spans="2:8" s="217" customFormat="1" ht="15" customHeight="1">
      <c r="B41" s="218"/>
      <c r="C41" s="2245" t="s">
        <v>2260</v>
      </c>
      <c r="D41" s="2246" t="s">
        <v>2259</v>
      </c>
      <c r="E41" s="2247">
        <v>1</v>
      </c>
      <c r="F41" s="2248">
        <v>0</v>
      </c>
      <c r="G41" s="2249">
        <f t="shared" ref="G41" si="0">E41*F41</f>
        <v>0</v>
      </c>
      <c r="H41" s="938"/>
    </row>
    <row r="42" spans="2:8" s="179" customFormat="1" ht="20.25" customHeight="1">
      <c r="B42" s="258" t="s">
        <v>47</v>
      </c>
      <c r="C42" s="259" t="s">
        <v>175</v>
      </c>
      <c r="D42" s="260"/>
      <c r="E42" s="261"/>
      <c r="F42" s="262"/>
      <c r="G42" s="263">
        <f>SUM(G27:G40)</f>
        <v>0</v>
      </c>
      <c r="H42" s="938"/>
    </row>
    <row r="43" spans="2:8">
      <c r="B43" s="125"/>
      <c r="C43" s="126"/>
      <c r="D43" s="140"/>
      <c r="E43" s="719"/>
      <c r="F43" s="1107"/>
      <c r="G43" s="731"/>
    </row>
    <row r="44" spans="2:8" ht="24">
      <c r="B44" s="119" t="s">
        <v>41</v>
      </c>
      <c r="C44" s="120" t="s">
        <v>51</v>
      </c>
      <c r="D44" s="120" t="s">
        <v>52</v>
      </c>
      <c r="E44" s="122" t="s">
        <v>53</v>
      </c>
      <c r="F44" s="123" t="s">
        <v>54</v>
      </c>
      <c r="G44" s="124" t="s">
        <v>55</v>
      </c>
    </row>
    <row r="45" spans="2:8">
      <c r="B45" s="157"/>
      <c r="C45" s="158"/>
      <c r="D45" s="158"/>
      <c r="E45" s="160"/>
      <c r="F45" s="161"/>
      <c r="G45" s="162"/>
    </row>
    <row r="46" spans="2:8" ht="20.25">
      <c r="B46" s="186" t="s">
        <v>914</v>
      </c>
      <c r="C46" s="187" t="s">
        <v>916</v>
      </c>
      <c r="D46" s="165"/>
      <c r="E46" s="134"/>
      <c r="F46" s="135"/>
      <c r="G46" s="136"/>
    </row>
    <row r="47" spans="2:8">
      <c r="B47" s="2396" t="s">
        <v>551</v>
      </c>
      <c r="C47" s="2397"/>
      <c r="D47" s="2397"/>
      <c r="E47" s="2397"/>
      <c r="F47" s="2397"/>
      <c r="G47" s="2398"/>
    </row>
    <row r="48" spans="2:8" ht="25.5" customHeight="1">
      <c r="B48" s="2396" t="s">
        <v>552</v>
      </c>
      <c r="C48" s="2397"/>
      <c r="D48" s="2397"/>
      <c r="E48" s="2397"/>
      <c r="F48" s="2397"/>
      <c r="G48" s="2398"/>
    </row>
    <row r="49" spans="2:7">
      <c r="B49" s="2396" t="s">
        <v>553</v>
      </c>
      <c r="C49" s="2397"/>
      <c r="D49" s="2397"/>
      <c r="E49" s="2397"/>
      <c r="F49" s="2397"/>
      <c r="G49" s="2398"/>
    </row>
    <row r="50" spans="2:7" ht="25.5" customHeight="1">
      <c r="B50" s="2396" t="s">
        <v>554</v>
      </c>
      <c r="C50" s="2397"/>
      <c r="D50" s="2397"/>
      <c r="E50" s="2397"/>
      <c r="F50" s="2397"/>
      <c r="G50" s="2398"/>
    </row>
    <row r="51" spans="2:7" ht="25.5" customHeight="1">
      <c r="B51" s="2396" t="s">
        <v>555</v>
      </c>
      <c r="C51" s="2397"/>
      <c r="D51" s="2397"/>
      <c r="E51" s="2397"/>
      <c r="F51" s="2397"/>
      <c r="G51" s="2398"/>
    </row>
    <row r="52" spans="2:7" ht="24.75" customHeight="1">
      <c r="B52" s="2396" t="s">
        <v>556</v>
      </c>
      <c r="C52" s="2397"/>
      <c r="D52" s="2397"/>
      <c r="E52" s="2397"/>
      <c r="F52" s="2397"/>
      <c r="G52" s="2398"/>
    </row>
    <row r="53" spans="2:7">
      <c r="B53" s="2396" t="s">
        <v>557</v>
      </c>
      <c r="C53" s="2397"/>
      <c r="D53" s="2397"/>
      <c r="E53" s="2397"/>
      <c r="F53" s="2397"/>
      <c r="G53" s="2398"/>
    </row>
    <row r="54" spans="2:7">
      <c r="B54" s="188">
        <v>1</v>
      </c>
      <c r="C54" s="159" t="s">
        <v>1218</v>
      </c>
      <c r="D54" s="140"/>
      <c r="E54" s="719"/>
      <c r="F54" s="1092"/>
      <c r="G54" s="1093"/>
    </row>
    <row r="55" spans="2:7" ht="137.25" customHeight="1">
      <c r="B55" s="125"/>
      <c r="C55" s="126" t="s">
        <v>1816</v>
      </c>
      <c r="D55" s="140" t="s">
        <v>60</v>
      </c>
      <c r="E55" s="719">
        <v>1</v>
      </c>
      <c r="F55" s="1092">
        <v>0</v>
      </c>
      <c r="G55" s="1093">
        <f t="shared" ref="G55:G127" si="1">E55*F55</f>
        <v>0</v>
      </c>
    </row>
    <row r="56" spans="2:7" ht="72">
      <c r="B56" s="125"/>
      <c r="C56" s="126" t="s">
        <v>1817</v>
      </c>
      <c r="D56" s="140" t="s">
        <v>252</v>
      </c>
      <c r="E56" s="719">
        <v>1</v>
      </c>
      <c r="F56" s="1092">
        <v>0</v>
      </c>
      <c r="G56" s="1093">
        <f t="shared" si="1"/>
        <v>0</v>
      </c>
    </row>
    <row r="57" spans="2:7" ht="72">
      <c r="B57" s="125"/>
      <c r="C57" s="126" t="s">
        <v>1818</v>
      </c>
      <c r="D57" s="140" t="s">
        <v>252</v>
      </c>
      <c r="E57" s="719">
        <v>1</v>
      </c>
      <c r="F57" s="1092">
        <v>0</v>
      </c>
      <c r="G57" s="1093">
        <f t="shared" si="1"/>
        <v>0</v>
      </c>
    </row>
    <row r="58" spans="2:7" ht="72">
      <c r="B58" s="125"/>
      <c r="C58" s="126" t="s">
        <v>1819</v>
      </c>
      <c r="D58" s="140" t="s">
        <v>252</v>
      </c>
      <c r="E58" s="719">
        <v>2</v>
      </c>
      <c r="F58" s="1092">
        <v>0</v>
      </c>
      <c r="G58" s="1093">
        <f t="shared" si="1"/>
        <v>0</v>
      </c>
    </row>
    <row r="59" spans="2:7" ht="72">
      <c r="B59" s="125"/>
      <c r="C59" s="126" t="s">
        <v>1820</v>
      </c>
      <c r="D59" s="140" t="s">
        <v>252</v>
      </c>
      <c r="E59" s="719">
        <v>1</v>
      </c>
      <c r="F59" s="1092">
        <v>0</v>
      </c>
      <c r="G59" s="1093">
        <f t="shared" si="1"/>
        <v>0</v>
      </c>
    </row>
    <row r="60" spans="2:7" ht="60">
      <c r="B60" s="125"/>
      <c r="C60" s="126" t="s">
        <v>1821</v>
      </c>
      <c r="D60" s="140" t="s">
        <v>252</v>
      </c>
      <c r="E60" s="719">
        <v>1</v>
      </c>
      <c r="F60" s="1092">
        <v>0</v>
      </c>
      <c r="G60" s="1093">
        <f t="shared" si="1"/>
        <v>0</v>
      </c>
    </row>
    <row r="61" spans="2:7" ht="84">
      <c r="B61" s="125"/>
      <c r="C61" s="716" t="s">
        <v>1822</v>
      </c>
      <c r="D61" s="140" t="s">
        <v>60</v>
      </c>
      <c r="E61" s="719">
        <v>1</v>
      </c>
      <c r="F61" s="1092">
        <v>0</v>
      </c>
      <c r="G61" s="1093">
        <f t="shared" si="1"/>
        <v>0</v>
      </c>
    </row>
    <row r="62" spans="2:7" ht="60">
      <c r="B62" s="125"/>
      <c r="C62" s="126" t="s">
        <v>1823</v>
      </c>
      <c r="D62" s="140" t="s">
        <v>252</v>
      </c>
      <c r="E62" s="719">
        <v>1</v>
      </c>
      <c r="F62" s="1092">
        <v>0</v>
      </c>
      <c r="G62" s="1093">
        <f t="shared" si="1"/>
        <v>0</v>
      </c>
    </row>
    <row r="63" spans="2:7" ht="120">
      <c r="B63" s="125"/>
      <c r="C63" s="126" t="s">
        <v>635</v>
      </c>
      <c r="D63" s="140" t="s">
        <v>252</v>
      </c>
      <c r="E63" s="719">
        <v>1</v>
      </c>
      <c r="F63" s="1092">
        <v>0</v>
      </c>
      <c r="G63" s="1093">
        <f t="shared" si="1"/>
        <v>0</v>
      </c>
    </row>
    <row r="64" spans="2:7" ht="36">
      <c r="B64" s="125"/>
      <c r="C64" s="126" t="s">
        <v>1824</v>
      </c>
      <c r="D64" s="140" t="s">
        <v>252</v>
      </c>
      <c r="E64" s="719">
        <v>40</v>
      </c>
      <c r="F64" s="1092">
        <v>0</v>
      </c>
      <c r="G64" s="1093">
        <f t="shared" si="1"/>
        <v>0</v>
      </c>
    </row>
    <row r="65" spans="2:7" ht="36">
      <c r="B65" s="125"/>
      <c r="C65" s="126" t="s">
        <v>1825</v>
      </c>
      <c r="D65" s="140" t="s">
        <v>252</v>
      </c>
      <c r="E65" s="719">
        <v>10</v>
      </c>
      <c r="F65" s="1092">
        <v>0</v>
      </c>
      <c r="G65" s="1093">
        <f t="shared" si="1"/>
        <v>0</v>
      </c>
    </row>
    <row r="66" spans="2:7" ht="36">
      <c r="B66" s="125"/>
      <c r="C66" s="126" t="s">
        <v>1826</v>
      </c>
      <c r="D66" s="140" t="s">
        <v>252</v>
      </c>
      <c r="E66" s="719">
        <v>2</v>
      </c>
      <c r="F66" s="1092">
        <v>0</v>
      </c>
      <c r="G66" s="1093">
        <f t="shared" si="1"/>
        <v>0</v>
      </c>
    </row>
    <row r="67" spans="2:7" ht="36">
      <c r="B67" s="125"/>
      <c r="C67" s="126" t="s">
        <v>1827</v>
      </c>
      <c r="D67" s="140" t="s">
        <v>252</v>
      </c>
      <c r="E67" s="719">
        <v>12</v>
      </c>
      <c r="F67" s="1092">
        <v>0</v>
      </c>
      <c r="G67" s="1093">
        <f t="shared" si="1"/>
        <v>0</v>
      </c>
    </row>
    <row r="68" spans="2:7" ht="36">
      <c r="B68" s="125"/>
      <c r="C68" s="126" t="s">
        <v>1828</v>
      </c>
      <c r="D68" s="140" t="s">
        <v>252</v>
      </c>
      <c r="E68" s="719">
        <v>1</v>
      </c>
      <c r="F68" s="1092">
        <v>0</v>
      </c>
      <c r="G68" s="1093">
        <f t="shared" si="1"/>
        <v>0</v>
      </c>
    </row>
    <row r="69" spans="2:7" ht="48">
      <c r="B69" s="125"/>
      <c r="C69" s="126" t="s">
        <v>1829</v>
      </c>
      <c r="D69" s="140" t="s">
        <v>252</v>
      </c>
      <c r="E69" s="719">
        <v>1</v>
      </c>
      <c r="F69" s="1092">
        <v>0</v>
      </c>
      <c r="G69" s="1093">
        <f t="shared" si="1"/>
        <v>0</v>
      </c>
    </row>
    <row r="70" spans="2:7" ht="60">
      <c r="B70" s="125"/>
      <c r="C70" s="126" t="s">
        <v>1830</v>
      </c>
      <c r="D70" s="140" t="s">
        <v>252</v>
      </c>
      <c r="E70" s="719">
        <v>3</v>
      </c>
      <c r="F70" s="1092">
        <v>0</v>
      </c>
      <c r="G70" s="1093">
        <f t="shared" si="1"/>
        <v>0</v>
      </c>
    </row>
    <row r="71" spans="2:7" ht="60">
      <c r="B71" s="125"/>
      <c r="C71" s="126" t="s">
        <v>1831</v>
      </c>
      <c r="D71" s="140" t="s">
        <v>252</v>
      </c>
      <c r="E71" s="719">
        <v>3</v>
      </c>
      <c r="F71" s="1092">
        <v>0</v>
      </c>
      <c r="G71" s="1093">
        <f t="shared" si="1"/>
        <v>0</v>
      </c>
    </row>
    <row r="72" spans="2:7" ht="60">
      <c r="B72" s="125"/>
      <c r="C72" s="126" t="s">
        <v>1832</v>
      </c>
      <c r="D72" s="140" t="s">
        <v>252</v>
      </c>
      <c r="E72" s="719">
        <v>3</v>
      </c>
      <c r="F72" s="1092">
        <v>0</v>
      </c>
      <c r="G72" s="1093">
        <f t="shared" si="1"/>
        <v>0</v>
      </c>
    </row>
    <row r="73" spans="2:7" ht="48">
      <c r="B73" s="125"/>
      <c r="C73" s="126" t="s">
        <v>1833</v>
      </c>
      <c r="D73" s="140" t="s">
        <v>60</v>
      </c>
      <c r="E73" s="719">
        <v>1</v>
      </c>
      <c r="F73" s="1092">
        <v>0</v>
      </c>
      <c r="G73" s="1093">
        <f t="shared" si="1"/>
        <v>0</v>
      </c>
    </row>
    <row r="74" spans="2:7" ht="72">
      <c r="B74" s="125"/>
      <c r="C74" s="126" t="s">
        <v>1834</v>
      </c>
      <c r="D74" s="140" t="s">
        <v>252</v>
      </c>
      <c r="E74" s="719">
        <v>1</v>
      </c>
      <c r="F74" s="1092">
        <v>0</v>
      </c>
      <c r="G74" s="1093">
        <f t="shared" si="1"/>
        <v>0</v>
      </c>
    </row>
    <row r="75" spans="2:7" ht="84">
      <c r="B75" s="125"/>
      <c r="C75" s="126" t="s">
        <v>1835</v>
      </c>
      <c r="D75" s="140" t="s">
        <v>252</v>
      </c>
      <c r="E75" s="719">
        <v>1</v>
      </c>
      <c r="F75" s="1092">
        <v>0</v>
      </c>
      <c r="G75" s="1093">
        <f t="shared" si="1"/>
        <v>0</v>
      </c>
    </row>
    <row r="76" spans="2:7">
      <c r="B76" s="188">
        <v>2</v>
      </c>
      <c r="C76" s="159" t="s">
        <v>1294</v>
      </c>
      <c r="D76" s="140"/>
      <c r="E76" s="719"/>
      <c r="F76" s="1552"/>
      <c r="G76" s="1093"/>
    </row>
    <row r="77" spans="2:7" ht="349.5" customHeight="1">
      <c r="B77" s="188"/>
      <c r="C77" s="2263"/>
      <c r="D77" s="2264"/>
      <c r="E77" s="2265"/>
      <c r="F77" s="2268"/>
      <c r="G77" s="2254"/>
    </row>
    <row r="78" spans="2:7" ht="18" customHeight="1">
      <c r="B78" s="125"/>
      <c r="C78" s="2269" t="s">
        <v>2262</v>
      </c>
      <c r="D78" s="2264" t="s">
        <v>60</v>
      </c>
      <c r="E78" s="2265">
        <v>1</v>
      </c>
      <c r="F78" s="2266">
        <v>0</v>
      </c>
      <c r="G78" s="2254">
        <f t="shared" si="1"/>
        <v>0</v>
      </c>
    </row>
    <row r="79" spans="2:7" ht="60">
      <c r="B79" s="125"/>
      <c r="C79" s="126" t="s">
        <v>1837</v>
      </c>
      <c r="D79" s="140" t="s">
        <v>252</v>
      </c>
      <c r="E79" s="719">
        <v>1</v>
      </c>
      <c r="F79" s="1092">
        <v>0</v>
      </c>
      <c r="G79" s="1093">
        <f t="shared" si="1"/>
        <v>0</v>
      </c>
    </row>
    <row r="80" spans="2:7" ht="48">
      <c r="B80" s="125"/>
      <c r="C80" s="126" t="s">
        <v>1941</v>
      </c>
      <c r="D80" s="140" t="s">
        <v>252</v>
      </c>
      <c r="E80" s="719">
        <v>1</v>
      </c>
      <c r="F80" s="1092">
        <v>0</v>
      </c>
      <c r="G80" s="1093">
        <f t="shared" si="1"/>
        <v>0</v>
      </c>
    </row>
    <row r="81" spans="2:7" ht="48">
      <c r="B81" s="1475"/>
      <c r="C81" s="716" t="s">
        <v>1836</v>
      </c>
      <c r="D81" s="140" t="s">
        <v>252</v>
      </c>
      <c r="E81" s="719">
        <v>1</v>
      </c>
      <c r="F81" s="1092">
        <v>0</v>
      </c>
      <c r="G81" s="1093">
        <f t="shared" si="1"/>
        <v>0</v>
      </c>
    </row>
    <row r="82" spans="2:7" ht="84">
      <c r="B82" s="1475"/>
      <c r="C82" s="716" t="s">
        <v>1942</v>
      </c>
      <c r="D82" s="140" t="s">
        <v>252</v>
      </c>
      <c r="E82" s="719">
        <v>1</v>
      </c>
      <c r="F82" s="1092">
        <v>0</v>
      </c>
      <c r="G82" s="1093">
        <f t="shared" si="1"/>
        <v>0</v>
      </c>
    </row>
    <row r="83" spans="2:7" ht="228">
      <c r="B83" s="188"/>
      <c r="C83" s="716" t="s">
        <v>654</v>
      </c>
      <c r="D83" s="140" t="s">
        <v>252</v>
      </c>
      <c r="E83" s="719">
        <v>1</v>
      </c>
      <c r="F83" s="1092">
        <v>0</v>
      </c>
      <c r="G83" s="1093">
        <f t="shared" si="1"/>
        <v>0</v>
      </c>
    </row>
    <row r="84" spans="2:7" ht="72">
      <c r="B84" s="188"/>
      <c r="C84" s="716" t="s">
        <v>1868</v>
      </c>
      <c r="D84" s="140" t="s">
        <v>60</v>
      </c>
      <c r="E84" s="719">
        <v>1</v>
      </c>
      <c r="F84" s="1092">
        <v>0</v>
      </c>
      <c r="G84" s="1093">
        <f t="shared" si="1"/>
        <v>0</v>
      </c>
    </row>
    <row r="85" spans="2:7" ht="48">
      <c r="B85" s="125"/>
      <c r="C85" s="126" t="s">
        <v>1838</v>
      </c>
      <c r="D85" s="140" t="s">
        <v>252</v>
      </c>
      <c r="E85" s="719">
        <v>1</v>
      </c>
      <c r="F85" s="1092">
        <v>0</v>
      </c>
      <c r="G85" s="1093">
        <f t="shared" si="1"/>
        <v>0</v>
      </c>
    </row>
    <row r="86" spans="2:7" ht="312">
      <c r="B86" s="125"/>
      <c r="C86" s="126" t="s">
        <v>1839</v>
      </c>
      <c r="D86" s="140" t="s">
        <v>60</v>
      </c>
      <c r="E86" s="719">
        <v>2</v>
      </c>
      <c r="F86" s="1092">
        <v>0</v>
      </c>
      <c r="G86" s="1093">
        <f t="shared" si="1"/>
        <v>0</v>
      </c>
    </row>
    <row r="87" spans="2:7">
      <c r="B87" s="188">
        <v>3</v>
      </c>
      <c r="C87" s="159" t="s">
        <v>1840</v>
      </c>
      <c r="D87" s="140"/>
      <c r="E87" s="719"/>
      <c r="F87" s="1092"/>
      <c r="G87" s="1093"/>
    </row>
    <row r="88" spans="2:7" ht="312">
      <c r="B88" s="125"/>
      <c r="C88" s="126" t="s">
        <v>1869</v>
      </c>
      <c r="D88" s="140" t="s">
        <v>60</v>
      </c>
      <c r="E88" s="719">
        <v>1</v>
      </c>
      <c r="F88" s="1092">
        <v>0</v>
      </c>
      <c r="G88" s="1093">
        <f t="shared" si="1"/>
        <v>0</v>
      </c>
    </row>
    <row r="89" spans="2:7" ht="72">
      <c r="B89" s="125"/>
      <c r="C89" s="126" t="s">
        <v>1842</v>
      </c>
      <c r="D89" s="140" t="s">
        <v>60</v>
      </c>
      <c r="E89" s="719">
        <v>1</v>
      </c>
      <c r="F89" s="1092">
        <v>0</v>
      </c>
      <c r="G89" s="1093">
        <f t="shared" si="1"/>
        <v>0</v>
      </c>
    </row>
    <row r="90" spans="2:7" ht="108">
      <c r="B90" s="125"/>
      <c r="C90" s="126" t="s">
        <v>1843</v>
      </c>
      <c r="D90" s="140" t="s">
        <v>60</v>
      </c>
      <c r="E90" s="719">
        <v>1</v>
      </c>
      <c r="F90" s="1092">
        <v>0</v>
      </c>
      <c r="G90" s="1093">
        <f t="shared" si="1"/>
        <v>0</v>
      </c>
    </row>
    <row r="91" spans="2:7">
      <c r="B91" s="188">
        <v>4</v>
      </c>
      <c r="C91" s="159" t="s">
        <v>1844</v>
      </c>
      <c r="D91" s="140"/>
      <c r="E91" s="719"/>
      <c r="F91" s="1552"/>
      <c r="G91" s="1093"/>
    </row>
    <row r="92" spans="2:7" ht="72">
      <c r="B92" s="188"/>
      <c r="C92" s="716" t="s">
        <v>1845</v>
      </c>
      <c r="D92" s="140" t="s">
        <v>60</v>
      </c>
      <c r="E92" s="719">
        <v>3</v>
      </c>
      <c r="F92" s="1552">
        <v>0</v>
      </c>
      <c r="G92" s="1093">
        <f t="shared" si="1"/>
        <v>0</v>
      </c>
    </row>
    <row r="93" spans="2:7" ht="60">
      <c r="B93" s="125"/>
      <c r="C93" s="126" t="s">
        <v>1846</v>
      </c>
      <c r="D93" s="140" t="s">
        <v>60</v>
      </c>
      <c r="E93" s="719">
        <v>2</v>
      </c>
      <c r="F93" s="1552">
        <v>0</v>
      </c>
      <c r="G93" s="1093">
        <f t="shared" si="1"/>
        <v>0</v>
      </c>
    </row>
    <row r="94" spans="2:7" ht="72">
      <c r="B94" s="188"/>
      <c r="C94" s="716" t="s">
        <v>1932</v>
      </c>
      <c r="D94" s="140" t="s">
        <v>60</v>
      </c>
      <c r="E94" s="719">
        <v>2</v>
      </c>
      <c r="F94" s="1552">
        <v>0</v>
      </c>
      <c r="G94" s="1093">
        <f t="shared" si="1"/>
        <v>0</v>
      </c>
    </row>
    <row r="95" spans="2:7" ht="84">
      <c r="B95" s="188"/>
      <c r="C95" s="716" t="s">
        <v>1214</v>
      </c>
      <c r="D95" s="140" t="s">
        <v>252</v>
      </c>
      <c r="E95" s="719">
        <v>3</v>
      </c>
      <c r="F95" s="1552">
        <v>0</v>
      </c>
      <c r="G95" s="1093">
        <f t="shared" si="1"/>
        <v>0</v>
      </c>
    </row>
    <row r="96" spans="2:7" ht="36">
      <c r="B96" s="125"/>
      <c r="C96" s="126" t="s">
        <v>1847</v>
      </c>
      <c r="D96" s="140" t="s">
        <v>252</v>
      </c>
      <c r="E96" s="719">
        <v>1</v>
      </c>
      <c r="F96" s="1552">
        <v>0</v>
      </c>
      <c r="G96" s="1093">
        <f t="shared" si="1"/>
        <v>0</v>
      </c>
    </row>
    <row r="97" spans="2:8" ht="132">
      <c r="B97" s="188"/>
      <c r="C97" s="716" t="s">
        <v>1190</v>
      </c>
      <c r="D97" s="140" t="s">
        <v>252</v>
      </c>
      <c r="E97" s="719">
        <v>1</v>
      </c>
      <c r="F97" s="1552">
        <v>0</v>
      </c>
      <c r="G97" s="1093">
        <f t="shared" si="1"/>
        <v>0</v>
      </c>
    </row>
    <row r="98" spans="2:8" ht="120">
      <c r="B98" s="125"/>
      <c r="C98" s="126" t="s">
        <v>1848</v>
      </c>
      <c r="D98" s="140" t="s">
        <v>252</v>
      </c>
      <c r="E98" s="719">
        <v>1</v>
      </c>
      <c r="F98" s="1552">
        <v>0</v>
      </c>
      <c r="G98" s="1093">
        <f t="shared" si="1"/>
        <v>0</v>
      </c>
    </row>
    <row r="99" spans="2:8">
      <c r="B99" s="188">
        <v>5</v>
      </c>
      <c r="C99" s="159" t="s">
        <v>1849</v>
      </c>
      <c r="D99" s="140"/>
      <c r="E99" s="719"/>
      <c r="F99" s="1093"/>
      <c r="G99" s="1093"/>
    </row>
    <row r="100" spans="2:8">
      <c r="B100" s="188"/>
      <c r="C100" s="716" t="s">
        <v>1870</v>
      </c>
      <c r="D100" s="140" t="s">
        <v>397</v>
      </c>
      <c r="E100" s="719">
        <v>20</v>
      </c>
      <c r="F100" s="1552">
        <v>0</v>
      </c>
      <c r="G100" s="1093">
        <f t="shared" ref="G100:G108" si="2">E100*F100</f>
        <v>0</v>
      </c>
    </row>
    <row r="101" spans="2:8">
      <c r="B101" s="188"/>
      <c r="C101" s="716" t="s">
        <v>1850</v>
      </c>
      <c r="D101" s="140" t="s">
        <v>397</v>
      </c>
      <c r="E101" s="719">
        <v>30</v>
      </c>
      <c r="F101" s="1552">
        <v>0</v>
      </c>
      <c r="G101" s="1093">
        <f t="shared" si="2"/>
        <v>0</v>
      </c>
    </row>
    <row r="102" spans="2:8">
      <c r="B102" s="188"/>
      <c r="C102" s="716" t="s">
        <v>1851</v>
      </c>
      <c r="D102" s="140" t="s">
        <v>397</v>
      </c>
      <c r="E102" s="719">
        <v>100</v>
      </c>
      <c r="F102" s="1552">
        <v>0</v>
      </c>
      <c r="G102" s="1093">
        <f t="shared" si="2"/>
        <v>0</v>
      </c>
    </row>
    <row r="103" spans="2:8">
      <c r="B103" s="188"/>
      <c r="C103" s="716" t="s">
        <v>1852</v>
      </c>
      <c r="D103" s="140" t="s">
        <v>397</v>
      </c>
      <c r="E103" s="719">
        <v>50</v>
      </c>
      <c r="F103" s="1552">
        <v>0</v>
      </c>
      <c r="G103" s="1093">
        <f t="shared" si="2"/>
        <v>0</v>
      </c>
    </row>
    <row r="104" spans="2:8">
      <c r="B104" s="188"/>
      <c r="C104" s="716" t="s">
        <v>1315</v>
      </c>
      <c r="D104" s="140" t="s">
        <v>397</v>
      </c>
      <c r="E104" s="719">
        <v>30</v>
      </c>
      <c r="F104" s="1552">
        <v>0</v>
      </c>
      <c r="G104" s="1093">
        <f t="shared" si="2"/>
        <v>0</v>
      </c>
    </row>
    <row r="105" spans="2:8">
      <c r="B105" s="188"/>
      <c r="C105" s="716" t="s">
        <v>1853</v>
      </c>
      <c r="D105" s="140" t="s">
        <v>252</v>
      </c>
      <c r="E105" s="719">
        <v>2</v>
      </c>
      <c r="F105" s="1552">
        <v>0</v>
      </c>
      <c r="G105" s="1093">
        <f t="shared" si="2"/>
        <v>0</v>
      </c>
    </row>
    <row r="106" spans="2:8">
      <c r="B106" s="188"/>
      <c r="C106" s="716" t="s">
        <v>1854</v>
      </c>
      <c r="D106" s="140" t="s">
        <v>397</v>
      </c>
      <c r="E106" s="719">
        <v>50</v>
      </c>
      <c r="F106" s="1552">
        <v>0</v>
      </c>
      <c r="G106" s="1093">
        <f t="shared" si="2"/>
        <v>0</v>
      </c>
    </row>
    <row r="107" spans="2:8">
      <c r="B107" s="188"/>
      <c r="C107" s="716" t="s">
        <v>1855</v>
      </c>
      <c r="D107" s="140" t="s">
        <v>397</v>
      </c>
      <c r="E107" s="719">
        <v>30</v>
      </c>
      <c r="F107" s="1552">
        <v>0</v>
      </c>
      <c r="G107" s="1093">
        <f t="shared" si="2"/>
        <v>0</v>
      </c>
    </row>
    <row r="108" spans="2:8">
      <c r="B108" s="125"/>
      <c r="C108" s="716" t="s">
        <v>1293</v>
      </c>
      <c r="D108" s="140" t="s">
        <v>60</v>
      </c>
      <c r="E108" s="719">
        <v>1</v>
      </c>
      <c r="F108" s="1552">
        <v>0</v>
      </c>
      <c r="G108" s="1093">
        <f t="shared" si="2"/>
        <v>0</v>
      </c>
    </row>
    <row r="109" spans="2:8" s="1425" customFormat="1">
      <c r="B109" s="1476">
        <v>6</v>
      </c>
      <c r="C109" s="159" t="s">
        <v>1856</v>
      </c>
      <c r="D109" s="1420"/>
      <c r="E109" s="1421"/>
      <c r="F109" s="1553"/>
      <c r="G109" s="1423"/>
      <c r="H109" s="938"/>
    </row>
    <row r="110" spans="2:8" s="1425" customFormat="1" ht="36">
      <c r="B110" s="1476"/>
      <c r="C110" s="716" t="s">
        <v>1345</v>
      </c>
      <c r="D110" s="140" t="s">
        <v>397</v>
      </c>
      <c r="E110" s="719">
        <v>20</v>
      </c>
      <c r="F110" s="1552">
        <v>0</v>
      </c>
      <c r="G110" s="1093">
        <f t="shared" ref="G110:G117" si="3">E110*F110</f>
        <v>0</v>
      </c>
      <c r="H110" s="938"/>
    </row>
    <row r="111" spans="2:8" s="1425" customFormat="1">
      <c r="B111" s="1476"/>
      <c r="C111" s="716" t="s">
        <v>1347</v>
      </c>
      <c r="D111" s="140" t="s">
        <v>397</v>
      </c>
      <c r="E111" s="719">
        <v>50</v>
      </c>
      <c r="F111" s="1552">
        <v>0</v>
      </c>
      <c r="G111" s="1093">
        <f t="shared" si="3"/>
        <v>0</v>
      </c>
      <c r="H111" s="938"/>
    </row>
    <row r="112" spans="2:8" s="1425" customFormat="1">
      <c r="B112" s="1476"/>
      <c r="C112" s="716" t="s">
        <v>1348</v>
      </c>
      <c r="D112" s="140" t="s">
        <v>397</v>
      </c>
      <c r="E112" s="719">
        <v>20</v>
      </c>
      <c r="F112" s="1552">
        <v>0</v>
      </c>
      <c r="G112" s="1093">
        <f t="shared" si="3"/>
        <v>0</v>
      </c>
      <c r="H112" s="938"/>
    </row>
    <row r="113" spans="2:8" s="1425" customFormat="1" ht="24">
      <c r="B113" s="1476"/>
      <c r="C113" s="716" t="s">
        <v>1353</v>
      </c>
      <c r="D113" s="140" t="s">
        <v>252</v>
      </c>
      <c r="E113" s="719">
        <v>2</v>
      </c>
      <c r="F113" s="1552">
        <v>0</v>
      </c>
      <c r="G113" s="1093">
        <f t="shared" si="3"/>
        <v>0</v>
      </c>
      <c r="H113" s="938"/>
    </row>
    <row r="114" spans="2:8" s="1425" customFormat="1">
      <c r="B114" s="1476"/>
      <c r="C114" s="716" t="s">
        <v>1871</v>
      </c>
      <c r="D114" s="140" t="s">
        <v>252</v>
      </c>
      <c r="E114" s="719">
        <v>1</v>
      </c>
      <c r="F114" s="1552">
        <v>0</v>
      </c>
      <c r="G114" s="1093">
        <f t="shared" si="3"/>
        <v>0</v>
      </c>
      <c r="H114" s="938"/>
    </row>
    <row r="115" spans="2:8" s="1425" customFormat="1">
      <c r="B115" s="1476"/>
      <c r="C115" s="716" t="s">
        <v>1857</v>
      </c>
      <c r="D115" s="140" t="s">
        <v>252</v>
      </c>
      <c r="E115" s="719">
        <v>3</v>
      </c>
      <c r="F115" s="1552">
        <v>0</v>
      </c>
      <c r="G115" s="1093">
        <f t="shared" si="3"/>
        <v>0</v>
      </c>
      <c r="H115" s="938"/>
    </row>
    <row r="116" spans="2:8" s="1425" customFormat="1">
      <c r="B116" s="1476"/>
      <c r="C116" s="716" t="s">
        <v>1858</v>
      </c>
      <c r="D116" s="140" t="s">
        <v>252</v>
      </c>
      <c r="E116" s="719">
        <v>2</v>
      </c>
      <c r="F116" s="1552">
        <v>0</v>
      </c>
      <c r="G116" s="1093">
        <f t="shared" si="3"/>
        <v>0</v>
      </c>
      <c r="H116" s="938"/>
    </row>
    <row r="117" spans="2:8" s="1425" customFormat="1" ht="24">
      <c r="B117" s="1476"/>
      <c r="C117" s="716" t="s">
        <v>1859</v>
      </c>
      <c r="D117" s="140" t="s">
        <v>252</v>
      </c>
      <c r="E117" s="719">
        <v>1</v>
      </c>
      <c r="F117" s="1552">
        <v>0</v>
      </c>
      <c r="G117" s="1093">
        <f t="shared" si="3"/>
        <v>0</v>
      </c>
      <c r="H117" s="938"/>
    </row>
    <row r="118" spans="2:8">
      <c r="B118" s="188">
        <v>7</v>
      </c>
      <c r="C118" s="159" t="s">
        <v>1860</v>
      </c>
      <c r="D118" s="140"/>
      <c r="E118" s="719"/>
      <c r="F118" s="1552"/>
      <c r="G118" s="1093"/>
    </row>
    <row r="119" spans="2:8">
      <c r="B119" s="188"/>
      <c r="C119" s="126" t="s">
        <v>1325</v>
      </c>
      <c r="D119" s="140" t="s">
        <v>397</v>
      </c>
      <c r="E119" s="719">
        <v>40</v>
      </c>
      <c r="F119" s="1552">
        <v>0</v>
      </c>
      <c r="G119" s="1093">
        <f t="shared" ref="G119:G122" si="4">E119*F119</f>
        <v>0</v>
      </c>
    </row>
    <row r="120" spans="2:8" ht="36">
      <c r="B120" s="188"/>
      <c r="C120" s="126" t="s">
        <v>1326</v>
      </c>
      <c r="D120" s="140" t="s">
        <v>60</v>
      </c>
      <c r="E120" s="719">
        <v>2</v>
      </c>
      <c r="F120" s="1552">
        <v>0</v>
      </c>
      <c r="G120" s="1093">
        <f t="shared" si="4"/>
        <v>0</v>
      </c>
    </row>
    <row r="121" spans="2:8" ht="36">
      <c r="B121" s="188"/>
      <c r="C121" s="126" t="s">
        <v>1327</v>
      </c>
      <c r="D121" s="140" t="s">
        <v>60</v>
      </c>
      <c r="E121" s="719">
        <v>1</v>
      </c>
      <c r="F121" s="1552">
        <v>0</v>
      </c>
      <c r="G121" s="1093">
        <f t="shared" si="4"/>
        <v>0</v>
      </c>
    </row>
    <row r="122" spans="2:8">
      <c r="B122" s="188"/>
      <c r="C122" s="126" t="s">
        <v>1333</v>
      </c>
      <c r="D122" s="140" t="s">
        <v>60</v>
      </c>
      <c r="E122" s="719">
        <v>1</v>
      </c>
      <c r="F122" s="1552">
        <v>0</v>
      </c>
      <c r="G122" s="1093">
        <f t="shared" si="4"/>
        <v>0</v>
      </c>
    </row>
    <row r="123" spans="2:8">
      <c r="B123" s="188">
        <v>8</v>
      </c>
      <c r="C123" s="159" t="s">
        <v>1357</v>
      </c>
      <c r="D123" s="140"/>
      <c r="E123" s="719"/>
      <c r="F123" s="1552"/>
      <c r="G123" s="1093"/>
    </row>
    <row r="124" spans="2:8" ht="60">
      <c r="B124" s="125"/>
      <c r="C124" s="126" t="s">
        <v>1872</v>
      </c>
      <c r="D124" s="140" t="s">
        <v>60</v>
      </c>
      <c r="E124" s="719">
        <v>1</v>
      </c>
      <c r="F124" s="1552">
        <v>0</v>
      </c>
      <c r="G124" s="1093">
        <f t="shared" si="1"/>
        <v>0</v>
      </c>
    </row>
    <row r="125" spans="2:8" ht="36">
      <c r="B125" s="125"/>
      <c r="C125" s="126" t="s">
        <v>1862</v>
      </c>
      <c r="D125" s="140" t="s">
        <v>60</v>
      </c>
      <c r="E125" s="719">
        <v>1</v>
      </c>
      <c r="F125" s="1552">
        <v>0</v>
      </c>
      <c r="G125" s="1093">
        <f t="shared" si="1"/>
        <v>0</v>
      </c>
    </row>
    <row r="126" spans="2:8" ht="48">
      <c r="B126" s="125"/>
      <c r="C126" s="126" t="s">
        <v>1863</v>
      </c>
      <c r="D126" s="140" t="s">
        <v>60</v>
      </c>
      <c r="E126" s="719">
        <v>1</v>
      </c>
      <c r="F126" s="1552">
        <v>0</v>
      </c>
      <c r="G126" s="1093">
        <f t="shared" si="1"/>
        <v>0</v>
      </c>
    </row>
    <row r="127" spans="2:8" ht="48">
      <c r="B127" s="188"/>
      <c r="C127" s="716" t="s">
        <v>1864</v>
      </c>
      <c r="D127" s="140" t="s">
        <v>60</v>
      </c>
      <c r="E127" s="719">
        <v>1</v>
      </c>
      <c r="F127" s="1552">
        <v>0</v>
      </c>
      <c r="G127" s="1093">
        <f t="shared" si="1"/>
        <v>0</v>
      </c>
    </row>
    <row r="128" spans="2:8">
      <c r="B128" s="258" t="s">
        <v>914</v>
      </c>
      <c r="C128" s="259" t="s">
        <v>1385</v>
      </c>
      <c r="D128" s="260"/>
      <c r="E128" s="261"/>
      <c r="F128" s="262"/>
      <c r="G128" s="263">
        <f>SUM(G55:G127)</f>
        <v>0</v>
      </c>
    </row>
  </sheetData>
  <mergeCells count="8">
    <mergeCell ref="B52:G52"/>
    <mergeCell ref="B53:G53"/>
    <mergeCell ref="B26:G26"/>
    <mergeCell ref="B47:G47"/>
    <mergeCell ref="B48:G48"/>
    <mergeCell ref="B49:G49"/>
    <mergeCell ref="B50:G50"/>
    <mergeCell ref="B51:G51"/>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053C-7442-44D0-9A6F-DCF4B929FBE5}">
  <sheetPr>
    <tabColor rgb="FFFFFF00"/>
  </sheetPr>
  <dimension ref="A2:L169"/>
  <sheetViews>
    <sheetView showZeros="0" topLeftCell="A22" zoomScale="115" zoomScaleNormal="115" workbookViewId="0">
      <selection activeCell="E30" sqref="E30"/>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5.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2267</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43</v>
      </c>
      <c r="C15" s="1404" t="s">
        <v>44</v>
      </c>
      <c r="D15" s="1405"/>
      <c r="E15" s="1406"/>
      <c r="F15" s="1407"/>
      <c r="G15" s="1408">
        <f>G34</f>
        <v>0</v>
      </c>
      <c r="H15" s="1409"/>
    </row>
    <row r="16" spans="1:12" s="339" customFormat="1" ht="18.75" customHeight="1">
      <c r="B16" s="1403" t="s">
        <v>45</v>
      </c>
      <c r="C16" s="1404" t="s">
        <v>46</v>
      </c>
      <c r="D16" s="1405"/>
      <c r="E16" s="1406"/>
      <c r="F16" s="1407"/>
      <c r="G16" s="1408">
        <f>G78</f>
        <v>0</v>
      </c>
      <c r="H16" s="1409"/>
    </row>
    <row r="17" spans="2:8" s="339" customFormat="1" ht="18.75" customHeight="1">
      <c r="B17" s="1403" t="s">
        <v>47</v>
      </c>
      <c r="C17" s="1404" t="s">
        <v>48</v>
      </c>
      <c r="D17" s="1405"/>
      <c r="E17" s="1406"/>
      <c r="F17" s="1407"/>
      <c r="G17" s="1408">
        <f>G143</f>
        <v>0</v>
      </c>
      <c r="H17" s="1409"/>
    </row>
    <row r="18" spans="2:8" s="339" customFormat="1" ht="18.75" customHeight="1">
      <c r="B18" s="1403" t="s">
        <v>914</v>
      </c>
      <c r="C18" s="1404" t="s">
        <v>916</v>
      </c>
      <c r="D18" s="1405"/>
      <c r="E18" s="1406"/>
      <c r="F18" s="1428"/>
      <c r="G18" s="1408">
        <f>G169</f>
        <v>0</v>
      </c>
      <c r="H18" s="1409"/>
    </row>
    <row r="19" spans="2:8" s="339" customFormat="1" ht="18.75" customHeight="1">
      <c r="B19" s="1410"/>
      <c r="C19" s="1411" t="s">
        <v>49</v>
      </c>
      <c r="D19" s="1412"/>
      <c r="E19" s="1413"/>
      <c r="F19" s="1414"/>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132">
      <c r="B25" s="1429">
        <v>1</v>
      </c>
      <c r="C25" s="1430" t="s">
        <v>1888</v>
      </c>
      <c r="D25" s="1431" t="s">
        <v>60</v>
      </c>
      <c r="E25" s="1432">
        <v>1</v>
      </c>
      <c r="F25" s="1433">
        <v>0</v>
      </c>
      <c r="G25" s="1434">
        <f>E25*F25</f>
        <v>0</v>
      </c>
    </row>
    <row r="26" spans="2:8" ht="36">
      <c r="B26" s="1435">
        <v>2</v>
      </c>
      <c r="C26" s="1436" t="s">
        <v>1889</v>
      </c>
      <c r="D26" s="1437" t="s">
        <v>66</v>
      </c>
      <c r="E26" s="1438">
        <v>1</v>
      </c>
      <c r="F26" s="1433">
        <v>0</v>
      </c>
      <c r="G26" s="1434">
        <f t="shared" ref="G26:G33" si="0">E26*F26</f>
        <v>0</v>
      </c>
    </row>
    <row r="27" spans="2:8">
      <c r="B27" s="1435">
        <v>3</v>
      </c>
      <c r="C27" s="1436" t="s">
        <v>1890</v>
      </c>
      <c r="D27" s="1437" t="s">
        <v>66</v>
      </c>
      <c r="E27" s="1438">
        <v>6</v>
      </c>
      <c r="F27" s="1433">
        <v>0</v>
      </c>
      <c r="G27" s="1434">
        <f t="shared" si="0"/>
        <v>0</v>
      </c>
    </row>
    <row r="28" spans="2:8" ht="24">
      <c r="B28" s="1435">
        <v>4</v>
      </c>
      <c r="C28" s="1439" t="s">
        <v>62</v>
      </c>
      <c r="D28" s="1440" t="s">
        <v>66</v>
      </c>
      <c r="E28" s="1438">
        <v>4</v>
      </c>
      <c r="F28" s="1433">
        <v>0</v>
      </c>
      <c r="G28" s="1434">
        <f t="shared" si="0"/>
        <v>0</v>
      </c>
    </row>
    <row r="29" spans="2:8" ht="30.75" customHeight="1">
      <c r="B29" s="1435">
        <v>5</v>
      </c>
      <c r="C29" s="1441" t="s">
        <v>1891</v>
      </c>
      <c r="D29" s="1440" t="s">
        <v>60</v>
      </c>
      <c r="E29" s="1438">
        <v>1</v>
      </c>
      <c r="F29" s="1433">
        <v>0</v>
      </c>
      <c r="G29" s="1434">
        <f t="shared" si="0"/>
        <v>0</v>
      </c>
    </row>
    <row r="30" spans="2:8" ht="36">
      <c r="B30" s="1435">
        <v>6</v>
      </c>
      <c r="C30" s="2383" t="s">
        <v>2294</v>
      </c>
      <c r="D30" s="1440" t="s">
        <v>66</v>
      </c>
      <c r="E30" s="1438">
        <v>1</v>
      </c>
      <c r="F30" s="1433">
        <v>0</v>
      </c>
      <c r="G30" s="1434">
        <f t="shared" si="0"/>
        <v>0</v>
      </c>
    </row>
    <row r="31" spans="2:8" ht="24">
      <c r="B31" s="1435">
        <v>7</v>
      </c>
      <c r="C31" s="2383" t="s">
        <v>2293</v>
      </c>
      <c r="D31" s="1440" t="s">
        <v>60</v>
      </c>
      <c r="E31" s="1438">
        <v>1</v>
      </c>
      <c r="F31" s="1433">
        <v>0</v>
      </c>
      <c r="G31" s="1434">
        <f t="shared" si="0"/>
        <v>0</v>
      </c>
    </row>
    <row r="32" spans="2:8" ht="21.75" customHeight="1">
      <c r="B32" s="1435">
        <v>8</v>
      </c>
      <c r="C32" s="1441" t="s">
        <v>67</v>
      </c>
      <c r="D32" s="1440" t="s">
        <v>60</v>
      </c>
      <c r="E32" s="1438">
        <v>1</v>
      </c>
      <c r="F32" s="1433">
        <v>0</v>
      </c>
      <c r="G32" s="1434">
        <f t="shared" si="0"/>
        <v>0</v>
      </c>
    </row>
    <row r="33" spans="2:9" ht="38.25" customHeight="1">
      <c r="B33" s="1435">
        <v>9</v>
      </c>
      <c r="C33" s="1442" t="s">
        <v>68</v>
      </c>
      <c r="D33" s="1440" t="s">
        <v>60</v>
      </c>
      <c r="E33" s="1443">
        <v>1</v>
      </c>
      <c r="F33" s="1433">
        <v>0</v>
      </c>
      <c r="G33" s="1434">
        <f t="shared" si="0"/>
        <v>0</v>
      </c>
    </row>
    <row r="34" spans="2:9" s="179" customFormat="1" ht="23.25" customHeight="1">
      <c r="B34" s="713" t="s">
        <v>43</v>
      </c>
      <c r="C34" s="153" t="s">
        <v>70</v>
      </c>
      <c r="D34" s="153"/>
      <c r="E34" s="154"/>
      <c r="F34" s="155"/>
      <c r="G34" s="263">
        <f>SUM(G25:G33)</f>
        <v>0</v>
      </c>
      <c r="H34" s="938"/>
    </row>
    <row r="35" spans="2:9">
      <c r="B35" s="125"/>
      <c r="C35" s="126"/>
      <c r="D35" s="127"/>
      <c r="E35" s="719"/>
      <c r="F35" s="1107"/>
      <c r="G35" s="731"/>
    </row>
    <row r="36" spans="2:9" ht="24">
      <c r="B36" s="119" t="s">
        <v>41</v>
      </c>
      <c r="C36" s="120" t="s">
        <v>51</v>
      </c>
      <c r="D36" s="121" t="s">
        <v>52</v>
      </c>
      <c r="E36" s="122" t="s">
        <v>53</v>
      </c>
      <c r="F36" s="123" t="s">
        <v>54</v>
      </c>
      <c r="G36" s="124" t="s">
        <v>55</v>
      </c>
    </row>
    <row r="37" spans="2:9">
      <c r="B37" s="125"/>
      <c r="C37" s="163"/>
      <c r="D37" s="140"/>
      <c r="E37" s="719"/>
      <c r="F37" s="1107"/>
      <c r="G37" s="731"/>
    </row>
    <row r="38" spans="2:9" s="138" customFormat="1" ht="20.25">
      <c r="B38" s="131" t="s">
        <v>45</v>
      </c>
      <c r="C38" s="164" t="s">
        <v>71</v>
      </c>
      <c r="D38" s="165"/>
      <c r="E38" s="134"/>
      <c r="F38" s="135"/>
      <c r="G38" s="136"/>
      <c r="H38" s="938"/>
    </row>
    <row r="39" spans="2:9" s="166" customFormat="1" ht="71.25" customHeight="1">
      <c r="B39" s="2399" t="s">
        <v>72</v>
      </c>
      <c r="C39" s="2400"/>
      <c r="D39" s="2400"/>
      <c r="E39" s="2400"/>
      <c r="F39" s="2400"/>
      <c r="G39" s="2401"/>
      <c r="H39" s="938"/>
    </row>
    <row r="40" spans="2:9" s="166" customFormat="1">
      <c r="B40" s="1444"/>
      <c r="C40" s="1445" t="s">
        <v>1892</v>
      </c>
      <c r="D40" s="1446"/>
      <c r="E40" s="1446"/>
      <c r="F40" s="1446"/>
      <c r="G40" s="1447"/>
      <c r="H40" s="938"/>
    </row>
    <row r="41" spans="2:9" ht="27.75" customHeight="1">
      <c r="B41" s="167">
        <v>1</v>
      </c>
      <c r="C41" s="139" t="s">
        <v>73</v>
      </c>
      <c r="D41" s="140" t="s">
        <v>74</v>
      </c>
      <c r="E41" s="719">
        <v>3.2</v>
      </c>
      <c r="F41" s="1092">
        <v>0</v>
      </c>
      <c r="G41" s="1093">
        <f t="shared" ref="G41:G77" si="1">E41*F41</f>
        <v>0</v>
      </c>
      <c r="I41" s="266"/>
    </row>
    <row r="42" spans="2:9" ht="39.75" customHeight="1">
      <c r="B42" s="167">
        <v>2</v>
      </c>
      <c r="C42" s="139" t="s">
        <v>1893</v>
      </c>
      <c r="D42" s="145" t="s">
        <v>74</v>
      </c>
      <c r="E42" s="719">
        <v>38</v>
      </c>
      <c r="F42" s="1092">
        <v>0</v>
      </c>
      <c r="G42" s="1093">
        <f t="shared" si="1"/>
        <v>0</v>
      </c>
      <c r="I42" s="1209"/>
    </row>
    <row r="43" spans="2:9">
      <c r="B43" s="167">
        <v>3</v>
      </c>
      <c r="C43" s="139" t="s">
        <v>1894</v>
      </c>
      <c r="D43" s="1448" t="s">
        <v>78</v>
      </c>
      <c r="E43" s="719">
        <v>22.75</v>
      </c>
      <c r="F43" s="1092">
        <v>0</v>
      </c>
      <c r="G43" s="1093"/>
      <c r="I43" s="1209"/>
    </row>
    <row r="44" spans="2:9" ht="42.75" customHeight="1">
      <c r="B44" s="167">
        <v>4</v>
      </c>
      <c r="C44" s="407" t="s">
        <v>1895</v>
      </c>
      <c r="D44" s="1449" t="s">
        <v>74</v>
      </c>
      <c r="E44" s="1450">
        <v>9.1</v>
      </c>
      <c r="F44" s="1092">
        <v>0</v>
      </c>
      <c r="G44" s="1093">
        <f t="shared" si="1"/>
        <v>0</v>
      </c>
      <c r="I44" s="266"/>
    </row>
    <row r="45" spans="2:9" ht="29.25" customHeight="1">
      <c r="B45" s="167">
        <v>5</v>
      </c>
      <c r="C45" s="139" t="s">
        <v>1896</v>
      </c>
      <c r="D45" s="145" t="s">
        <v>78</v>
      </c>
      <c r="E45" s="719">
        <v>22.75</v>
      </c>
      <c r="F45" s="1092">
        <v>0</v>
      </c>
      <c r="G45" s="1093">
        <f t="shared" si="1"/>
        <v>0</v>
      </c>
      <c r="I45" s="266"/>
    </row>
    <row r="46" spans="2:9" ht="41.25" customHeight="1">
      <c r="B46" s="167">
        <v>6</v>
      </c>
      <c r="C46" s="407" t="s">
        <v>1897</v>
      </c>
      <c r="D46" s="1449" t="s">
        <v>74</v>
      </c>
      <c r="E46" s="719">
        <v>4.75</v>
      </c>
      <c r="F46" s="1092">
        <v>0</v>
      </c>
      <c r="G46" s="1093">
        <f t="shared" si="1"/>
        <v>0</v>
      </c>
      <c r="I46" s="266"/>
    </row>
    <row r="47" spans="2:9" ht="39.75" customHeight="1">
      <c r="B47" s="167">
        <v>7</v>
      </c>
      <c r="C47" s="407" t="s">
        <v>1898</v>
      </c>
      <c r="D47" s="1449" t="s">
        <v>74</v>
      </c>
      <c r="E47" s="719">
        <v>40</v>
      </c>
      <c r="F47" s="1092">
        <v>0</v>
      </c>
      <c r="G47" s="1093">
        <f t="shared" si="1"/>
        <v>0</v>
      </c>
      <c r="I47" s="266"/>
    </row>
    <row r="48" spans="2:9" ht="28.5" customHeight="1">
      <c r="B48" s="167">
        <v>8</v>
      </c>
      <c r="C48" s="407" t="s">
        <v>1899</v>
      </c>
      <c r="D48" s="1449" t="s">
        <v>66</v>
      </c>
      <c r="E48" s="719">
        <v>2</v>
      </c>
      <c r="F48" s="1092">
        <v>0</v>
      </c>
      <c r="G48" s="1093">
        <f t="shared" si="1"/>
        <v>0</v>
      </c>
      <c r="I48" s="266"/>
    </row>
    <row r="49" spans="2:9" ht="15.75" customHeight="1">
      <c r="B49" s="167"/>
      <c r="C49" s="1451" t="s">
        <v>1900</v>
      </c>
      <c r="D49" s="145"/>
      <c r="E49" s="719"/>
      <c r="F49" s="1092"/>
      <c r="G49" s="1093"/>
      <c r="I49" s="266"/>
    </row>
    <row r="50" spans="2:9" ht="87" customHeight="1">
      <c r="B50" s="167"/>
      <c r="C50" s="1452" t="s">
        <v>2062</v>
      </c>
      <c r="D50" s="145"/>
      <c r="E50" s="719"/>
      <c r="F50" s="1092"/>
      <c r="G50" s="1093"/>
      <c r="I50" s="266"/>
    </row>
    <row r="51" spans="2:9" ht="60" customHeight="1">
      <c r="B51" s="167">
        <v>9</v>
      </c>
      <c r="C51" s="1453" t="s">
        <v>1901</v>
      </c>
      <c r="D51" s="1449" t="s">
        <v>74</v>
      </c>
      <c r="E51" s="719">
        <v>2.2799999999999998</v>
      </c>
      <c r="F51" s="1092">
        <v>0</v>
      </c>
      <c r="G51" s="1093">
        <f t="shared" si="1"/>
        <v>0</v>
      </c>
      <c r="I51" s="266"/>
    </row>
    <row r="52" spans="2:9" ht="49.5" customHeight="1">
      <c r="B52" s="167">
        <v>10</v>
      </c>
      <c r="C52" s="1453" t="s">
        <v>1902</v>
      </c>
      <c r="D52" s="145" t="s">
        <v>74</v>
      </c>
      <c r="E52" s="719">
        <v>22.75</v>
      </c>
      <c r="F52" s="1092">
        <v>0</v>
      </c>
      <c r="G52" s="1093">
        <f t="shared" si="1"/>
        <v>0</v>
      </c>
      <c r="I52" s="1209"/>
    </row>
    <row r="53" spans="2:9" ht="49.5" customHeight="1">
      <c r="B53" s="167">
        <v>11</v>
      </c>
      <c r="C53" s="1454" t="s">
        <v>1903</v>
      </c>
      <c r="D53" s="145" t="s">
        <v>832</v>
      </c>
      <c r="E53" s="719">
        <v>20</v>
      </c>
      <c r="F53" s="1092">
        <v>0</v>
      </c>
      <c r="G53" s="1093">
        <f t="shared" si="1"/>
        <v>0</v>
      </c>
      <c r="I53" s="1209"/>
    </row>
    <row r="54" spans="2:9" ht="62.25" customHeight="1">
      <c r="B54" s="167">
        <v>12</v>
      </c>
      <c r="C54" s="1453" t="s">
        <v>1904</v>
      </c>
      <c r="D54" s="1448" t="s">
        <v>78</v>
      </c>
      <c r="E54" s="719">
        <v>22.75</v>
      </c>
      <c r="F54" s="1092">
        <v>0</v>
      </c>
      <c r="G54" s="1093">
        <f t="shared" si="1"/>
        <v>0</v>
      </c>
      <c r="I54" s="1209"/>
    </row>
    <row r="55" spans="2:9" ht="54" customHeight="1">
      <c r="B55" s="167">
        <v>13</v>
      </c>
      <c r="C55" s="1453" t="s">
        <v>2272</v>
      </c>
      <c r="D55" s="1449" t="s">
        <v>74</v>
      </c>
      <c r="E55" s="719">
        <v>5.44</v>
      </c>
      <c r="F55" s="1092">
        <v>0</v>
      </c>
      <c r="G55" s="1093">
        <f t="shared" si="1"/>
        <v>0</v>
      </c>
      <c r="I55" s="1209"/>
    </row>
    <row r="56" spans="2:9" ht="36">
      <c r="B56" s="167">
        <v>14</v>
      </c>
      <c r="C56" s="1453" t="s">
        <v>2271</v>
      </c>
      <c r="D56" s="1449" t="s">
        <v>702</v>
      </c>
      <c r="E56" s="719">
        <v>600</v>
      </c>
      <c r="F56" s="1092">
        <v>0</v>
      </c>
      <c r="G56" s="1093">
        <f t="shared" si="1"/>
        <v>0</v>
      </c>
      <c r="I56" s="1209"/>
    </row>
    <row r="57" spans="2:9" ht="86.25" customHeight="1">
      <c r="B57" s="167">
        <v>15</v>
      </c>
      <c r="C57" s="1455" t="s">
        <v>1905</v>
      </c>
      <c r="D57" s="1448" t="s">
        <v>78</v>
      </c>
      <c r="E57" s="719">
        <v>22.75</v>
      </c>
      <c r="F57" s="1092">
        <v>0</v>
      </c>
      <c r="G57" s="1093">
        <f t="shared" si="1"/>
        <v>0</v>
      </c>
      <c r="I57" s="1209"/>
    </row>
    <row r="58" spans="2:9" ht="36">
      <c r="B58" s="167">
        <v>16</v>
      </c>
      <c r="C58" s="1454" t="s">
        <v>1906</v>
      </c>
      <c r="D58" s="1448" t="s">
        <v>78</v>
      </c>
      <c r="E58" s="719">
        <v>54</v>
      </c>
      <c r="F58" s="1092">
        <v>0</v>
      </c>
      <c r="G58" s="1093">
        <f t="shared" si="1"/>
        <v>0</v>
      </c>
      <c r="I58" s="1209"/>
    </row>
    <row r="59" spans="2:9" ht="60">
      <c r="B59" s="167">
        <v>17</v>
      </c>
      <c r="C59" s="1453" t="s">
        <v>1907</v>
      </c>
      <c r="D59" s="1449" t="s">
        <v>74</v>
      </c>
      <c r="E59" s="719">
        <v>12.75</v>
      </c>
      <c r="F59" s="1092">
        <v>0</v>
      </c>
      <c r="G59" s="1093">
        <f t="shared" si="1"/>
        <v>0</v>
      </c>
      <c r="I59" s="1209"/>
    </row>
    <row r="60" spans="2:9" ht="36">
      <c r="B60" s="167">
        <v>18</v>
      </c>
      <c r="C60" s="1453" t="s">
        <v>2273</v>
      </c>
      <c r="D60" s="1448" t="s">
        <v>702</v>
      </c>
      <c r="E60" s="719">
        <v>1530</v>
      </c>
      <c r="F60" s="1092">
        <v>0</v>
      </c>
      <c r="G60" s="1093">
        <f t="shared" si="1"/>
        <v>0</v>
      </c>
      <c r="I60" s="1209"/>
    </row>
    <row r="61" spans="2:9" ht="89.25" customHeight="1">
      <c r="B61" s="167">
        <v>19</v>
      </c>
      <c r="C61" s="1455" t="s">
        <v>1908</v>
      </c>
      <c r="D61" s="1448" t="s">
        <v>78</v>
      </c>
      <c r="E61" s="719">
        <v>51</v>
      </c>
      <c r="F61" s="1092">
        <v>0</v>
      </c>
      <c r="G61" s="1093">
        <f t="shared" si="1"/>
        <v>0</v>
      </c>
      <c r="I61" s="1209"/>
    </row>
    <row r="62" spans="2:9" ht="36">
      <c r="B62" s="167">
        <v>20</v>
      </c>
      <c r="C62" s="1454" t="s">
        <v>1909</v>
      </c>
      <c r="D62" s="1448" t="s">
        <v>78</v>
      </c>
      <c r="E62" s="719">
        <v>15</v>
      </c>
      <c r="F62" s="1092">
        <v>0</v>
      </c>
      <c r="G62" s="1093">
        <f t="shared" si="1"/>
        <v>0</v>
      </c>
      <c r="I62" s="1209"/>
    </row>
    <row r="63" spans="2:9" ht="48">
      <c r="B63" s="167">
        <v>21</v>
      </c>
      <c r="C63" s="1453" t="s">
        <v>1910</v>
      </c>
      <c r="D63" s="1449" t="s">
        <v>74</v>
      </c>
      <c r="E63" s="719">
        <v>3</v>
      </c>
      <c r="F63" s="1092">
        <v>0</v>
      </c>
      <c r="G63" s="1093">
        <f t="shared" si="1"/>
        <v>0</v>
      </c>
      <c r="I63" s="1209"/>
    </row>
    <row r="64" spans="2:9" ht="40.5" customHeight="1">
      <c r="B64" s="167">
        <v>22</v>
      </c>
      <c r="C64" s="1453" t="s">
        <v>2274</v>
      </c>
      <c r="D64" s="1449" t="s">
        <v>702</v>
      </c>
      <c r="E64" s="719">
        <v>410</v>
      </c>
      <c r="F64" s="1092">
        <v>0</v>
      </c>
      <c r="G64" s="1093">
        <f t="shared" si="1"/>
        <v>0</v>
      </c>
      <c r="I64" s="1209"/>
    </row>
    <row r="65" spans="2:9">
      <c r="B65" s="167">
        <v>23</v>
      </c>
      <c r="C65" s="1453" t="s">
        <v>1911</v>
      </c>
      <c r="D65" s="1449"/>
      <c r="E65" s="719"/>
      <c r="F65" s="1092"/>
      <c r="G65" s="1093"/>
      <c r="I65" s="1209"/>
    </row>
    <row r="66" spans="2:9">
      <c r="B66" s="167"/>
      <c r="C66" s="1453" t="s">
        <v>1912</v>
      </c>
      <c r="D66" s="1449" t="s">
        <v>66</v>
      </c>
      <c r="E66" s="719">
        <v>2</v>
      </c>
      <c r="F66" s="1092">
        <v>0</v>
      </c>
      <c r="G66" s="1093">
        <f t="shared" si="1"/>
        <v>0</v>
      </c>
      <c r="I66" s="1209"/>
    </row>
    <row r="67" spans="2:9">
      <c r="B67" s="167"/>
      <c r="C67" s="1453" t="s">
        <v>1913</v>
      </c>
      <c r="D67" s="1449" t="s">
        <v>66</v>
      </c>
      <c r="E67" s="719">
        <v>1</v>
      </c>
      <c r="F67" s="1092">
        <v>0</v>
      </c>
      <c r="G67" s="1093">
        <f t="shared" si="1"/>
        <v>0</v>
      </c>
      <c r="I67" s="1209"/>
    </row>
    <row r="68" spans="2:9" ht="24">
      <c r="B68" s="167"/>
      <c r="C68" s="1453" t="s">
        <v>2275</v>
      </c>
      <c r="D68" s="1449" t="s">
        <v>66</v>
      </c>
      <c r="E68" s="719">
        <v>1</v>
      </c>
      <c r="F68" s="1092">
        <v>0</v>
      </c>
      <c r="G68" s="1093">
        <f t="shared" si="1"/>
        <v>0</v>
      </c>
      <c r="I68" s="1209"/>
    </row>
    <row r="69" spans="2:9" ht="36">
      <c r="B69" s="167">
        <v>24</v>
      </c>
      <c r="C69" s="139" t="s">
        <v>2277</v>
      </c>
      <c r="D69" s="1449" t="s">
        <v>78</v>
      </c>
      <c r="E69" s="719">
        <v>84</v>
      </c>
      <c r="F69" s="1092">
        <v>0</v>
      </c>
      <c r="G69" s="1093">
        <f t="shared" si="1"/>
        <v>0</v>
      </c>
      <c r="I69" s="1209"/>
    </row>
    <row r="70" spans="2:9" ht="24">
      <c r="B70" s="392">
        <v>25</v>
      </c>
      <c r="C70" s="139" t="s">
        <v>2279</v>
      </c>
      <c r="D70" s="140" t="s">
        <v>57</v>
      </c>
      <c r="E70" s="1091">
        <v>20</v>
      </c>
      <c r="F70" s="2380">
        <v>0</v>
      </c>
      <c r="G70" s="2381">
        <f t="shared" si="1"/>
        <v>0</v>
      </c>
      <c r="H70" s="2382"/>
      <c r="I70" s="266"/>
    </row>
    <row r="71" spans="2:9" ht="36">
      <c r="B71" s="167">
        <v>26</v>
      </c>
      <c r="C71" s="139" t="s">
        <v>2278</v>
      </c>
      <c r="D71" s="1449" t="s">
        <v>78</v>
      </c>
      <c r="E71" s="719">
        <v>15</v>
      </c>
      <c r="F71" s="1092">
        <v>0</v>
      </c>
      <c r="G71" s="1093">
        <f t="shared" si="1"/>
        <v>0</v>
      </c>
      <c r="I71" s="1209"/>
    </row>
    <row r="72" spans="2:9" ht="60">
      <c r="B72" s="167">
        <v>27</v>
      </c>
      <c r="C72" s="139" t="s">
        <v>2276</v>
      </c>
      <c r="D72" s="1449" t="s">
        <v>66</v>
      </c>
      <c r="E72" s="719">
        <v>1</v>
      </c>
      <c r="F72" s="1092">
        <v>0</v>
      </c>
      <c r="G72" s="1093">
        <f t="shared" si="1"/>
        <v>0</v>
      </c>
      <c r="I72" s="1209"/>
    </row>
    <row r="73" spans="2:9" ht="36">
      <c r="B73" s="392">
        <v>28</v>
      </c>
      <c r="C73" s="1456" t="s">
        <v>1914</v>
      </c>
      <c r="D73" s="1449" t="s">
        <v>66</v>
      </c>
      <c r="E73" s="719">
        <v>1</v>
      </c>
      <c r="F73" s="1092">
        <v>0</v>
      </c>
      <c r="G73" s="1093">
        <f t="shared" si="1"/>
        <v>0</v>
      </c>
      <c r="I73" s="1209"/>
    </row>
    <row r="74" spans="2:9" ht="36">
      <c r="B74" s="167">
        <v>29</v>
      </c>
      <c r="C74" s="1456" t="s">
        <v>2285</v>
      </c>
      <c r="D74" s="1449" t="s">
        <v>66</v>
      </c>
      <c r="E74" s="719">
        <v>2</v>
      </c>
      <c r="F74" s="1092">
        <v>0</v>
      </c>
      <c r="G74" s="1093">
        <f t="shared" si="1"/>
        <v>0</v>
      </c>
      <c r="I74" s="1209"/>
    </row>
    <row r="75" spans="2:9">
      <c r="B75" s="167">
        <v>30</v>
      </c>
      <c r="C75" s="1456" t="s">
        <v>1915</v>
      </c>
      <c r="D75" s="1457" t="s">
        <v>66</v>
      </c>
      <c r="E75" s="719">
        <v>6</v>
      </c>
      <c r="F75" s="1092">
        <v>0</v>
      </c>
      <c r="G75" s="1093">
        <f t="shared" si="1"/>
        <v>0</v>
      </c>
      <c r="I75" s="1209"/>
    </row>
    <row r="76" spans="2:9" ht="36">
      <c r="B76" s="392">
        <v>31</v>
      </c>
      <c r="C76" s="139" t="s">
        <v>2284</v>
      </c>
      <c r="D76" s="1449" t="s">
        <v>57</v>
      </c>
      <c r="E76" s="1458">
        <v>40</v>
      </c>
      <c r="F76" s="1092">
        <v>0</v>
      </c>
      <c r="G76" s="1093">
        <f t="shared" si="1"/>
        <v>0</v>
      </c>
    </row>
    <row r="77" spans="2:9" ht="28.5" customHeight="1">
      <c r="B77" s="167">
        <v>32</v>
      </c>
      <c r="C77" s="1459" t="s">
        <v>100</v>
      </c>
      <c r="D77" s="1460" t="s">
        <v>65</v>
      </c>
      <c r="E77" s="1461">
        <v>16</v>
      </c>
      <c r="F77" s="1092">
        <v>0</v>
      </c>
      <c r="G77" s="1093">
        <f t="shared" si="1"/>
        <v>0</v>
      </c>
    </row>
    <row r="78" spans="2:9" s="179" customFormat="1" ht="21.75" customHeight="1">
      <c r="B78" s="713" t="s">
        <v>45</v>
      </c>
      <c r="C78" s="153" t="s">
        <v>101</v>
      </c>
      <c r="D78" s="185"/>
      <c r="E78" s="154"/>
      <c r="F78" s="155"/>
      <c r="G78" s="263">
        <f>SUM(G40:G77)</f>
        <v>0</v>
      </c>
      <c r="H78" s="938"/>
    </row>
    <row r="79" spans="2:9">
      <c r="B79" s="125"/>
      <c r="C79" s="126"/>
      <c r="D79" s="127"/>
      <c r="E79" s="719"/>
      <c r="F79" s="1107"/>
      <c r="G79" s="731"/>
    </row>
    <row r="80" spans="2:9" ht="24">
      <c r="B80" s="119" t="s">
        <v>41</v>
      </c>
      <c r="C80" s="120" t="s">
        <v>51</v>
      </c>
      <c r="D80" s="120" t="s">
        <v>52</v>
      </c>
      <c r="E80" s="122" t="s">
        <v>53</v>
      </c>
      <c r="F80" s="123" t="s">
        <v>54</v>
      </c>
      <c r="G80" s="124" t="s">
        <v>55</v>
      </c>
    </row>
    <row r="81" spans="1:8">
      <c r="B81" s="125"/>
      <c r="C81" s="126"/>
      <c r="D81" s="140"/>
      <c r="E81" s="719"/>
      <c r="F81" s="1107"/>
      <c r="G81" s="731"/>
    </row>
    <row r="82" spans="1:8" s="138" customFormat="1" ht="20.25">
      <c r="B82" s="186" t="s">
        <v>47</v>
      </c>
      <c r="C82" s="187" t="s">
        <v>102</v>
      </c>
      <c r="D82" s="165"/>
      <c r="E82" s="134"/>
      <c r="F82" s="135"/>
      <c r="G82" s="136"/>
      <c r="H82" s="938"/>
    </row>
    <row r="83" spans="1:8" s="14" customFormat="1" ht="18" customHeight="1">
      <c r="A83" s="9"/>
      <c r="B83" s="10" t="s">
        <v>2</v>
      </c>
      <c r="C83" s="11"/>
      <c r="D83" s="12"/>
      <c r="E83" s="12"/>
      <c r="F83" s="12"/>
      <c r="G83" s="13"/>
      <c r="H83" s="938"/>
    </row>
    <row r="84" spans="1:8" s="14" customFormat="1" ht="18" customHeight="1">
      <c r="A84" s="15"/>
      <c r="B84" s="16" t="s">
        <v>3</v>
      </c>
      <c r="C84" s="17"/>
      <c r="D84" s="18"/>
      <c r="E84" s="19"/>
      <c r="F84" s="19"/>
      <c r="G84" s="18"/>
      <c r="H84" s="938"/>
    </row>
    <row r="85" spans="1:8" s="14" customFormat="1" ht="18" customHeight="1">
      <c r="A85" s="9"/>
      <c r="B85" s="10" t="s">
        <v>4</v>
      </c>
      <c r="C85" s="11"/>
      <c r="D85" s="12"/>
      <c r="E85" s="12"/>
      <c r="F85" s="12"/>
      <c r="G85" s="13"/>
      <c r="H85" s="938"/>
    </row>
    <row r="86" spans="1:8" s="14" customFormat="1" ht="18" customHeight="1">
      <c r="A86" s="15"/>
      <c r="B86" s="16" t="s">
        <v>5</v>
      </c>
      <c r="C86" s="17"/>
      <c r="D86" s="19"/>
      <c r="E86" s="19"/>
      <c r="F86" s="19"/>
      <c r="G86" s="18"/>
      <c r="H86" s="938"/>
    </row>
    <row r="87" spans="1:8" s="166" customFormat="1" ht="18.75" customHeight="1">
      <c r="B87" s="2399" t="s">
        <v>271</v>
      </c>
      <c r="C87" s="2400"/>
      <c r="D87" s="2400"/>
      <c r="E87" s="2400"/>
      <c r="F87" s="2400"/>
      <c r="G87" s="2401"/>
      <c r="H87" s="938"/>
    </row>
    <row r="88" spans="1:8" ht="30" customHeight="1">
      <c r="B88" s="188">
        <v>1</v>
      </c>
      <c r="C88" s="189" t="s">
        <v>106</v>
      </c>
      <c r="D88" s="190"/>
      <c r="E88" s="719"/>
      <c r="F88" s="1107"/>
      <c r="G88" s="731"/>
    </row>
    <row r="89" spans="1:8" s="179" customFormat="1" ht="18.75" customHeight="1">
      <c r="B89" s="191"/>
      <c r="C89" s="192" t="s">
        <v>107</v>
      </c>
      <c r="D89" s="190" t="s">
        <v>57</v>
      </c>
      <c r="E89" s="128">
        <v>25</v>
      </c>
      <c r="F89" s="1092">
        <v>0</v>
      </c>
      <c r="G89" s="1093">
        <f t="shared" ref="G89:G90" si="2">E89*F89</f>
        <v>0</v>
      </c>
      <c r="H89" s="938"/>
    </row>
    <row r="90" spans="1:8" ht="40.5" customHeight="1">
      <c r="B90" s="196">
        <v>2</v>
      </c>
      <c r="C90" s="197" t="s">
        <v>114</v>
      </c>
      <c r="D90" s="145" t="s">
        <v>57</v>
      </c>
      <c r="E90" s="198">
        <v>25</v>
      </c>
      <c r="F90" s="1092">
        <v>0</v>
      </c>
      <c r="G90" s="1093">
        <f t="shared" si="2"/>
        <v>0</v>
      </c>
    </row>
    <row r="91" spans="1:8" ht="41.25" customHeight="1">
      <c r="B91" s="199" t="s">
        <v>115</v>
      </c>
      <c r="C91" s="197" t="s">
        <v>116</v>
      </c>
      <c r="D91" s="145" t="s">
        <v>60</v>
      </c>
      <c r="E91" s="198">
        <v>1</v>
      </c>
      <c r="F91" s="1092">
        <v>0</v>
      </c>
      <c r="G91" s="1093">
        <f>E91*F91</f>
        <v>0</v>
      </c>
    </row>
    <row r="92" spans="1:8" ht="27" customHeight="1">
      <c r="B92" s="199" t="s">
        <v>117</v>
      </c>
      <c r="C92" s="197" t="s">
        <v>118</v>
      </c>
      <c r="D92" s="145" t="s">
        <v>60</v>
      </c>
      <c r="E92" s="198">
        <v>1</v>
      </c>
      <c r="F92" s="1092">
        <v>0</v>
      </c>
      <c r="G92" s="1093">
        <f>E92*F92</f>
        <v>0</v>
      </c>
    </row>
    <row r="93" spans="1:8" ht="39" customHeight="1">
      <c r="B93" s="199" t="s">
        <v>119</v>
      </c>
      <c r="C93" s="197" t="s">
        <v>120</v>
      </c>
      <c r="D93" s="145" t="s">
        <v>60</v>
      </c>
      <c r="E93" s="198">
        <v>1</v>
      </c>
      <c r="F93" s="1092">
        <v>0</v>
      </c>
      <c r="G93" s="1093">
        <f>E93*F93</f>
        <v>0</v>
      </c>
    </row>
    <row r="94" spans="1:8" ht="27.75" customHeight="1">
      <c r="B94" s="188">
        <v>3</v>
      </c>
      <c r="C94" s="200" t="s">
        <v>121</v>
      </c>
      <c r="D94" s="127"/>
      <c r="E94" s="128"/>
      <c r="F94" s="1107">
        <v>0</v>
      </c>
      <c r="G94" s="731"/>
    </row>
    <row r="95" spans="1:8" s="217" customFormat="1">
      <c r="B95" s="201" t="s">
        <v>1916</v>
      </c>
      <c r="C95" s="126"/>
      <c r="D95" s="127"/>
      <c r="E95" s="198"/>
      <c r="F95" s="1191">
        <v>0</v>
      </c>
      <c r="G95" s="142"/>
      <c r="H95" s="938"/>
    </row>
    <row r="96" spans="1:8" s="217" customFormat="1">
      <c r="B96" s="218"/>
      <c r="C96" s="192" t="s">
        <v>2045</v>
      </c>
      <c r="D96" s="127" t="s">
        <v>66</v>
      </c>
      <c r="E96" s="198">
        <v>10</v>
      </c>
      <c r="F96" s="1191">
        <v>0</v>
      </c>
      <c r="G96" s="1093">
        <f>E96*F96</f>
        <v>0</v>
      </c>
      <c r="H96" s="938"/>
    </row>
    <row r="97" spans="2:8" s="217" customFormat="1">
      <c r="B97" s="218"/>
      <c r="C97" s="147" t="s">
        <v>2046</v>
      </c>
      <c r="D97" s="127" t="s">
        <v>66</v>
      </c>
      <c r="E97" s="198">
        <v>6</v>
      </c>
      <c r="F97" s="1191">
        <v>0</v>
      </c>
      <c r="G97" s="1093">
        <f t="shared" ref="G97:G117" si="3">E97*F97</f>
        <v>0</v>
      </c>
      <c r="H97" s="938"/>
    </row>
    <row r="98" spans="2:8" s="217" customFormat="1">
      <c r="B98" s="218"/>
      <c r="C98" s="126" t="s">
        <v>2047</v>
      </c>
      <c r="D98" s="127" t="s">
        <v>66</v>
      </c>
      <c r="E98" s="198">
        <v>7</v>
      </c>
      <c r="F98" s="1191">
        <v>0</v>
      </c>
      <c r="G98" s="1093">
        <f t="shared" si="3"/>
        <v>0</v>
      </c>
      <c r="H98" s="938"/>
    </row>
    <row r="99" spans="2:8" s="217" customFormat="1">
      <c r="B99" s="218"/>
      <c r="C99" s="126" t="s">
        <v>2060</v>
      </c>
      <c r="D99" s="127" t="s">
        <v>66</v>
      </c>
      <c r="E99" s="198">
        <v>40</v>
      </c>
      <c r="F99" s="1191">
        <v>0</v>
      </c>
      <c r="G99" s="1093">
        <f t="shared" si="3"/>
        <v>0</v>
      </c>
      <c r="H99" s="938"/>
    </row>
    <row r="100" spans="2:8" s="217" customFormat="1">
      <c r="B100" s="218"/>
      <c r="C100" s="126" t="s">
        <v>1918</v>
      </c>
      <c r="D100" s="127" t="s">
        <v>1917</v>
      </c>
      <c r="E100" s="198">
        <v>22</v>
      </c>
      <c r="F100" s="1191">
        <v>0</v>
      </c>
      <c r="G100" s="1093">
        <f t="shared" si="3"/>
        <v>0</v>
      </c>
      <c r="H100" s="938"/>
    </row>
    <row r="101" spans="2:8" s="217" customFormat="1">
      <c r="B101" s="218"/>
      <c r="C101" s="126" t="s">
        <v>2048</v>
      </c>
      <c r="D101" s="127" t="s">
        <v>66</v>
      </c>
      <c r="E101" s="198">
        <v>1</v>
      </c>
      <c r="F101" s="1191">
        <v>0</v>
      </c>
      <c r="G101" s="1093">
        <f t="shared" si="3"/>
        <v>0</v>
      </c>
      <c r="H101" s="938"/>
    </row>
    <row r="102" spans="2:8" s="217" customFormat="1" ht="15" customHeight="1">
      <c r="B102" s="218"/>
      <c r="C102" s="126" t="s">
        <v>1919</v>
      </c>
      <c r="D102" s="127" t="s">
        <v>66</v>
      </c>
      <c r="E102" s="198">
        <v>1</v>
      </c>
      <c r="F102" s="1191">
        <v>0</v>
      </c>
      <c r="G102" s="1093">
        <f t="shared" si="3"/>
        <v>0</v>
      </c>
      <c r="H102" s="938"/>
    </row>
    <row r="103" spans="2:8" s="217" customFormat="1" ht="12.75" customHeight="1">
      <c r="B103" s="218"/>
      <c r="C103" s="126" t="s">
        <v>2057</v>
      </c>
      <c r="D103" s="127" t="s">
        <v>66</v>
      </c>
      <c r="E103" s="198">
        <v>1</v>
      </c>
      <c r="F103" s="1191">
        <v>0</v>
      </c>
      <c r="G103" s="1093">
        <f t="shared" si="3"/>
        <v>0</v>
      </c>
      <c r="H103" s="938"/>
    </row>
    <row r="104" spans="2:8" s="217" customFormat="1" ht="12.75" customHeight="1">
      <c r="B104" s="218"/>
      <c r="C104" s="163" t="s">
        <v>2061</v>
      </c>
      <c r="D104" s="127" t="s">
        <v>66</v>
      </c>
      <c r="E104" s="198">
        <v>1</v>
      </c>
      <c r="F104" s="1191">
        <v>0</v>
      </c>
      <c r="G104" s="1093">
        <f t="shared" si="3"/>
        <v>0</v>
      </c>
      <c r="H104" s="938"/>
    </row>
    <row r="105" spans="2:8" s="217" customFormat="1">
      <c r="B105" s="218"/>
      <c r="C105" s="163" t="s">
        <v>2049</v>
      </c>
      <c r="D105" s="127" t="s">
        <v>66</v>
      </c>
      <c r="E105" s="198">
        <v>4</v>
      </c>
      <c r="F105" s="1191">
        <v>0</v>
      </c>
      <c r="G105" s="1093">
        <f t="shared" si="3"/>
        <v>0</v>
      </c>
      <c r="H105" s="938"/>
    </row>
    <row r="106" spans="2:8" s="217" customFormat="1">
      <c r="B106" s="218"/>
      <c r="C106" s="163" t="s">
        <v>2050</v>
      </c>
      <c r="D106" s="127" t="s">
        <v>66</v>
      </c>
      <c r="E106" s="198">
        <v>1</v>
      </c>
      <c r="F106" s="1191">
        <v>0</v>
      </c>
      <c r="G106" s="1093">
        <f t="shared" si="3"/>
        <v>0</v>
      </c>
      <c r="H106" s="938"/>
    </row>
    <row r="107" spans="2:8" s="217" customFormat="1" ht="48">
      <c r="B107" s="218"/>
      <c r="C107" s="163" t="s">
        <v>2058</v>
      </c>
      <c r="D107" s="127" t="s">
        <v>66</v>
      </c>
      <c r="E107" s="198">
        <v>1</v>
      </c>
      <c r="F107" s="1191">
        <v>0</v>
      </c>
      <c r="G107" s="1093">
        <f t="shared" si="3"/>
        <v>0</v>
      </c>
      <c r="H107" s="938"/>
    </row>
    <row r="108" spans="2:8" s="217" customFormat="1">
      <c r="B108" s="218"/>
      <c r="C108" s="163" t="s">
        <v>2059</v>
      </c>
      <c r="D108" s="127" t="s">
        <v>66</v>
      </c>
      <c r="E108" s="198">
        <v>1</v>
      </c>
      <c r="F108" s="1191">
        <v>0</v>
      </c>
      <c r="G108" s="1093">
        <f t="shared" si="3"/>
        <v>0</v>
      </c>
      <c r="H108" s="938"/>
    </row>
    <row r="109" spans="2:8" s="217" customFormat="1">
      <c r="B109" s="218"/>
      <c r="C109" s="192" t="s">
        <v>1920</v>
      </c>
      <c r="D109" s="127" t="s">
        <v>66</v>
      </c>
      <c r="E109" s="198">
        <v>1</v>
      </c>
      <c r="F109" s="1191">
        <v>0</v>
      </c>
      <c r="G109" s="1093">
        <f t="shared" si="3"/>
        <v>0</v>
      </c>
      <c r="H109" s="938"/>
    </row>
    <row r="110" spans="2:8" s="217" customFormat="1">
      <c r="B110" s="218"/>
      <c r="C110" s="192" t="s">
        <v>2051</v>
      </c>
      <c r="D110" s="127" t="s">
        <v>66</v>
      </c>
      <c r="E110" s="198">
        <v>1</v>
      </c>
      <c r="F110" s="1191">
        <v>0</v>
      </c>
      <c r="G110" s="1093">
        <f t="shared" si="3"/>
        <v>0</v>
      </c>
      <c r="H110" s="938"/>
    </row>
    <row r="111" spans="2:8" s="217" customFormat="1">
      <c r="B111" s="218"/>
      <c r="C111" s="126" t="s">
        <v>2052</v>
      </c>
      <c r="D111" s="127" t="s">
        <v>66</v>
      </c>
      <c r="E111" s="198">
        <v>8</v>
      </c>
      <c r="F111" s="1191">
        <v>0</v>
      </c>
      <c r="G111" s="1093">
        <f t="shared" si="3"/>
        <v>0</v>
      </c>
      <c r="H111" s="938"/>
    </row>
    <row r="112" spans="2:8" s="217" customFormat="1">
      <c r="B112" s="218"/>
      <c r="C112" s="126" t="s">
        <v>2053</v>
      </c>
      <c r="D112" s="127" t="s">
        <v>66</v>
      </c>
      <c r="E112" s="198">
        <v>4</v>
      </c>
      <c r="F112" s="1191">
        <v>0</v>
      </c>
      <c r="G112" s="1093">
        <f t="shared" si="3"/>
        <v>0</v>
      </c>
      <c r="H112" s="938"/>
    </row>
    <row r="113" spans="2:8" s="217" customFormat="1">
      <c r="B113" s="218"/>
      <c r="C113" s="147" t="s">
        <v>2054</v>
      </c>
      <c r="D113" s="127" t="s">
        <v>66</v>
      </c>
      <c r="E113" s="198">
        <v>2</v>
      </c>
      <c r="F113" s="1191">
        <v>0</v>
      </c>
      <c r="G113" s="1093">
        <f t="shared" si="3"/>
        <v>0</v>
      </c>
      <c r="H113" s="938"/>
    </row>
    <row r="114" spans="2:8" s="217" customFormat="1">
      <c r="B114" s="218"/>
      <c r="C114" s="126" t="s">
        <v>2056</v>
      </c>
      <c r="D114" s="127" t="s">
        <v>66</v>
      </c>
      <c r="E114" s="198">
        <v>2</v>
      </c>
      <c r="F114" s="1191">
        <v>0</v>
      </c>
      <c r="G114" s="1093">
        <f t="shared" si="3"/>
        <v>0</v>
      </c>
      <c r="H114" s="938"/>
    </row>
    <row r="115" spans="2:8" s="217" customFormat="1" ht="84">
      <c r="B115" s="218"/>
      <c r="C115" s="716" t="s">
        <v>2226</v>
      </c>
      <c r="D115" s="127" t="s">
        <v>66</v>
      </c>
      <c r="E115" s="198">
        <v>1</v>
      </c>
      <c r="F115" s="1191">
        <v>0</v>
      </c>
      <c r="G115" s="1093">
        <f t="shared" si="3"/>
        <v>0</v>
      </c>
      <c r="H115" s="938"/>
    </row>
    <row r="116" spans="2:8" s="217" customFormat="1">
      <c r="B116" s="218"/>
      <c r="C116" s="126" t="s">
        <v>1921</v>
      </c>
      <c r="D116" s="127" t="s">
        <v>66</v>
      </c>
      <c r="E116" s="198">
        <v>2</v>
      </c>
      <c r="F116" s="1191">
        <v>0</v>
      </c>
      <c r="G116" s="1093">
        <f t="shared" si="3"/>
        <v>0</v>
      </c>
      <c r="H116" s="938"/>
    </row>
    <row r="117" spans="2:8" s="217" customFormat="1">
      <c r="B117" s="218"/>
      <c r="C117" s="126" t="s">
        <v>2055</v>
      </c>
      <c r="D117" s="127" t="s">
        <v>60</v>
      </c>
      <c r="E117" s="198">
        <v>1</v>
      </c>
      <c r="F117" s="1191">
        <v>0</v>
      </c>
      <c r="G117" s="1093">
        <f t="shared" si="3"/>
        <v>0</v>
      </c>
      <c r="H117" s="938"/>
    </row>
    <row r="118" spans="2:8" s="217" customFormat="1">
      <c r="B118" s="218"/>
      <c r="C118" s="126" t="s">
        <v>2227</v>
      </c>
      <c r="D118" s="127" t="s">
        <v>66</v>
      </c>
      <c r="E118" s="198">
        <v>1</v>
      </c>
      <c r="F118" s="1191">
        <v>0</v>
      </c>
      <c r="G118" s="1093">
        <f t="shared" ref="G118:G125" si="4">E118*F118</f>
        <v>0</v>
      </c>
      <c r="H118" s="938"/>
    </row>
    <row r="119" spans="2:8" s="217" customFormat="1">
      <c r="B119" s="218"/>
      <c r="C119" s="126" t="s">
        <v>2228</v>
      </c>
      <c r="D119" s="127" t="s">
        <v>66</v>
      </c>
      <c r="E119" s="198">
        <v>2</v>
      </c>
      <c r="F119" s="1191">
        <v>0</v>
      </c>
      <c r="G119" s="1093">
        <f t="shared" si="4"/>
        <v>0</v>
      </c>
      <c r="H119" s="938"/>
    </row>
    <row r="120" spans="2:8" s="217" customFormat="1">
      <c r="B120" s="218"/>
      <c r="C120" s="126" t="s">
        <v>2229</v>
      </c>
      <c r="D120" s="127" t="s">
        <v>66</v>
      </c>
      <c r="E120" s="198">
        <v>1</v>
      </c>
      <c r="F120" s="1191">
        <v>0</v>
      </c>
      <c r="G120" s="1093">
        <f t="shared" si="4"/>
        <v>0</v>
      </c>
      <c r="H120" s="938"/>
    </row>
    <row r="121" spans="2:8" s="217" customFormat="1">
      <c r="B121" s="218"/>
      <c r="C121" s="126" t="s">
        <v>2230</v>
      </c>
      <c r="D121" s="127" t="s">
        <v>66</v>
      </c>
      <c r="E121" s="198">
        <v>1</v>
      </c>
      <c r="F121" s="1191">
        <v>0</v>
      </c>
      <c r="G121" s="1093">
        <f t="shared" si="4"/>
        <v>0</v>
      </c>
      <c r="H121" s="938"/>
    </row>
    <row r="122" spans="2:8" s="217" customFormat="1">
      <c r="B122" s="218"/>
      <c r="C122" s="126" t="s">
        <v>2231</v>
      </c>
      <c r="D122" s="127" t="s">
        <v>285</v>
      </c>
      <c r="E122" s="198">
        <v>5</v>
      </c>
      <c r="F122" s="1191">
        <v>0</v>
      </c>
      <c r="G122" s="1093">
        <f t="shared" si="4"/>
        <v>0</v>
      </c>
      <c r="H122" s="938"/>
    </row>
    <row r="123" spans="2:8" s="217" customFormat="1">
      <c r="B123" s="218"/>
      <c r="C123" s="126" t="s">
        <v>2232</v>
      </c>
      <c r="D123" s="127" t="s">
        <v>66</v>
      </c>
      <c r="E123" s="198">
        <v>2</v>
      </c>
      <c r="F123" s="1191">
        <v>0</v>
      </c>
      <c r="G123" s="1093">
        <f t="shared" si="4"/>
        <v>0</v>
      </c>
      <c r="H123" s="938"/>
    </row>
    <row r="124" spans="2:8" s="217" customFormat="1">
      <c r="B124" s="218"/>
      <c r="C124" s="126" t="s">
        <v>2233</v>
      </c>
      <c r="D124" s="127" t="s">
        <v>66</v>
      </c>
      <c r="E124" s="198">
        <v>1</v>
      </c>
      <c r="F124" s="1191">
        <v>0</v>
      </c>
      <c r="G124" s="1093">
        <f t="shared" si="4"/>
        <v>0</v>
      </c>
      <c r="H124" s="938"/>
    </row>
    <row r="125" spans="2:8" s="217" customFormat="1">
      <c r="B125" s="218"/>
      <c r="C125" s="126" t="s">
        <v>2234</v>
      </c>
      <c r="D125" s="127" t="s">
        <v>66</v>
      </c>
      <c r="E125" s="198">
        <v>1</v>
      </c>
      <c r="F125" s="1191">
        <v>0</v>
      </c>
      <c r="G125" s="1093">
        <f t="shared" si="4"/>
        <v>0</v>
      </c>
      <c r="H125" s="938"/>
    </row>
    <row r="126" spans="2:8" s="217" customFormat="1" ht="15" customHeight="1">
      <c r="B126" s="201" t="s">
        <v>1922</v>
      </c>
      <c r="C126" s="1462" t="s">
        <v>1923</v>
      </c>
      <c r="D126" s="1463"/>
      <c r="E126" s="1464"/>
      <c r="F126" s="1465"/>
      <c r="G126" s="1466"/>
      <c r="H126" s="938"/>
    </row>
    <row r="127" spans="2:8" s="217" customFormat="1" ht="330.75" customHeight="1">
      <c r="B127" s="218"/>
      <c r="C127" s="1467" t="s">
        <v>1924</v>
      </c>
      <c r="D127" s="1463" t="s">
        <v>66</v>
      </c>
      <c r="E127" s="1464">
        <v>1</v>
      </c>
      <c r="F127" s="1465"/>
      <c r="G127" s="1466"/>
      <c r="H127" s="938"/>
    </row>
    <row r="128" spans="2:8" s="217" customFormat="1" ht="240" customHeight="1">
      <c r="B128" s="218"/>
      <c r="C128" s="1468" t="s">
        <v>1925</v>
      </c>
      <c r="D128" s="1463" t="s">
        <v>1221</v>
      </c>
      <c r="E128" s="1464">
        <v>1</v>
      </c>
      <c r="F128" s="1465"/>
      <c r="G128" s="1466"/>
      <c r="H128" s="938"/>
    </row>
    <row r="129" spans="2:8" s="217" customFormat="1" ht="108.75" customHeight="1">
      <c r="B129" s="218"/>
      <c r="C129" s="1468" t="s">
        <v>1926</v>
      </c>
      <c r="D129" s="1463" t="s">
        <v>66</v>
      </c>
      <c r="E129" s="1464">
        <v>1</v>
      </c>
      <c r="F129" s="1465"/>
      <c r="G129" s="1466"/>
      <c r="H129" s="938"/>
    </row>
    <row r="130" spans="2:8" s="217" customFormat="1" ht="82.5" customHeight="1">
      <c r="B130" s="218"/>
      <c r="C130" s="1468" t="s">
        <v>1927</v>
      </c>
      <c r="D130" s="1463" t="s">
        <v>1221</v>
      </c>
      <c r="E130" s="1464">
        <v>1</v>
      </c>
      <c r="F130" s="1465"/>
      <c r="G130" s="1466"/>
      <c r="H130" s="938"/>
    </row>
    <row r="131" spans="2:8" s="217" customFormat="1" ht="328.5" customHeight="1">
      <c r="B131" s="218"/>
      <c r="C131" s="1469" t="s">
        <v>1928</v>
      </c>
      <c r="D131" s="1463" t="s">
        <v>66</v>
      </c>
      <c r="E131" s="1464">
        <v>1</v>
      </c>
      <c r="F131" s="1465"/>
      <c r="G131" s="1466"/>
      <c r="H131" s="938"/>
    </row>
    <row r="132" spans="2:8" s="217" customFormat="1" ht="18" customHeight="1">
      <c r="B132" s="218"/>
      <c r="C132" s="1469" t="s">
        <v>1929</v>
      </c>
      <c r="D132" s="1463" t="s">
        <v>1221</v>
      </c>
      <c r="E132" s="1464">
        <v>1</v>
      </c>
      <c r="F132" s="1465"/>
      <c r="G132" s="1466"/>
      <c r="H132" s="938"/>
    </row>
    <row r="133" spans="2:8" s="217" customFormat="1" ht="15" customHeight="1">
      <c r="B133" s="218"/>
      <c r="C133" s="2245" t="s">
        <v>2260</v>
      </c>
      <c r="D133" s="2246" t="s">
        <v>2259</v>
      </c>
      <c r="E133" s="2247">
        <v>1</v>
      </c>
      <c r="F133" s="2248">
        <v>0</v>
      </c>
      <c r="G133" s="2249">
        <f t="shared" ref="G133" si="5">E133*F133</f>
        <v>0</v>
      </c>
      <c r="H133" s="938"/>
    </row>
    <row r="134" spans="2:8" s="217" customFormat="1" ht="15.75" customHeight="1">
      <c r="B134" s="201" t="s">
        <v>1930</v>
      </c>
      <c r="C134" s="1470" t="s">
        <v>1931</v>
      </c>
      <c r="D134" s="1471"/>
      <c r="E134" s="1472"/>
      <c r="F134" s="1473"/>
      <c r="G134" s="1474"/>
      <c r="H134" s="938"/>
    </row>
    <row r="135" spans="2:8" s="217" customFormat="1" ht="96" customHeight="1">
      <c r="B135" s="2260"/>
      <c r="C135" s="2250"/>
      <c r="D135" s="2251"/>
      <c r="E135" s="2252"/>
      <c r="F135" s="2253"/>
      <c r="G135" s="2254"/>
      <c r="H135" s="938"/>
    </row>
    <row r="136" spans="2:8" s="217" customFormat="1" ht="96" customHeight="1">
      <c r="B136" s="2261"/>
      <c r="C136" s="2255"/>
      <c r="D136" s="2251"/>
      <c r="E136" s="2252"/>
      <c r="F136" s="2253"/>
      <c r="G136" s="2254"/>
      <c r="H136" s="938"/>
    </row>
    <row r="137" spans="2:8" s="217" customFormat="1" ht="96" customHeight="1">
      <c r="B137" s="2261"/>
      <c r="C137" s="2255"/>
      <c r="D137" s="2251"/>
      <c r="E137" s="2252"/>
      <c r="F137" s="2253"/>
      <c r="G137" s="2254"/>
      <c r="H137" s="938"/>
    </row>
    <row r="138" spans="2:8" s="217" customFormat="1" ht="96" customHeight="1">
      <c r="B138" s="2261"/>
      <c r="C138" s="2255"/>
      <c r="D138" s="2251"/>
      <c r="E138" s="2252"/>
      <c r="F138" s="2253"/>
      <c r="G138" s="2254"/>
      <c r="H138" s="938"/>
    </row>
    <row r="139" spans="2:8" s="217" customFormat="1" ht="96" customHeight="1">
      <c r="B139" s="2261"/>
      <c r="C139" s="2255"/>
      <c r="D139" s="2251"/>
      <c r="E139" s="2252"/>
      <c r="F139" s="2253"/>
      <c r="G139" s="2254"/>
      <c r="H139" s="938"/>
    </row>
    <row r="140" spans="2:8" s="217" customFormat="1" ht="96" customHeight="1">
      <c r="B140" s="2261"/>
      <c r="C140" s="2255"/>
      <c r="D140" s="2251"/>
      <c r="E140" s="2252"/>
      <c r="F140" s="2253"/>
      <c r="G140" s="2254"/>
      <c r="H140" s="938"/>
    </row>
    <row r="141" spans="2:8" s="217" customFormat="1" ht="47.25" customHeight="1">
      <c r="B141" s="2261"/>
      <c r="C141" s="2255"/>
      <c r="D141" s="2251"/>
      <c r="E141" s="2252"/>
      <c r="F141" s="2253"/>
      <c r="G141" s="2254"/>
      <c r="H141" s="938"/>
    </row>
    <row r="142" spans="2:8" s="217" customFormat="1" ht="14.25" customHeight="1">
      <c r="B142" s="2261"/>
      <c r="C142" s="2250" t="s">
        <v>2261</v>
      </c>
      <c r="D142" s="2256" t="s">
        <v>60</v>
      </c>
      <c r="E142" s="2257">
        <v>1</v>
      </c>
      <c r="F142" s="2258">
        <v>0</v>
      </c>
      <c r="G142" s="2259">
        <f t="shared" ref="G142" si="6">E142*F142</f>
        <v>0</v>
      </c>
      <c r="H142" s="938"/>
    </row>
    <row r="143" spans="2:8" s="179" customFormat="1" ht="25.5" customHeight="1">
      <c r="B143" s="258" t="s">
        <v>47</v>
      </c>
      <c r="C143" s="259" t="s">
        <v>175</v>
      </c>
      <c r="D143" s="260"/>
      <c r="E143" s="261"/>
      <c r="F143" s="262"/>
      <c r="G143" s="263">
        <f>SUM(G88:G142)</f>
        <v>0</v>
      </c>
      <c r="H143" s="938"/>
    </row>
    <row r="144" spans="2:8">
      <c r="B144" s="125"/>
      <c r="C144" s="126"/>
      <c r="D144" s="140"/>
      <c r="E144" s="719"/>
      <c r="F144" s="1107"/>
      <c r="G144" s="731"/>
    </row>
    <row r="145" spans="2:7" ht="24">
      <c r="B145" s="119" t="s">
        <v>41</v>
      </c>
      <c r="C145" s="120" t="s">
        <v>51</v>
      </c>
      <c r="D145" s="120" t="s">
        <v>52</v>
      </c>
      <c r="E145" s="122" t="s">
        <v>53</v>
      </c>
      <c r="F145" s="123" t="s">
        <v>54</v>
      </c>
      <c r="G145" s="124" t="s">
        <v>55</v>
      </c>
    </row>
    <row r="146" spans="2:7">
      <c r="B146" s="157"/>
      <c r="C146" s="158"/>
      <c r="D146" s="158"/>
      <c r="E146" s="160"/>
      <c r="F146" s="161"/>
      <c r="G146" s="162"/>
    </row>
    <row r="147" spans="2:7" ht="20.25">
      <c r="B147" s="186" t="s">
        <v>914</v>
      </c>
      <c r="C147" s="187" t="s">
        <v>916</v>
      </c>
      <c r="D147" s="165"/>
      <c r="E147" s="134"/>
      <c r="F147" s="135"/>
      <c r="G147" s="136"/>
    </row>
    <row r="148" spans="2:7">
      <c r="B148" s="2396" t="s">
        <v>551</v>
      </c>
      <c r="C148" s="2397"/>
      <c r="D148" s="2397"/>
      <c r="E148" s="2397"/>
      <c r="F148" s="2397"/>
      <c r="G148" s="2398"/>
    </row>
    <row r="149" spans="2:7" ht="25.5" customHeight="1">
      <c r="B149" s="2396" t="s">
        <v>552</v>
      </c>
      <c r="C149" s="2397"/>
      <c r="D149" s="2397"/>
      <c r="E149" s="2397"/>
      <c r="F149" s="2397"/>
      <c r="G149" s="2398"/>
    </row>
    <row r="150" spans="2:7">
      <c r="B150" s="2396" t="s">
        <v>553</v>
      </c>
      <c r="C150" s="2397"/>
      <c r="D150" s="2397"/>
      <c r="E150" s="2397"/>
      <c r="F150" s="2397"/>
      <c r="G150" s="2398"/>
    </row>
    <row r="151" spans="2:7" ht="25.5" customHeight="1">
      <c r="B151" s="2396" t="s">
        <v>554</v>
      </c>
      <c r="C151" s="2397"/>
      <c r="D151" s="2397"/>
      <c r="E151" s="2397"/>
      <c r="F151" s="2397"/>
      <c r="G151" s="2398"/>
    </row>
    <row r="152" spans="2:7" ht="25.5" customHeight="1">
      <c r="B152" s="2396" t="s">
        <v>555</v>
      </c>
      <c r="C152" s="2397"/>
      <c r="D152" s="2397"/>
      <c r="E152" s="2397"/>
      <c r="F152" s="2397"/>
      <c r="G152" s="2398"/>
    </row>
    <row r="153" spans="2:7" ht="36.75" customHeight="1">
      <c r="B153" s="2396" t="s">
        <v>556</v>
      </c>
      <c r="C153" s="2397"/>
      <c r="D153" s="2397"/>
      <c r="E153" s="2397"/>
      <c r="F153" s="2397"/>
      <c r="G153" s="2398"/>
    </row>
    <row r="154" spans="2:7">
      <c r="B154" s="2396" t="s">
        <v>557</v>
      </c>
      <c r="C154" s="2397"/>
      <c r="D154" s="2397"/>
      <c r="E154" s="2397"/>
      <c r="F154" s="2397"/>
      <c r="G154" s="2398"/>
    </row>
    <row r="155" spans="2:7">
      <c r="B155" s="188">
        <v>3</v>
      </c>
      <c r="C155" s="159" t="s">
        <v>1840</v>
      </c>
      <c r="D155" s="140"/>
      <c r="E155" s="719"/>
      <c r="F155" s="1092"/>
      <c r="G155" s="1093"/>
    </row>
    <row r="156" spans="2:7" ht="312">
      <c r="B156" s="125"/>
      <c r="C156" s="126" t="s">
        <v>1841</v>
      </c>
      <c r="D156" s="140" t="s">
        <v>60</v>
      </c>
      <c r="E156" s="719">
        <v>1</v>
      </c>
      <c r="F156" s="1107">
        <v>0</v>
      </c>
      <c r="G156" s="1093">
        <f t="shared" ref="G156:G168" si="7">E156*F156</f>
        <v>0</v>
      </c>
    </row>
    <row r="157" spans="2:7" ht="72">
      <c r="B157" s="125"/>
      <c r="C157" s="126" t="s">
        <v>1842</v>
      </c>
      <c r="D157" s="140" t="s">
        <v>60</v>
      </c>
      <c r="E157" s="719">
        <v>1</v>
      </c>
      <c r="F157" s="1107">
        <v>0</v>
      </c>
      <c r="G157" s="1093">
        <f t="shared" si="7"/>
        <v>0</v>
      </c>
    </row>
    <row r="158" spans="2:7" ht="108">
      <c r="B158" s="125"/>
      <c r="C158" s="126" t="s">
        <v>1843</v>
      </c>
      <c r="D158" s="140" t="s">
        <v>60</v>
      </c>
      <c r="E158" s="719">
        <v>1</v>
      </c>
      <c r="F158" s="1107">
        <v>0</v>
      </c>
      <c r="G158" s="1093">
        <f t="shared" si="7"/>
        <v>0</v>
      </c>
    </row>
    <row r="159" spans="2:7">
      <c r="B159" s="188">
        <v>4</v>
      </c>
      <c r="C159" s="159" t="s">
        <v>1844</v>
      </c>
      <c r="D159" s="140"/>
      <c r="E159" s="719"/>
      <c r="F159" s="1093"/>
      <c r="G159" s="1093"/>
    </row>
    <row r="160" spans="2:7" ht="72">
      <c r="B160" s="188"/>
      <c r="C160" s="716" t="s">
        <v>1932</v>
      </c>
      <c r="D160" s="140" t="s">
        <v>60</v>
      </c>
      <c r="E160" s="719">
        <v>1</v>
      </c>
      <c r="F160" s="1092">
        <v>0</v>
      </c>
      <c r="G160" s="1093">
        <f t="shared" si="7"/>
        <v>0</v>
      </c>
    </row>
    <row r="161" spans="2:7">
      <c r="B161" s="188">
        <v>5</v>
      </c>
      <c r="C161" s="159" t="s">
        <v>1849</v>
      </c>
      <c r="D161" s="140"/>
      <c r="E161" s="719"/>
      <c r="F161" s="1093"/>
      <c r="G161" s="1093"/>
    </row>
    <row r="162" spans="2:7">
      <c r="B162" s="125"/>
      <c r="C162" s="716" t="s">
        <v>1850</v>
      </c>
      <c r="D162" s="140" t="s">
        <v>397</v>
      </c>
      <c r="E162" s="719">
        <v>30</v>
      </c>
      <c r="F162" s="1092">
        <v>0</v>
      </c>
      <c r="G162" s="1093">
        <f t="shared" ref="G162:G163" si="8">E162*F162</f>
        <v>0</v>
      </c>
    </row>
    <row r="163" spans="2:7">
      <c r="B163" s="125"/>
      <c r="C163" s="716" t="s">
        <v>1315</v>
      </c>
      <c r="D163" s="140" t="s">
        <v>397</v>
      </c>
      <c r="E163" s="719">
        <v>15</v>
      </c>
      <c r="F163" s="1092">
        <v>0</v>
      </c>
      <c r="G163" s="1093">
        <f t="shared" si="8"/>
        <v>0</v>
      </c>
    </row>
    <row r="164" spans="2:7">
      <c r="B164" s="188">
        <v>6</v>
      </c>
      <c r="C164" s="159" t="s">
        <v>1357</v>
      </c>
      <c r="D164" s="140"/>
      <c r="E164" s="1093"/>
      <c r="F164" s="1093"/>
      <c r="G164" s="1093"/>
    </row>
    <row r="165" spans="2:7" ht="60">
      <c r="B165" s="125"/>
      <c r="C165" s="126" t="s">
        <v>1872</v>
      </c>
      <c r="D165" s="140" t="s">
        <v>60</v>
      </c>
      <c r="E165" s="719">
        <v>1</v>
      </c>
      <c r="F165" s="1092">
        <v>0</v>
      </c>
      <c r="G165" s="1093">
        <f t="shared" si="7"/>
        <v>0</v>
      </c>
    </row>
    <row r="166" spans="2:7" ht="36">
      <c r="B166" s="125"/>
      <c r="C166" s="126" t="s">
        <v>1862</v>
      </c>
      <c r="D166" s="140" t="s">
        <v>60</v>
      </c>
      <c r="E166" s="719">
        <v>1</v>
      </c>
      <c r="F166" s="1092">
        <v>0</v>
      </c>
      <c r="G166" s="1093">
        <f t="shared" si="7"/>
        <v>0</v>
      </c>
    </row>
    <row r="167" spans="2:7" ht="48">
      <c r="B167" s="125"/>
      <c r="C167" s="126" t="s">
        <v>1863</v>
      </c>
      <c r="D167" s="140" t="s">
        <v>60</v>
      </c>
      <c r="E167" s="719">
        <v>1</v>
      </c>
      <c r="F167" s="1092">
        <v>0</v>
      </c>
      <c r="G167" s="1093">
        <f t="shared" si="7"/>
        <v>0</v>
      </c>
    </row>
    <row r="168" spans="2:7" ht="48">
      <c r="B168" s="125"/>
      <c r="C168" s="126" t="s">
        <v>1864</v>
      </c>
      <c r="D168" s="140" t="s">
        <v>60</v>
      </c>
      <c r="E168" s="719">
        <v>1</v>
      </c>
      <c r="F168" s="1092">
        <v>0</v>
      </c>
      <c r="G168" s="1093">
        <f t="shared" si="7"/>
        <v>0</v>
      </c>
    </row>
    <row r="169" spans="2:7">
      <c r="B169" s="258" t="s">
        <v>914</v>
      </c>
      <c r="C169" s="259" t="s">
        <v>1385</v>
      </c>
      <c r="D169" s="260"/>
      <c r="E169" s="261"/>
      <c r="F169" s="262"/>
      <c r="G169" s="263">
        <f>SUM(G156:G168)</f>
        <v>0</v>
      </c>
    </row>
  </sheetData>
  <mergeCells count="9">
    <mergeCell ref="B151:G151"/>
    <mergeCell ref="B152:G152"/>
    <mergeCell ref="B153:G153"/>
    <mergeCell ref="B154:G154"/>
    <mergeCell ref="B39:G39"/>
    <mergeCell ref="B87:G87"/>
    <mergeCell ref="B148:G148"/>
    <mergeCell ref="B149:G149"/>
    <mergeCell ref="B150:G150"/>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35" max="16383" man="1"/>
    <brk id="7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8CA0-E2DB-40E3-8045-58779B75D93D}">
  <sheetPr>
    <tabColor rgb="FFFFFF00"/>
  </sheetPr>
  <dimension ref="A3:L222"/>
  <sheetViews>
    <sheetView topLeftCell="A19" workbookViewId="0">
      <selection activeCell="F44" sqref="F44"/>
    </sheetView>
  </sheetViews>
  <sheetFormatPr defaultRowHeight="12.75"/>
  <cols>
    <col min="1" max="2" width="9.140625" style="73"/>
    <col min="3" max="3" width="45.85546875" style="73" customWidth="1"/>
    <col min="4" max="4" width="10.140625" style="73" customWidth="1"/>
    <col min="5" max="5" width="13.28515625" style="73" customWidth="1"/>
    <col min="6" max="6" width="15.140625" style="73" customWidth="1"/>
    <col min="7" max="7" width="22.140625" style="73" customWidth="1"/>
    <col min="8" max="258" width="9.140625" style="73"/>
    <col min="259" max="259" width="42.7109375" style="73" customWidth="1"/>
    <col min="260" max="260" width="10.140625" style="73" customWidth="1"/>
    <col min="261" max="261" width="13.28515625" style="73" customWidth="1"/>
    <col min="262" max="262" width="15.140625" style="73" customWidth="1"/>
    <col min="263" max="263" width="22.140625" style="73" customWidth="1"/>
    <col min="264" max="514" width="9.140625" style="73"/>
    <col min="515" max="515" width="42.7109375" style="73" customWidth="1"/>
    <col min="516" max="516" width="10.140625" style="73" customWidth="1"/>
    <col min="517" max="517" width="13.28515625" style="73" customWidth="1"/>
    <col min="518" max="518" width="15.140625" style="73" customWidth="1"/>
    <col min="519" max="519" width="22.140625" style="73" customWidth="1"/>
    <col min="520" max="770" width="9.140625" style="73"/>
    <col min="771" max="771" width="42.7109375" style="73" customWidth="1"/>
    <col min="772" max="772" width="10.140625" style="73" customWidth="1"/>
    <col min="773" max="773" width="13.28515625" style="73" customWidth="1"/>
    <col min="774" max="774" width="15.140625" style="73" customWidth="1"/>
    <col min="775" max="775" width="22.140625" style="73" customWidth="1"/>
    <col min="776" max="1026" width="9.140625" style="73"/>
    <col min="1027" max="1027" width="42.7109375" style="73" customWidth="1"/>
    <col min="1028" max="1028" width="10.140625" style="73" customWidth="1"/>
    <col min="1029" max="1029" width="13.28515625" style="73" customWidth="1"/>
    <col min="1030" max="1030" width="15.140625" style="73" customWidth="1"/>
    <col min="1031" max="1031" width="22.140625" style="73" customWidth="1"/>
    <col min="1032" max="1282" width="9.140625" style="73"/>
    <col min="1283" max="1283" width="42.7109375" style="73" customWidth="1"/>
    <col min="1284" max="1284" width="10.140625" style="73" customWidth="1"/>
    <col min="1285" max="1285" width="13.28515625" style="73" customWidth="1"/>
    <col min="1286" max="1286" width="15.140625" style="73" customWidth="1"/>
    <col min="1287" max="1287" width="22.140625" style="73" customWidth="1"/>
    <col min="1288" max="1538" width="9.140625" style="73"/>
    <col min="1539" max="1539" width="42.7109375" style="73" customWidth="1"/>
    <col min="1540" max="1540" width="10.140625" style="73" customWidth="1"/>
    <col min="1541" max="1541" width="13.28515625" style="73" customWidth="1"/>
    <col min="1542" max="1542" width="15.140625" style="73" customWidth="1"/>
    <col min="1543" max="1543" width="22.140625" style="73" customWidth="1"/>
    <col min="1544" max="1794" width="9.140625" style="73"/>
    <col min="1795" max="1795" width="42.7109375" style="73" customWidth="1"/>
    <col min="1796" max="1796" width="10.140625" style="73" customWidth="1"/>
    <col min="1797" max="1797" width="13.28515625" style="73" customWidth="1"/>
    <col min="1798" max="1798" width="15.140625" style="73" customWidth="1"/>
    <col min="1799" max="1799" width="22.140625" style="73" customWidth="1"/>
    <col min="1800" max="2050" width="9.140625" style="73"/>
    <col min="2051" max="2051" width="42.7109375" style="73" customWidth="1"/>
    <col min="2052" max="2052" width="10.140625" style="73" customWidth="1"/>
    <col min="2053" max="2053" width="13.28515625" style="73" customWidth="1"/>
    <col min="2054" max="2054" width="15.140625" style="73" customWidth="1"/>
    <col min="2055" max="2055" width="22.140625" style="73" customWidth="1"/>
    <col min="2056" max="2306" width="9.140625" style="73"/>
    <col min="2307" max="2307" width="42.7109375" style="73" customWidth="1"/>
    <col min="2308" max="2308" width="10.140625" style="73" customWidth="1"/>
    <col min="2309" max="2309" width="13.28515625" style="73" customWidth="1"/>
    <col min="2310" max="2310" width="15.140625" style="73" customWidth="1"/>
    <col min="2311" max="2311" width="22.140625" style="73" customWidth="1"/>
    <col min="2312" max="2562" width="9.140625" style="73"/>
    <col min="2563" max="2563" width="42.7109375" style="73" customWidth="1"/>
    <col min="2564" max="2564" width="10.140625" style="73" customWidth="1"/>
    <col min="2565" max="2565" width="13.28515625" style="73" customWidth="1"/>
    <col min="2566" max="2566" width="15.140625" style="73" customWidth="1"/>
    <col min="2567" max="2567" width="22.140625" style="73" customWidth="1"/>
    <col min="2568" max="2818" width="9.140625" style="73"/>
    <col min="2819" max="2819" width="42.7109375" style="73" customWidth="1"/>
    <col min="2820" max="2820" width="10.140625" style="73" customWidth="1"/>
    <col min="2821" max="2821" width="13.28515625" style="73" customWidth="1"/>
    <col min="2822" max="2822" width="15.140625" style="73" customWidth="1"/>
    <col min="2823" max="2823" width="22.140625" style="73" customWidth="1"/>
    <col min="2824" max="3074" width="9.140625" style="73"/>
    <col min="3075" max="3075" width="42.7109375" style="73" customWidth="1"/>
    <col min="3076" max="3076" width="10.140625" style="73" customWidth="1"/>
    <col min="3077" max="3077" width="13.28515625" style="73" customWidth="1"/>
    <col min="3078" max="3078" width="15.140625" style="73" customWidth="1"/>
    <col min="3079" max="3079" width="22.140625" style="73" customWidth="1"/>
    <col min="3080" max="3330" width="9.140625" style="73"/>
    <col min="3331" max="3331" width="42.7109375" style="73" customWidth="1"/>
    <col min="3332" max="3332" width="10.140625" style="73" customWidth="1"/>
    <col min="3333" max="3333" width="13.28515625" style="73" customWidth="1"/>
    <col min="3334" max="3334" width="15.140625" style="73" customWidth="1"/>
    <col min="3335" max="3335" width="22.140625" style="73" customWidth="1"/>
    <col min="3336" max="3586" width="9.140625" style="73"/>
    <col min="3587" max="3587" width="42.7109375" style="73" customWidth="1"/>
    <col min="3588" max="3588" width="10.140625" style="73" customWidth="1"/>
    <col min="3589" max="3589" width="13.28515625" style="73" customWidth="1"/>
    <col min="3590" max="3590" width="15.140625" style="73" customWidth="1"/>
    <col min="3591" max="3591" width="22.140625" style="73" customWidth="1"/>
    <col min="3592" max="3842" width="9.140625" style="73"/>
    <col min="3843" max="3843" width="42.7109375" style="73" customWidth="1"/>
    <col min="3844" max="3844" width="10.140625" style="73" customWidth="1"/>
    <col min="3845" max="3845" width="13.28515625" style="73" customWidth="1"/>
    <col min="3846" max="3846" width="15.140625" style="73" customWidth="1"/>
    <col min="3847" max="3847" width="22.140625" style="73" customWidth="1"/>
    <col min="3848" max="4098" width="9.140625" style="73"/>
    <col min="4099" max="4099" width="42.7109375" style="73" customWidth="1"/>
    <col min="4100" max="4100" width="10.140625" style="73" customWidth="1"/>
    <col min="4101" max="4101" width="13.28515625" style="73" customWidth="1"/>
    <col min="4102" max="4102" width="15.140625" style="73" customWidth="1"/>
    <col min="4103" max="4103" width="22.140625" style="73" customWidth="1"/>
    <col min="4104" max="4354" width="9.140625" style="73"/>
    <col min="4355" max="4355" width="42.7109375" style="73" customWidth="1"/>
    <col min="4356" max="4356" width="10.140625" style="73" customWidth="1"/>
    <col min="4357" max="4357" width="13.28515625" style="73" customWidth="1"/>
    <col min="4358" max="4358" width="15.140625" style="73" customWidth="1"/>
    <col min="4359" max="4359" width="22.140625" style="73" customWidth="1"/>
    <col min="4360" max="4610" width="9.140625" style="73"/>
    <col min="4611" max="4611" width="42.7109375" style="73" customWidth="1"/>
    <col min="4612" max="4612" width="10.140625" style="73" customWidth="1"/>
    <col min="4613" max="4613" width="13.28515625" style="73" customWidth="1"/>
    <col min="4614" max="4614" width="15.140625" style="73" customWidth="1"/>
    <col min="4615" max="4615" width="22.140625" style="73" customWidth="1"/>
    <col min="4616" max="4866" width="9.140625" style="73"/>
    <col min="4867" max="4867" width="42.7109375" style="73" customWidth="1"/>
    <col min="4868" max="4868" width="10.140625" style="73" customWidth="1"/>
    <col min="4869" max="4869" width="13.28515625" style="73" customWidth="1"/>
    <col min="4870" max="4870" width="15.140625" style="73" customWidth="1"/>
    <col min="4871" max="4871" width="22.140625" style="73" customWidth="1"/>
    <col min="4872" max="5122" width="9.140625" style="73"/>
    <col min="5123" max="5123" width="42.7109375" style="73" customWidth="1"/>
    <col min="5124" max="5124" width="10.140625" style="73" customWidth="1"/>
    <col min="5125" max="5125" width="13.28515625" style="73" customWidth="1"/>
    <col min="5126" max="5126" width="15.140625" style="73" customWidth="1"/>
    <col min="5127" max="5127" width="22.140625" style="73" customWidth="1"/>
    <col min="5128" max="5378" width="9.140625" style="73"/>
    <col min="5379" max="5379" width="42.7109375" style="73" customWidth="1"/>
    <col min="5380" max="5380" width="10.140625" style="73" customWidth="1"/>
    <col min="5381" max="5381" width="13.28515625" style="73" customWidth="1"/>
    <col min="5382" max="5382" width="15.140625" style="73" customWidth="1"/>
    <col min="5383" max="5383" width="22.140625" style="73" customWidth="1"/>
    <col min="5384" max="5634" width="9.140625" style="73"/>
    <col min="5635" max="5635" width="42.7109375" style="73" customWidth="1"/>
    <col min="5636" max="5636" width="10.140625" style="73" customWidth="1"/>
    <col min="5637" max="5637" width="13.28515625" style="73" customWidth="1"/>
    <col min="5638" max="5638" width="15.140625" style="73" customWidth="1"/>
    <col min="5639" max="5639" width="22.140625" style="73" customWidth="1"/>
    <col min="5640" max="5890" width="9.140625" style="73"/>
    <col min="5891" max="5891" width="42.7109375" style="73" customWidth="1"/>
    <col min="5892" max="5892" width="10.140625" style="73" customWidth="1"/>
    <col min="5893" max="5893" width="13.28515625" style="73" customWidth="1"/>
    <col min="5894" max="5894" width="15.140625" style="73" customWidth="1"/>
    <col min="5895" max="5895" width="22.140625" style="73" customWidth="1"/>
    <col min="5896" max="6146" width="9.140625" style="73"/>
    <col min="6147" max="6147" width="42.7109375" style="73" customWidth="1"/>
    <col min="6148" max="6148" width="10.140625" style="73" customWidth="1"/>
    <col min="6149" max="6149" width="13.28515625" style="73" customWidth="1"/>
    <col min="6150" max="6150" width="15.140625" style="73" customWidth="1"/>
    <col min="6151" max="6151" width="22.140625" style="73" customWidth="1"/>
    <col min="6152" max="6402" width="9.140625" style="73"/>
    <col min="6403" max="6403" width="42.7109375" style="73" customWidth="1"/>
    <col min="6404" max="6404" width="10.140625" style="73" customWidth="1"/>
    <col min="6405" max="6405" width="13.28515625" style="73" customWidth="1"/>
    <col min="6406" max="6406" width="15.140625" style="73" customWidth="1"/>
    <col min="6407" max="6407" width="22.140625" style="73" customWidth="1"/>
    <col min="6408" max="6658" width="9.140625" style="73"/>
    <col min="6659" max="6659" width="42.7109375" style="73" customWidth="1"/>
    <col min="6660" max="6660" width="10.140625" style="73" customWidth="1"/>
    <col min="6661" max="6661" width="13.28515625" style="73" customWidth="1"/>
    <col min="6662" max="6662" width="15.140625" style="73" customWidth="1"/>
    <col min="6663" max="6663" width="22.140625" style="73" customWidth="1"/>
    <col min="6664" max="6914" width="9.140625" style="73"/>
    <col min="6915" max="6915" width="42.7109375" style="73" customWidth="1"/>
    <col min="6916" max="6916" width="10.140625" style="73" customWidth="1"/>
    <col min="6917" max="6917" width="13.28515625" style="73" customWidth="1"/>
    <col min="6918" max="6918" width="15.140625" style="73" customWidth="1"/>
    <col min="6919" max="6919" width="22.140625" style="73" customWidth="1"/>
    <col min="6920" max="7170" width="9.140625" style="73"/>
    <col min="7171" max="7171" width="42.7109375" style="73" customWidth="1"/>
    <col min="7172" max="7172" width="10.140625" style="73" customWidth="1"/>
    <col min="7173" max="7173" width="13.28515625" style="73" customWidth="1"/>
    <col min="7174" max="7174" width="15.140625" style="73" customWidth="1"/>
    <col min="7175" max="7175" width="22.140625" style="73" customWidth="1"/>
    <col min="7176" max="7426" width="9.140625" style="73"/>
    <col min="7427" max="7427" width="42.7109375" style="73" customWidth="1"/>
    <col min="7428" max="7428" width="10.140625" style="73" customWidth="1"/>
    <col min="7429" max="7429" width="13.28515625" style="73" customWidth="1"/>
    <col min="7430" max="7430" width="15.140625" style="73" customWidth="1"/>
    <col min="7431" max="7431" width="22.140625" style="73" customWidth="1"/>
    <col min="7432" max="7682" width="9.140625" style="73"/>
    <col min="7683" max="7683" width="42.7109375" style="73" customWidth="1"/>
    <col min="7684" max="7684" width="10.140625" style="73" customWidth="1"/>
    <col min="7685" max="7685" width="13.28515625" style="73" customWidth="1"/>
    <col min="7686" max="7686" width="15.140625" style="73" customWidth="1"/>
    <col min="7687" max="7687" width="22.140625" style="73" customWidth="1"/>
    <col min="7688" max="7938" width="9.140625" style="73"/>
    <col min="7939" max="7939" width="42.7109375" style="73" customWidth="1"/>
    <col min="7940" max="7940" width="10.140625" style="73" customWidth="1"/>
    <col min="7941" max="7941" width="13.28515625" style="73" customWidth="1"/>
    <col min="7942" max="7942" width="15.140625" style="73" customWidth="1"/>
    <col min="7943" max="7943" width="22.140625" style="73" customWidth="1"/>
    <col min="7944" max="8194" width="9.140625" style="73"/>
    <col min="8195" max="8195" width="42.7109375" style="73" customWidth="1"/>
    <col min="8196" max="8196" width="10.140625" style="73" customWidth="1"/>
    <col min="8197" max="8197" width="13.28515625" style="73" customWidth="1"/>
    <col min="8198" max="8198" width="15.140625" style="73" customWidth="1"/>
    <col min="8199" max="8199" width="22.140625" style="73" customWidth="1"/>
    <col min="8200" max="8450" width="9.140625" style="73"/>
    <col min="8451" max="8451" width="42.7109375" style="73" customWidth="1"/>
    <col min="8452" max="8452" width="10.140625" style="73" customWidth="1"/>
    <col min="8453" max="8453" width="13.28515625" style="73" customWidth="1"/>
    <col min="8454" max="8454" width="15.140625" style="73" customWidth="1"/>
    <col min="8455" max="8455" width="22.140625" style="73" customWidth="1"/>
    <col min="8456" max="8706" width="9.140625" style="73"/>
    <col min="8707" max="8707" width="42.7109375" style="73" customWidth="1"/>
    <col min="8708" max="8708" width="10.140625" style="73" customWidth="1"/>
    <col min="8709" max="8709" width="13.28515625" style="73" customWidth="1"/>
    <col min="8710" max="8710" width="15.140625" style="73" customWidth="1"/>
    <col min="8711" max="8711" width="22.140625" style="73" customWidth="1"/>
    <col min="8712" max="8962" width="9.140625" style="73"/>
    <col min="8963" max="8963" width="42.7109375" style="73" customWidth="1"/>
    <col min="8964" max="8964" width="10.140625" style="73" customWidth="1"/>
    <col min="8965" max="8965" width="13.28515625" style="73" customWidth="1"/>
    <col min="8966" max="8966" width="15.140625" style="73" customWidth="1"/>
    <col min="8967" max="8967" width="22.140625" style="73" customWidth="1"/>
    <col min="8968" max="9218" width="9.140625" style="73"/>
    <col min="9219" max="9219" width="42.7109375" style="73" customWidth="1"/>
    <col min="9220" max="9220" width="10.140625" style="73" customWidth="1"/>
    <col min="9221" max="9221" width="13.28515625" style="73" customWidth="1"/>
    <col min="9222" max="9222" width="15.140625" style="73" customWidth="1"/>
    <col min="9223" max="9223" width="22.140625" style="73" customWidth="1"/>
    <col min="9224" max="9474" width="9.140625" style="73"/>
    <col min="9475" max="9475" width="42.7109375" style="73" customWidth="1"/>
    <col min="9476" max="9476" width="10.140625" style="73" customWidth="1"/>
    <col min="9477" max="9477" width="13.28515625" style="73" customWidth="1"/>
    <col min="9478" max="9478" width="15.140625" style="73" customWidth="1"/>
    <col min="9479" max="9479" width="22.140625" style="73" customWidth="1"/>
    <col min="9480" max="9730" width="9.140625" style="73"/>
    <col min="9731" max="9731" width="42.7109375" style="73" customWidth="1"/>
    <col min="9732" max="9732" width="10.140625" style="73" customWidth="1"/>
    <col min="9733" max="9733" width="13.28515625" style="73" customWidth="1"/>
    <col min="9734" max="9734" width="15.140625" style="73" customWidth="1"/>
    <col min="9735" max="9735" width="22.140625" style="73" customWidth="1"/>
    <col min="9736" max="9986" width="9.140625" style="73"/>
    <col min="9987" max="9987" width="42.7109375" style="73" customWidth="1"/>
    <col min="9988" max="9988" width="10.140625" style="73" customWidth="1"/>
    <col min="9989" max="9989" width="13.28515625" style="73" customWidth="1"/>
    <col min="9990" max="9990" width="15.140625" style="73" customWidth="1"/>
    <col min="9991" max="9991" width="22.140625" style="73" customWidth="1"/>
    <col min="9992" max="10242" width="9.140625" style="73"/>
    <col min="10243" max="10243" width="42.7109375" style="73" customWidth="1"/>
    <col min="10244" max="10244" width="10.140625" style="73" customWidth="1"/>
    <col min="10245" max="10245" width="13.28515625" style="73" customWidth="1"/>
    <col min="10246" max="10246" width="15.140625" style="73" customWidth="1"/>
    <col min="10247" max="10247" width="22.140625" style="73" customWidth="1"/>
    <col min="10248" max="10498" width="9.140625" style="73"/>
    <col min="10499" max="10499" width="42.7109375" style="73" customWidth="1"/>
    <col min="10500" max="10500" width="10.140625" style="73" customWidth="1"/>
    <col min="10501" max="10501" width="13.28515625" style="73" customWidth="1"/>
    <col min="10502" max="10502" width="15.140625" style="73" customWidth="1"/>
    <col min="10503" max="10503" width="22.140625" style="73" customWidth="1"/>
    <col min="10504" max="10754" width="9.140625" style="73"/>
    <col min="10755" max="10755" width="42.7109375" style="73" customWidth="1"/>
    <col min="10756" max="10756" width="10.140625" style="73" customWidth="1"/>
    <col min="10757" max="10757" width="13.28515625" style="73" customWidth="1"/>
    <col min="10758" max="10758" width="15.140625" style="73" customWidth="1"/>
    <col min="10759" max="10759" width="22.140625" style="73" customWidth="1"/>
    <col min="10760" max="11010" width="9.140625" style="73"/>
    <col min="11011" max="11011" width="42.7109375" style="73" customWidth="1"/>
    <col min="11012" max="11012" width="10.140625" style="73" customWidth="1"/>
    <col min="11013" max="11013" width="13.28515625" style="73" customWidth="1"/>
    <col min="11014" max="11014" width="15.140625" style="73" customWidth="1"/>
    <col min="11015" max="11015" width="22.140625" style="73" customWidth="1"/>
    <col min="11016" max="11266" width="9.140625" style="73"/>
    <col min="11267" max="11267" width="42.7109375" style="73" customWidth="1"/>
    <col min="11268" max="11268" width="10.140625" style="73" customWidth="1"/>
    <col min="11269" max="11269" width="13.28515625" style="73" customWidth="1"/>
    <col min="11270" max="11270" width="15.140625" style="73" customWidth="1"/>
    <col min="11271" max="11271" width="22.140625" style="73" customWidth="1"/>
    <col min="11272" max="11522" width="9.140625" style="73"/>
    <col min="11523" max="11523" width="42.7109375" style="73" customWidth="1"/>
    <col min="11524" max="11524" width="10.140625" style="73" customWidth="1"/>
    <col min="11525" max="11525" width="13.28515625" style="73" customWidth="1"/>
    <col min="11526" max="11526" width="15.140625" style="73" customWidth="1"/>
    <col min="11527" max="11527" width="22.140625" style="73" customWidth="1"/>
    <col min="11528" max="11778" width="9.140625" style="73"/>
    <col min="11779" max="11779" width="42.7109375" style="73" customWidth="1"/>
    <col min="11780" max="11780" width="10.140625" style="73" customWidth="1"/>
    <col min="11781" max="11781" width="13.28515625" style="73" customWidth="1"/>
    <col min="11782" max="11782" width="15.140625" style="73" customWidth="1"/>
    <col min="11783" max="11783" width="22.140625" style="73" customWidth="1"/>
    <col min="11784" max="12034" width="9.140625" style="73"/>
    <col min="12035" max="12035" width="42.7109375" style="73" customWidth="1"/>
    <col min="12036" max="12036" width="10.140625" style="73" customWidth="1"/>
    <col min="12037" max="12037" width="13.28515625" style="73" customWidth="1"/>
    <col min="12038" max="12038" width="15.140625" style="73" customWidth="1"/>
    <col min="12039" max="12039" width="22.140625" style="73" customWidth="1"/>
    <col min="12040" max="12290" width="9.140625" style="73"/>
    <col min="12291" max="12291" width="42.7109375" style="73" customWidth="1"/>
    <col min="12292" max="12292" width="10.140625" style="73" customWidth="1"/>
    <col min="12293" max="12293" width="13.28515625" style="73" customWidth="1"/>
    <col min="12294" max="12294" width="15.140625" style="73" customWidth="1"/>
    <col min="12295" max="12295" width="22.140625" style="73" customWidth="1"/>
    <col min="12296" max="12546" width="9.140625" style="73"/>
    <col min="12547" max="12547" width="42.7109375" style="73" customWidth="1"/>
    <col min="12548" max="12548" width="10.140625" style="73" customWidth="1"/>
    <col min="12549" max="12549" width="13.28515625" style="73" customWidth="1"/>
    <col min="12550" max="12550" width="15.140625" style="73" customWidth="1"/>
    <col min="12551" max="12551" width="22.140625" style="73" customWidth="1"/>
    <col min="12552" max="12802" width="9.140625" style="73"/>
    <col min="12803" max="12803" width="42.7109375" style="73" customWidth="1"/>
    <col min="12804" max="12804" width="10.140625" style="73" customWidth="1"/>
    <col min="12805" max="12805" width="13.28515625" style="73" customWidth="1"/>
    <col min="12806" max="12806" width="15.140625" style="73" customWidth="1"/>
    <col min="12807" max="12807" width="22.140625" style="73" customWidth="1"/>
    <col min="12808" max="13058" width="9.140625" style="73"/>
    <col min="13059" max="13059" width="42.7109375" style="73" customWidth="1"/>
    <col min="13060" max="13060" width="10.140625" style="73" customWidth="1"/>
    <col min="13061" max="13061" width="13.28515625" style="73" customWidth="1"/>
    <col min="13062" max="13062" width="15.140625" style="73" customWidth="1"/>
    <col min="13063" max="13063" width="22.140625" style="73" customWidth="1"/>
    <col min="13064" max="13314" width="9.140625" style="73"/>
    <col min="13315" max="13315" width="42.7109375" style="73" customWidth="1"/>
    <col min="13316" max="13316" width="10.140625" style="73" customWidth="1"/>
    <col min="13317" max="13317" width="13.28515625" style="73" customWidth="1"/>
    <col min="13318" max="13318" width="15.140625" style="73" customWidth="1"/>
    <col min="13319" max="13319" width="22.140625" style="73" customWidth="1"/>
    <col min="13320" max="13570" width="9.140625" style="73"/>
    <col min="13571" max="13571" width="42.7109375" style="73" customWidth="1"/>
    <col min="13572" max="13572" width="10.140625" style="73" customWidth="1"/>
    <col min="13573" max="13573" width="13.28515625" style="73" customWidth="1"/>
    <col min="13574" max="13574" width="15.140625" style="73" customWidth="1"/>
    <col min="13575" max="13575" width="22.140625" style="73" customWidth="1"/>
    <col min="13576" max="13826" width="9.140625" style="73"/>
    <col min="13827" max="13827" width="42.7109375" style="73" customWidth="1"/>
    <col min="13828" max="13828" width="10.140625" style="73" customWidth="1"/>
    <col min="13829" max="13829" width="13.28515625" style="73" customWidth="1"/>
    <col min="13830" max="13830" width="15.140625" style="73" customWidth="1"/>
    <col min="13831" max="13831" width="22.140625" style="73" customWidth="1"/>
    <col min="13832" max="14082" width="9.140625" style="73"/>
    <col min="14083" max="14083" width="42.7109375" style="73" customWidth="1"/>
    <col min="14084" max="14084" width="10.140625" style="73" customWidth="1"/>
    <col min="14085" max="14085" width="13.28515625" style="73" customWidth="1"/>
    <col min="14086" max="14086" width="15.140625" style="73" customWidth="1"/>
    <col min="14087" max="14087" width="22.140625" style="73" customWidth="1"/>
    <col min="14088" max="14338" width="9.140625" style="73"/>
    <col min="14339" max="14339" width="42.7109375" style="73" customWidth="1"/>
    <col min="14340" max="14340" width="10.140625" style="73" customWidth="1"/>
    <col min="14341" max="14341" width="13.28515625" style="73" customWidth="1"/>
    <col min="14342" max="14342" width="15.140625" style="73" customWidth="1"/>
    <col min="14343" max="14343" width="22.140625" style="73" customWidth="1"/>
    <col min="14344" max="14594" width="9.140625" style="73"/>
    <col min="14595" max="14595" width="42.7109375" style="73" customWidth="1"/>
    <col min="14596" max="14596" width="10.140625" style="73" customWidth="1"/>
    <col min="14597" max="14597" width="13.28515625" style="73" customWidth="1"/>
    <col min="14598" max="14598" width="15.140625" style="73" customWidth="1"/>
    <col min="14599" max="14599" width="22.140625" style="73" customWidth="1"/>
    <col min="14600" max="14850" width="9.140625" style="73"/>
    <col min="14851" max="14851" width="42.7109375" style="73" customWidth="1"/>
    <col min="14852" max="14852" width="10.140625" style="73" customWidth="1"/>
    <col min="14853" max="14853" width="13.28515625" style="73" customWidth="1"/>
    <col min="14854" max="14854" width="15.140625" style="73" customWidth="1"/>
    <col min="14855" max="14855" width="22.140625" style="73" customWidth="1"/>
    <col min="14856" max="15106" width="9.140625" style="73"/>
    <col min="15107" max="15107" width="42.7109375" style="73" customWidth="1"/>
    <col min="15108" max="15108" width="10.140625" style="73" customWidth="1"/>
    <col min="15109" max="15109" width="13.28515625" style="73" customWidth="1"/>
    <col min="15110" max="15110" width="15.140625" style="73" customWidth="1"/>
    <col min="15111" max="15111" width="22.140625" style="73" customWidth="1"/>
    <col min="15112" max="15362" width="9.140625" style="73"/>
    <col min="15363" max="15363" width="42.7109375" style="73" customWidth="1"/>
    <col min="15364" max="15364" width="10.140625" style="73" customWidth="1"/>
    <col min="15365" max="15365" width="13.28515625" style="73" customWidth="1"/>
    <col min="15366" max="15366" width="15.140625" style="73" customWidth="1"/>
    <col min="15367" max="15367" width="22.140625" style="73" customWidth="1"/>
    <col min="15368" max="15618" width="9.140625" style="73"/>
    <col min="15619" max="15619" width="42.7109375" style="73" customWidth="1"/>
    <col min="15620" max="15620" width="10.140625" style="73" customWidth="1"/>
    <col min="15621" max="15621" width="13.28515625" style="73" customWidth="1"/>
    <col min="15622" max="15622" width="15.140625" style="73" customWidth="1"/>
    <col min="15623" max="15623" width="22.140625" style="73" customWidth="1"/>
    <col min="15624" max="15874" width="9.140625" style="73"/>
    <col min="15875" max="15875" width="42.7109375" style="73" customWidth="1"/>
    <col min="15876" max="15876" width="10.140625" style="73" customWidth="1"/>
    <col min="15877" max="15877" width="13.28515625" style="73" customWidth="1"/>
    <col min="15878" max="15878" width="15.140625" style="73" customWidth="1"/>
    <col min="15879" max="15879" width="22.140625" style="73" customWidth="1"/>
    <col min="15880" max="16130" width="9.140625" style="73"/>
    <col min="16131" max="16131" width="42.7109375" style="73" customWidth="1"/>
    <col min="16132" max="16132" width="10.140625" style="73" customWidth="1"/>
    <col min="16133" max="16133" width="13.28515625" style="73" customWidth="1"/>
    <col min="16134" max="16134" width="15.140625" style="73" customWidth="1"/>
    <col min="16135" max="16135" width="22.140625" style="73" customWidth="1"/>
    <col min="16136" max="16384" width="9.140625" style="73"/>
  </cols>
  <sheetData>
    <row r="3" spans="1:12" s="312" customFormat="1" ht="16.5" customHeight="1">
      <c r="B3" s="288"/>
      <c r="C3" s="313" t="s">
        <v>241</v>
      </c>
      <c r="D3" s="290"/>
      <c r="E3" s="291"/>
      <c r="F3" s="292"/>
      <c r="G3" s="314" t="s">
        <v>1</v>
      </c>
      <c r="H3" s="315"/>
    </row>
    <row r="4" spans="1:12" s="312" customFormat="1">
      <c r="B4" s="285"/>
      <c r="C4" s="286"/>
      <c r="D4" s="287"/>
      <c r="E4" s="70"/>
      <c r="F4" s="71"/>
      <c r="G4" s="66"/>
      <c r="H4" s="315"/>
    </row>
    <row r="5" spans="1:12" ht="15">
      <c r="B5" s="316" t="s">
        <v>35</v>
      </c>
      <c r="C5" s="317" t="s">
        <v>377</v>
      </c>
      <c r="D5" s="318"/>
      <c r="E5" s="319"/>
      <c r="F5" s="320"/>
      <c r="G5" s="321"/>
      <c r="H5" s="322"/>
    </row>
    <row r="6" spans="1:12" ht="12" customHeight="1">
      <c r="B6" s="80"/>
      <c r="C6" s="81"/>
      <c r="D6" s="82"/>
      <c r="E6" s="83"/>
      <c r="F6" s="84"/>
      <c r="G6" s="85"/>
      <c r="H6" s="322"/>
    </row>
    <row r="7" spans="1:12" s="86" customFormat="1" ht="21" customHeight="1">
      <c r="B7" s="323" t="s">
        <v>37</v>
      </c>
      <c r="C7" s="324" t="s">
        <v>378</v>
      </c>
      <c r="D7" s="318"/>
      <c r="E7" s="319"/>
      <c r="F7" s="320"/>
      <c r="G7" s="321"/>
      <c r="H7" s="325"/>
      <c r="I7" s="87"/>
      <c r="J7" s="87"/>
      <c r="K7" s="87"/>
      <c r="L7" s="87"/>
    </row>
    <row r="8" spans="1:12" s="86" customFormat="1" ht="14.25">
      <c r="B8" s="80"/>
      <c r="C8" s="81"/>
      <c r="D8" s="82"/>
      <c r="E8" s="83"/>
      <c r="F8" s="84"/>
      <c r="G8" s="88"/>
      <c r="H8" s="325"/>
      <c r="I8" s="87"/>
      <c r="J8" s="87"/>
      <c r="K8" s="87"/>
      <c r="L8" s="87"/>
    </row>
    <row r="9" spans="1:12" s="14" customFormat="1" ht="18" customHeight="1">
      <c r="A9" s="9"/>
      <c r="B9" s="294" t="s">
        <v>2</v>
      </c>
      <c r="C9" s="295"/>
      <c r="D9" s="296"/>
      <c r="E9" s="296"/>
      <c r="F9" s="296"/>
      <c r="G9" s="297"/>
    </row>
    <row r="10" spans="1:12" s="14" customFormat="1" ht="18" customHeight="1">
      <c r="A10" s="15"/>
      <c r="B10" s="298" t="s">
        <v>3</v>
      </c>
      <c r="C10" s="299"/>
      <c r="D10" s="300"/>
      <c r="E10" s="301"/>
      <c r="F10" s="301"/>
      <c r="G10" s="300"/>
    </row>
    <row r="11" spans="1:12" s="14" customFormat="1" ht="18" customHeight="1">
      <c r="A11" s="9"/>
      <c r="B11" s="294" t="s">
        <v>4</v>
      </c>
      <c r="C11" s="295"/>
      <c r="D11" s="296"/>
      <c r="E11" s="296"/>
      <c r="F11" s="296"/>
      <c r="G11" s="297"/>
    </row>
    <row r="12" spans="1:12" s="14" customFormat="1" ht="18" customHeight="1">
      <c r="A12" s="15"/>
      <c r="B12" s="298" t="s">
        <v>5</v>
      </c>
      <c r="C12" s="299"/>
      <c r="D12" s="301"/>
      <c r="E12" s="301"/>
      <c r="F12" s="301"/>
      <c r="G12" s="300"/>
    </row>
    <row r="13" spans="1:12" s="86" customFormat="1" ht="14.25">
      <c r="B13" s="89"/>
      <c r="C13" s="90"/>
      <c r="D13" s="91"/>
      <c r="E13" s="92"/>
      <c r="F13" s="93"/>
      <c r="G13" s="94"/>
      <c r="H13" s="325"/>
      <c r="I13" s="87"/>
      <c r="J13" s="87"/>
      <c r="K13" s="87"/>
      <c r="L13" s="87"/>
    </row>
    <row r="14" spans="1:12" s="86" customFormat="1" ht="18.75" customHeight="1">
      <c r="B14" s="326"/>
      <c r="C14" s="327" t="s">
        <v>40</v>
      </c>
      <c r="D14" s="328"/>
      <c r="E14" s="329"/>
      <c r="F14" s="330"/>
      <c r="G14" s="331"/>
      <c r="H14" s="325"/>
      <c r="I14" s="87"/>
      <c r="J14" s="87"/>
      <c r="K14" s="87"/>
      <c r="L14" s="87"/>
    </row>
    <row r="15" spans="1:12" s="101" customFormat="1" ht="18.75" customHeight="1">
      <c r="B15" s="332" t="s">
        <v>41</v>
      </c>
      <c r="C15" s="333" t="s">
        <v>42</v>
      </c>
      <c r="D15" s="334"/>
      <c r="E15" s="335"/>
      <c r="F15" s="336"/>
      <c r="G15" s="337" t="s">
        <v>10</v>
      </c>
      <c r="H15" s="338"/>
    </row>
    <row r="16" spans="1:12" s="339" customFormat="1" ht="18.75" customHeight="1">
      <c r="B16" s="340" t="s">
        <v>43</v>
      </c>
      <c r="C16" s="341" t="s">
        <v>44</v>
      </c>
      <c r="D16" s="342"/>
      <c r="E16" s="343"/>
      <c r="F16" s="344"/>
      <c r="G16" s="434">
        <f>G37</f>
        <v>0</v>
      </c>
      <c r="H16" s="346"/>
    </row>
    <row r="17" spans="2:8" s="339" customFormat="1" ht="18.75" customHeight="1">
      <c r="B17" s="340" t="s">
        <v>45</v>
      </c>
      <c r="C17" s="341" t="s">
        <v>46</v>
      </c>
      <c r="D17" s="342"/>
      <c r="E17" s="343"/>
      <c r="F17" s="344"/>
      <c r="G17" s="434">
        <f>G73</f>
        <v>0</v>
      </c>
      <c r="H17" s="346"/>
    </row>
    <row r="18" spans="2:8" s="339" customFormat="1" ht="18.75" customHeight="1">
      <c r="B18" s="340" t="s">
        <v>47</v>
      </c>
      <c r="C18" s="341" t="s">
        <v>48</v>
      </c>
      <c r="D18" s="342"/>
      <c r="E18" s="343"/>
      <c r="F18" s="344"/>
      <c r="G18" s="434">
        <f>G220</f>
        <v>0</v>
      </c>
      <c r="H18" s="346"/>
    </row>
    <row r="19" spans="2:8" s="339" customFormat="1" ht="18.75" customHeight="1">
      <c r="B19" s="347"/>
      <c r="C19" s="348" t="s">
        <v>49</v>
      </c>
      <c r="D19" s="349"/>
      <c r="E19" s="350"/>
      <c r="F19" s="351"/>
      <c r="G19" s="435">
        <f>SUM(G16:G18)</f>
        <v>0</v>
      </c>
      <c r="H19" s="346"/>
    </row>
    <row r="20" spans="2:8" s="312" customFormat="1">
      <c r="B20" s="353"/>
      <c r="C20" s="354"/>
      <c r="D20" s="355"/>
      <c r="E20" s="64"/>
      <c r="F20" s="65"/>
      <c r="G20" s="66"/>
      <c r="H20" s="315"/>
    </row>
    <row r="21" spans="2:8" s="312" customFormat="1">
      <c r="B21" s="285"/>
      <c r="C21" s="286"/>
      <c r="D21" s="287"/>
      <c r="E21" s="70"/>
      <c r="F21" s="71"/>
      <c r="G21" s="118"/>
      <c r="H21" s="315"/>
    </row>
    <row r="22" spans="2:8" s="312" customFormat="1" ht="24">
      <c r="B22" s="356" t="s">
        <v>41</v>
      </c>
      <c r="C22" s="357" t="s">
        <v>51</v>
      </c>
      <c r="D22" s="358" t="s">
        <v>52</v>
      </c>
      <c r="E22" s="359" t="s">
        <v>53</v>
      </c>
      <c r="F22" s="360" t="s">
        <v>54</v>
      </c>
      <c r="G22" s="361" t="s">
        <v>55</v>
      </c>
      <c r="H22" s="315"/>
    </row>
    <row r="23" spans="2:8" s="312" customFormat="1">
      <c r="B23" s="362"/>
      <c r="C23" s="363"/>
      <c r="D23" s="364"/>
      <c r="E23" s="128"/>
      <c r="F23" s="129"/>
      <c r="G23" s="130"/>
      <c r="H23" s="315"/>
    </row>
    <row r="24" spans="2:8" s="372" customFormat="1" ht="20.25">
      <c r="B24" s="365" t="s">
        <v>43</v>
      </c>
      <c r="C24" s="366" t="s">
        <v>44</v>
      </c>
      <c r="D24" s="367"/>
      <c r="E24" s="368"/>
      <c r="F24" s="369"/>
      <c r="G24" s="370"/>
      <c r="H24" s="371"/>
    </row>
    <row r="25" spans="2:8" s="312" customFormat="1" ht="43.5" customHeight="1">
      <c r="B25" s="362">
        <v>1</v>
      </c>
      <c r="C25" s="373" t="s">
        <v>56</v>
      </c>
      <c r="D25" s="374" t="s">
        <v>57</v>
      </c>
      <c r="E25" s="128">
        <v>1420</v>
      </c>
      <c r="F25" s="375">
        <v>0</v>
      </c>
      <c r="G25" s="376">
        <f t="shared" ref="G25:G36" si="0">E25*F25</f>
        <v>0</v>
      </c>
      <c r="H25" s="315"/>
    </row>
    <row r="26" spans="2:8" s="312" customFormat="1" ht="24.75" customHeight="1">
      <c r="B26" s="362">
        <v>2</v>
      </c>
      <c r="C26" s="373" t="s">
        <v>58</v>
      </c>
      <c r="D26" s="374" t="s">
        <v>252</v>
      </c>
      <c r="E26" s="128">
        <v>70</v>
      </c>
      <c r="F26" s="375">
        <v>0</v>
      </c>
      <c r="G26" s="376">
        <f t="shared" si="0"/>
        <v>0</v>
      </c>
      <c r="H26" s="315"/>
    </row>
    <row r="27" spans="2:8" s="312" customFormat="1" ht="66" customHeight="1">
      <c r="B27" s="362">
        <v>3</v>
      </c>
      <c r="C27" s="373" t="s">
        <v>245</v>
      </c>
      <c r="D27" s="374" t="s">
        <v>60</v>
      </c>
      <c r="E27" s="128">
        <v>1</v>
      </c>
      <c r="F27" s="375">
        <v>0</v>
      </c>
      <c r="G27" s="376">
        <f t="shared" si="0"/>
        <v>0</v>
      </c>
      <c r="H27" s="378"/>
    </row>
    <row r="28" spans="2:8" s="312" customFormat="1" ht="134.25" customHeight="1">
      <c r="B28" s="362">
        <v>4</v>
      </c>
      <c r="C28" s="379" t="s">
        <v>61</v>
      </c>
      <c r="D28" s="380" t="s">
        <v>60</v>
      </c>
      <c r="E28" s="128">
        <v>1</v>
      </c>
      <c r="F28" s="375">
        <v>0</v>
      </c>
      <c r="G28" s="376">
        <f t="shared" si="0"/>
        <v>0</v>
      </c>
      <c r="H28" s="315"/>
    </row>
    <row r="29" spans="2:8" s="312" customFormat="1" ht="30.75" customHeight="1">
      <c r="B29" s="362">
        <v>5</v>
      </c>
      <c r="C29" s="379" t="s">
        <v>62</v>
      </c>
      <c r="D29" s="146" t="s">
        <v>60</v>
      </c>
      <c r="E29" s="128">
        <v>1</v>
      </c>
      <c r="F29" s="375">
        <v>0</v>
      </c>
      <c r="G29" s="376">
        <f t="shared" si="0"/>
        <v>0</v>
      </c>
      <c r="H29" s="315"/>
    </row>
    <row r="30" spans="2:8" s="312" customFormat="1" ht="27" customHeight="1">
      <c r="B30" s="362">
        <v>6</v>
      </c>
      <c r="C30" s="147" t="s">
        <v>63</v>
      </c>
      <c r="D30" s="146" t="s">
        <v>60</v>
      </c>
      <c r="E30" s="128">
        <v>100</v>
      </c>
      <c r="F30" s="375">
        <v>0</v>
      </c>
      <c r="G30" s="376">
        <f t="shared" si="0"/>
        <v>0</v>
      </c>
      <c r="H30" s="315"/>
    </row>
    <row r="31" spans="2:8" s="312" customFormat="1" ht="43.5" customHeight="1">
      <c r="B31" s="362">
        <v>7</v>
      </c>
      <c r="C31" s="147" t="s">
        <v>64</v>
      </c>
      <c r="D31" s="146" t="s">
        <v>60</v>
      </c>
      <c r="E31" s="128">
        <v>5</v>
      </c>
      <c r="F31" s="375">
        <v>0</v>
      </c>
      <c r="G31" s="376">
        <f t="shared" si="0"/>
        <v>0</v>
      </c>
      <c r="H31" s="315"/>
    </row>
    <row r="32" spans="2:8" s="312" customFormat="1" ht="39.75" customHeight="1">
      <c r="B32" s="362">
        <v>8</v>
      </c>
      <c r="C32" s="2383" t="s">
        <v>2294</v>
      </c>
      <c r="D32" s="146" t="s">
        <v>57</v>
      </c>
      <c r="E32" s="128">
        <f>E25</f>
        <v>1420</v>
      </c>
      <c r="F32" s="375">
        <v>0</v>
      </c>
      <c r="G32" s="376">
        <f>E32*F32</f>
        <v>0</v>
      </c>
      <c r="H32" s="378"/>
    </row>
    <row r="33" spans="2:12" s="312" customFormat="1" ht="27.75" customHeight="1">
      <c r="B33" s="362">
        <v>9</v>
      </c>
      <c r="C33" s="2383" t="s">
        <v>2293</v>
      </c>
      <c r="D33" s="146" t="s">
        <v>60</v>
      </c>
      <c r="E33" s="128">
        <v>1</v>
      </c>
      <c r="F33" s="375">
        <v>0</v>
      </c>
      <c r="G33" s="376">
        <f t="shared" si="0"/>
        <v>0</v>
      </c>
      <c r="H33" s="315"/>
    </row>
    <row r="34" spans="2:12" s="312" customFormat="1" ht="14.25" customHeight="1">
      <c r="B34" s="362">
        <v>10</v>
      </c>
      <c r="C34" s="147" t="s">
        <v>67</v>
      </c>
      <c r="D34" s="146" t="s">
        <v>60</v>
      </c>
      <c r="E34" s="128">
        <v>1</v>
      </c>
      <c r="F34" s="375">
        <v>0</v>
      </c>
      <c r="G34" s="376">
        <f t="shared" si="0"/>
        <v>0</v>
      </c>
      <c r="H34" s="315"/>
    </row>
    <row r="35" spans="2:12" s="312" customFormat="1" ht="38.25" customHeight="1">
      <c r="B35" s="362">
        <v>11</v>
      </c>
      <c r="C35" s="148" t="s">
        <v>68</v>
      </c>
      <c r="D35" s="146" t="s">
        <v>60</v>
      </c>
      <c r="E35" s="149">
        <v>1</v>
      </c>
      <c r="F35" s="375">
        <v>0</v>
      </c>
      <c r="G35" s="376">
        <f t="shared" si="0"/>
        <v>0</v>
      </c>
      <c r="H35" s="315"/>
    </row>
    <row r="36" spans="2:12" s="312" customFormat="1" ht="47.25" customHeight="1">
      <c r="B36" s="362">
        <v>12</v>
      </c>
      <c r="C36" s="150" t="s">
        <v>69</v>
      </c>
      <c r="D36" s="146" t="s">
        <v>60</v>
      </c>
      <c r="E36" s="149">
        <v>1</v>
      </c>
      <c r="F36" s="375">
        <v>0</v>
      </c>
      <c r="G36" s="376">
        <f t="shared" si="0"/>
        <v>0</v>
      </c>
      <c r="H36" s="378"/>
    </row>
    <row r="37" spans="2:12" s="388" customFormat="1" ht="23.25" customHeight="1">
      <c r="B37" s="382" t="s">
        <v>43</v>
      </c>
      <c r="C37" s="383" t="s">
        <v>70</v>
      </c>
      <c r="D37" s="383"/>
      <c r="E37" s="384"/>
      <c r="F37" s="385"/>
      <c r="G37" s="436">
        <f>SUM(G25:G36)</f>
        <v>0</v>
      </c>
      <c r="H37" s="387"/>
    </row>
    <row r="38" spans="2:12" s="312" customFormat="1">
      <c r="B38" s="362"/>
      <c r="C38" s="363"/>
      <c r="D38" s="364"/>
      <c r="E38" s="128"/>
      <c r="F38" s="129"/>
      <c r="G38" s="130"/>
      <c r="H38" s="315"/>
    </row>
    <row r="39" spans="2:12" s="312" customFormat="1" ht="24">
      <c r="B39" s="356" t="s">
        <v>41</v>
      </c>
      <c r="C39" s="357" t="s">
        <v>51</v>
      </c>
      <c r="D39" s="358" t="s">
        <v>52</v>
      </c>
      <c r="E39" s="359" t="s">
        <v>53</v>
      </c>
      <c r="F39" s="360" t="s">
        <v>54</v>
      </c>
      <c r="G39" s="361" t="s">
        <v>55</v>
      </c>
      <c r="H39" s="315"/>
    </row>
    <row r="40" spans="2:12" s="312" customFormat="1">
      <c r="B40" s="362"/>
      <c r="C40" s="389"/>
      <c r="D40" s="374"/>
      <c r="E40" s="128"/>
      <c r="F40" s="129"/>
      <c r="G40" s="130"/>
      <c r="H40" s="315"/>
    </row>
    <row r="41" spans="2:12" s="372" customFormat="1" ht="20.25">
      <c r="B41" s="365" t="s">
        <v>45</v>
      </c>
      <c r="C41" s="390" t="s">
        <v>71</v>
      </c>
      <c r="D41" s="391"/>
      <c r="E41" s="368"/>
      <c r="F41" s="369"/>
      <c r="G41" s="370"/>
      <c r="H41" s="371"/>
    </row>
    <row r="42" spans="2:12" s="166" customFormat="1" ht="71.25" customHeight="1">
      <c r="B42" s="2447" t="s">
        <v>72</v>
      </c>
      <c r="C42" s="2448"/>
      <c r="D42" s="2448"/>
      <c r="E42" s="2448"/>
      <c r="F42" s="2448"/>
      <c r="G42" s="2449"/>
      <c r="H42" s="315"/>
    </row>
    <row r="43" spans="2:12" s="312" customFormat="1" ht="27.75" customHeight="1">
      <c r="B43" s="392">
        <v>1</v>
      </c>
      <c r="C43" s="373" t="s">
        <v>73</v>
      </c>
      <c r="D43" s="374" t="s">
        <v>74</v>
      </c>
      <c r="E43" s="128">
        <v>44</v>
      </c>
      <c r="F43" s="375">
        <v>0</v>
      </c>
      <c r="G43" s="376">
        <f>E43*F43</f>
        <v>0</v>
      </c>
      <c r="H43" s="315"/>
      <c r="I43" s="393"/>
    </row>
    <row r="44" spans="2:12" s="312" customFormat="1" ht="46.5" customHeight="1">
      <c r="B44" s="392">
        <v>3</v>
      </c>
      <c r="C44" s="373" t="s">
        <v>75</v>
      </c>
      <c r="D44" s="380" t="s">
        <v>74</v>
      </c>
      <c r="E44" s="128">
        <v>341.1</v>
      </c>
      <c r="F44" s="375">
        <v>0</v>
      </c>
      <c r="G44" s="376">
        <f t="shared" ref="G44:G69" si="1">E44*F44</f>
        <v>0</v>
      </c>
      <c r="H44" s="315"/>
      <c r="I44" s="394"/>
      <c r="K44" s="395"/>
      <c r="L44" s="395"/>
    </row>
    <row r="45" spans="2:12" s="312" customFormat="1" ht="39.75" customHeight="1">
      <c r="B45" s="392">
        <v>4</v>
      </c>
      <c r="C45" s="373" t="s">
        <v>76</v>
      </c>
      <c r="D45" s="380" t="s">
        <v>74</v>
      </c>
      <c r="E45" s="128">
        <v>3069.9</v>
      </c>
      <c r="F45" s="375">
        <v>0</v>
      </c>
      <c r="G45" s="376">
        <f t="shared" si="1"/>
        <v>0</v>
      </c>
      <c r="H45" s="315"/>
      <c r="I45" s="394"/>
    </row>
    <row r="46" spans="2:12" s="312" customFormat="1" ht="51.75" customHeight="1">
      <c r="B46" s="392">
        <v>5</v>
      </c>
      <c r="C46" s="396" t="s">
        <v>77</v>
      </c>
      <c r="D46" s="169" t="s">
        <v>78</v>
      </c>
      <c r="E46" s="170">
        <v>2201</v>
      </c>
      <c r="F46" s="375">
        <v>0</v>
      </c>
      <c r="G46" s="376">
        <f t="shared" si="1"/>
        <v>0</v>
      </c>
      <c r="H46" s="315"/>
      <c r="I46" s="393"/>
    </row>
    <row r="47" spans="2:12" s="312" customFormat="1" ht="52.5" customHeight="1">
      <c r="B47" s="392">
        <v>6</v>
      </c>
      <c r="C47" s="373" t="s">
        <v>79</v>
      </c>
      <c r="D47" s="380" t="s">
        <v>78</v>
      </c>
      <c r="E47" s="128">
        <v>1460</v>
      </c>
      <c r="F47" s="375">
        <v>0</v>
      </c>
      <c r="G47" s="376">
        <f t="shared" si="1"/>
        <v>0</v>
      </c>
      <c r="H47" s="315"/>
      <c r="I47" s="393">
        <v>0</v>
      </c>
    </row>
    <row r="48" spans="2:12" s="312" customFormat="1" ht="47.25" customHeight="1">
      <c r="B48" s="392">
        <v>7</v>
      </c>
      <c r="C48" s="373" t="s">
        <v>80</v>
      </c>
      <c r="D48" s="380" t="s">
        <v>74</v>
      </c>
      <c r="E48" s="128">
        <v>432</v>
      </c>
      <c r="F48" s="375">
        <v>0</v>
      </c>
      <c r="G48" s="376">
        <f t="shared" si="1"/>
        <v>0</v>
      </c>
      <c r="H48" s="315"/>
      <c r="I48" s="394"/>
    </row>
    <row r="49" spans="2:9" s="312" customFormat="1" ht="48" customHeight="1">
      <c r="B49" s="392">
        <v>8</v>
      </c>
      <c r="C49" s="373" t="s">
        <v>247</v>
      </c>
      <c r="D49" s="380" t="s">
        <v>74</v>
      </c>
      <c r="E49" s="128">
        <v>134.4</v>
      </c>
      <c r="F49" s="375">
        <v>0</v>
      </c>
      <c r="G49" s="376">
        <f t="shared" si="1"/>
        <v>0</v>
      </c>
      <c r="H49" s="315"/>
      <c r="I49" s="395"/>
    </row>
    <row r="50" spans="2:9" s="312" customFormat="1" ht="52.5" customHeight="1">
      <c r="B50" s="392">
        <v>9</v>
      </c>
      <c r="C50" s="379" t="s">
        <v>248</v>
      </c>
      <c r="D50" s="380" t="s">
        <v>74</v>
      </c>
      <c r="E50" s="128">
        <v>2074.6</v>
      </c>
      <c r="F50" s="375">
        <v>0</v>
      </c>
      <c r="G50" s="376">
        <f t="shared" si="1"/>
        <v>0</v>
      </c>
      <c r="H50" s="315"/>
    </row>
    <row r="51" spans="2:9" s="166" customFormat="1" ht="48" customHeight="1">
      <c r="B51" s="392">
        <v>10</v>
      </c>
      <c r="C51" s="397" t="s">
        <v>249</v>
      </c>
      <c r="D51" s="146" t="s">
        <v>74</v>
      </c>
      <c r="E51" s="128">
        <v>814</v>
      </c>
      <c r="F51" s="375">
        <v>0</v>
      </c>
      <c r="G51" s="376">
        <f t="shared" si="1"/>
        <v>0</v>
      </c>
      <c r="H51" s="315"/>
    </row>
    <row r="52" spans="2:9" s="312" customFormat="1" ht="28.5" customHeight="1">
      <c r="B52" s="392">
        <v>12</v>
      </c>
      <c r="C52" s="373" t="s">
        <v>85</v>
      </c>
      <c r="D52" s="380" t="s">
        <v>57</v>
      </c>
      <c r="E52" s="128">
        <v>250</v>
      </c>
      <c r="F52" s="375">
        <v>0</v>
      </c>
      <c r="G52" s="376">
        <f t="shared" si="1"/>
        <v>0</v>
      </c>
      <c r="H52" s="378"/>
    </row>
    <row r="53" spans="2:9" s="312" customFormat="1" ht="27" customHeight="1">
      <c r="B53" s="392">
        <v>13</v>
      </c>
      <c r="C53" s="373" t="s">
        <v>86</v>
      </c>
      <c r="D53" s="374" t="s">
        <v>78</v>
      </c>
      <c r="E53" s="128">
        <v>375</v>
      </c>
      <c r="F53" s="375">
        <v>0</v>
      </c>
      <c r="G53" s="376">
        <f t="shared" si="1"/>
        <v>0</v>
      </c>
      <c r="H53" s="378"/>
    </row>
    <row r="54" spans="2:9" s="312" customFormat="1" ht="54.75" customHeight="1">
      <c r="B54" s="392">
        <v>14</v>
      </c>
      <c r="C54" s="373" t="s">
        <v>87</v>
      </c>
      <c r="D54" s="374" t="s">
        <v>78</v>
      </c>
      <c r="E54" s="128">
        <v>375</v>
      </c>
      <c r="F54" s="375">
        <v>0</v>
      </c>
      <c r="G54" s="376">
        <f t="shared" si="1"/>
        <v>0</v>
      </c>
      <c r="H54" s="378"/>
    </row>
    <row r="55" spans="2:9" s="312" customFormat="1" ht="59.25" customHeight="1">
      <c r="B55" s="400" t="s">
        <v>259</v>
      </c>
      <c r="C55" s="379" t="s">
        <v>260</v>
      </c>
      <c r="D55" s="380" t="s">
        <v>78</v>
      </c>
      <c r="E55" s="128">
        <v>375</v>
      </c>
      <c r="F55" s="375">
        <v>0</v>
      </c>
      <c r="G55" s="376">
        <f>E55*F55</f>
        <v>0</v>
      </c>
      <c r="H55" s="378"/>
    </row>
    <row r="56" spans="2:9" s="312" customFormat="1" ht="69" customHeight="1">
      <c r="B56" s="400" t="s">
        <v>261</v>
      </c>
      <c r="C56" s="379" t="s">
        <v>262</v>
      </c>
      <c r="D56" s="380" t="s">
        <v>78</v>
      </c>
      <c r="E56" s="128">
        <v>375</v>
      </c>
      <c r="F56" s="375">
        <v>0</v>
      </c>
      <c r="G56" s="376">
        <f>E56*F56</f>
        <v>0</v>
      </c>
      <c r="H56" s="378"/>
    </row>
    <row r="57" spans="2:9" s="312" customFormat="1" ht="38.25" customHeight="1">
      <c r="B57" s="392">
        <v>16</v>
      </c>
      <c r="C57" s="373" t="s">
        <v>90</v>
      </c>
      <c r="D57" s="374" t="s">
        <v>78</v>
      </c>
      <c r="E57" s="128">
        <v>100</v>
      </c>
      <c r="F57" s="375">
        <v>0</v>
      </c>
      <c r="G57" s="376">
        <f t="shared" si="1"/>
        <v>0</v>
      </c>
      <c r="H57" s="315"/>
    </row>
    <row r="58" spans="2:9" s="312" customFormat="1" ht="32.25" customHeight="1">
      <c r="B58" s="392">
        <v>17</v>
      </c>
      <c r="C58" s="373" t="s">
        <v>263</v>
      </c>
      <c r="D58" s="380" t="s">
        <v>74</v>
      </c>
      <c r="E58" s="128">
        <f>E43</f>
        <v>44</v>
      </c>
      <c r="F58" s="375">
        <v>0</v>
      </c>
      <c r="G58" s="376">
        <f t="shared" si="1"/>
        <v>0</v>
      </c>
      <c r="H58" s="315"/>
      <c r="I58" s="395"/>
    </row>
    <row r="59" spans="2:9" s="312" customFormat="1" ht="22.5" customHeight="1">
      <c r="B59" s="392">
        <v>18</v>
      </c>
      <c r="C59" s="373" t="s">
        <v>264</v>
      </c>
      <c r="D59" s="380" t="s">
        <v>74</v>
      </c>
      <c r="E59" s="128">
        <v>1852.8</v>
      </c>
      <c r="F59" s="375">
        <v>0</v>
      </c>
      <c r="G59" s="376">
        <f t="shared" si="1"/>
        <v>0</v>
      </c>
      <c r="H59" s="315"/>
    </row>
    <row r="60" spans="2:9" s="312" customFormat="1" ht="25.5" customHeight="1">
      <c r="B60" s="392">
        <v>19</v>
      </c>
      <c r="C60" s="373" t="s">
        <v>265</v>
      </c>
      <c r="D60" s="380" t="s">
        <v>74</v>
      </c>
      <c r="E60" s="128">
        <f>E59</f>
        <v>1852.8</v>
      </c>
      <c r="F60" s="375">
        <v>0</v>
      </c>
      <c r="G60" s="376">
        <f t="shared" si="1"/>
        <v>0</v>
      </c>
      <c r="H60" s="315"/>
    </row>
    <row r="61" spans="2:9" s="312" customFormat="1" ht="27.75" customHeight="1">
      <c r="B61" s="392">
        <v>20</v>
      </c>
      <c r="C61" s="373" t="s">
        <v>266</v>
      </c>
      <c r="D61" s="380" t="s">
        <v>78</v>
      </c>
      <c r="E61" s="128">
        <v>75</v>
      </c>
      <c r="F61" s="375">
        <v>0</v>
      </c>
      <c r="G61" s="376">
        <f t="shared" si="1"/>
        <v>0</v>
      </c>
      <c r="H61" s="315"/>
    </row>
    <row r="62" spans="2:9" s="312" customFormat="1" ht="30" customHeight="1">
      <c r="B62" s="392">
        <v>21</v>
      </c>
      <c r="C62" s="373" t="s">
        <v>95</v>
      </c>
      <c r="D62" s="374" t="s">
        <v>78</v>
      </c>
      <c r="E62" s="128">
        <f>E25*0.5</f>
        <v>710</v>
      </c>
      <c r="F62" s="375">
        <v>0</v>
      </c>
      <c r="G62" s="376">
        <f t="shared" si="1"/>
        <v>0</v>
      </c>
      <c r="H62" s="315"/>
    </row>
    <row r="63" spans="2:9" s="166" customFormat="1" ht="51.75" customHeight="1">
      <c r="B63" s="2472">
        <v>22</v>
      </c>
      <c r="C63" s="429" t="s">
        <v>292</v>
      </c>
      <c r="D63" s="194"/>
      <c r="E63" s="128"/>
      <c r="F63" s="375"/>
      <c r="G63" s="376"/>
      <c r="H63" s="315"/>
    </row>
    <row r="64" spans="2:9" s="166" customFormat="1">
      <c r="B64" s="2473"/>
      <c r="C64" s="195" t="s">
        <v>379</v>
      </c>
      <c r="D64" s="194" t="s">
        <v>57</v>
      </c>
      <c r="E64" s="128">
        <v>7</v>
      </c>
      <c r="F64" s="375">
        <v>0</v>
      </c>
      <c r="G64" s="376">
        <f t="shared" si="1"/>
        <v>0</v>
      </c>
      <c r="H64" s="315"/>
    </row>
    <row r="65" spans="1:8" s="312" customFormat="1" ht="172.5" customHeight="1">
      <c r="B65" s="392">
        <v>27</v>
      </c>
      <c r="C65" s="402" t="s">
        <v>380</v>
      </c>
      <c r="D65" s="182" t="s">
        <v>66</v>
      </c>
      <c r="E65" s="183">
        <v>1</v>
      </c>
      <c r="F65" s="375">
        <v>0</v>
      </c>
      <c r="G65" s="376">
        <f t="shared" si="1"/>
        <v>0</v>
      </c>
      <c r="H65" s="315"/>
    </row>
    <row r="66" spans="1:8" s="312" customFormat="1" ht="186.75" customHeight="1">
      <c r="B66" s="392">
        <v>28</v>
      </c>
      <c r="C66" s="402" t="s">
        <v>381</v>
      </c>
      <c r="D66" s="182" t="s">
        <v>66</v>
      </c>
      <c r="E66" s="183">
        <v>1</v>
      </c>
      <c r="F66" s="375">
        <v>0</v>
      </c>
      <c r="G66" s="376">
        <f t="shared" si="1"/>
        <v>0</v>
      </c>
      <c r="H66" s="315"/>
    </row>
    <row r="67" spans="1:8" s="312" customFormat="1" ht="162.75" customHeight="1">
      <c r="B67" s="392">
        <v>29</v>
      </c>
      <c r="C67" s="402" t="s">
        <v>382</v>
      </c>
      <c r="D67" s="182" t="s">
        <v>66</v>
      </c>
      <c r="E67" s="183">
        <v>1</v>
      </c>
      <c r="F67" s="375">
        <v>0</v>
      </c>
      <c r="G67" s="376">
        <f t="shared" si="1"/>
        <v>0</v>
      </c>
      <c r="H67" s="315"/>
    </row>
    <row r="68" spans="1:8" s="312" customFormat="1" ht="29.25" customHeight="1">
      <c r="B68" s="401">
        <v>30</v>
      </c>
      <c r="C68" s="402" t="s">
        <v>269</v>
      </c>
      <c r="D68" s="182" t="s">
        <v>74</v>
      </c>
      <c r="E68" s="183">
        <v>7</v>
      </c>
      <c r="F68" s="375">
        <v>0</v>
      </c>
      <c r="G68" s="376">
        <f t="shared" si="1"/>
        <v>0</v>
      </c>
      <c r="H68" s="315"/>
    </row>
    <row r="69" spans="1:8" s="312" customFormat="1" ht="36.75" customHeight="1">
      <c r="B69" s="392">
        <v>31</v>
      </c>
      <c r="C69" s="184" t="s">
        <v>270</v>
      </c>
      <c r="D69" s="182" t="s">
        <v>66</v>
      </c>
      <c r="E69" s="183">
        <v>30</v>
      </c>
      <c r="F69" s="375">
        <v>0</v>
      </c>
      <c r="G69" s="376">
        <f t="shared" si="1"/>
        <v>0</v>
      </c>
      <c r="H69" s="315"/>
    </row>
    <row r="70" spans="1:8" s="312" customFormat="1" ht="37.5" customHeight="1">
      <c r="B70" s="401">
        <v>32</v>
      </c>
      <c r="C70" s="184" t="s">
        <v>99</v>
      </c>
      <c r="D70" s="182" t="s">
        <v>74</v>
      </c>
      <c r="E70" s="183">
        <v>6</v>
      </c>
      <c r="F70" s="375">
        <v>0</v>
      </c>
      <c r="G70" s="376">
        <f>E70*F70</f>
        <v>0</v>
      </c>
      <c r="H70" s="315"/>
    </row>
    <row r="71" spans="1:8" s="312" customFormat="1" ht="28.5" customHeight="1">
      <c r="B71" s="392">
        <v>33</v>
      </c>
      <c r="C71" s="184" t="s">
        <v>100</v>
      </c>
      <c r="D71" s="182" t="s">
        <v>65</v>
      </c>
      <c r="E71" s="183">
        <v>10</v>
      </c>
      <c r="F71" s="375">
        <v>0</v>
      </c>
      <c r="G71" s="376">
        <f>E71*F71</f>
        <v>0</v>
      </c>
      <c r="H71" s="315"/>
    </row>
    <row r="72" spans="1:8" s="312" customFormat="1" ht="28.5" customHeight="1">
      <c r="B72" s="392">
        <v>34</v>
      </c>
      <c r="C72" s="184" t="s">
        <v>383</v>
      </c>
      <c r="D72" s="182" t="s">
        <v>66</v>
      </c>
      <c r="E72" s="183">
        <v>3</v>
      </c>
      <c r="F72" s="375">
        <v>0</v>
      </c>
      <c r="G72" s="376">
        <f>E72*F72</f>
        <v>0</v>
      </c>
      <c r="H72" s="315"/>
    </row>
    <row r="73" spans="1:8" s="388" customFormat="1" ht="21.75" customHeight="1">
      <c r="B73" s="382" t="s">
        <v>45</v>
      </c>
      <c r="C73" s="383" t="s">
        <v>101</v>
      </c>
      <c r="D73" s="403"/>
      <c r="E73" s="384"/>
      <c r="F73" s="385"/>
      <c r="G73" s="436">
        <f>SUM(G43:G72)</f>
        <v>0</v>
      </c>
      <c r="H73" s="387"/>
    </row>
    <row r="74" spans="1:8" s="312" customFormat="1">
      <c r="B74" s="362"/>
      <c r="C74" s="363"/>
      <c r="D74" s="364"/>
      <c r="E74" s="128"/>
      <c r="F74" s="129"/>
      <c r="G74" s="130"/>
      <c r="H74" s="315"/>
    </row>
    <row r="75" spans="1:8" s="312" customFormat="1" ht="24">
      <c r="B75" s="356" t="s">
        <v>41</v>
      </c>
      <c r="C75" s="357" t="s">
        <v>51</v>
      </c>
      <c r="D75" s="357" t="s">
        <v>52</v>
      </c>
      <c r="E75" s="359" t="s">
        <v>53</v>
      </c>
      <c r="F75" s="360" t="s">
        <v>54</v>
      </c>
      <c r="G75" s="361" t="s">
        <v>55</v>
      </c>
      <c r="H75" s="315"/>
    </row>
    <row r="76" spans="1:8" s="312" customFormat="1">
      <c r="B76" s="362"/>
      <c r="C76" s="363"/>
      <c r="D76" s="374"/>
      <c r="E76" s="128"/>
      <c r="F76" s="129"/>
      <c r="G76" s="130"/>
      <c r="H76" s="315"/>
    </row>
    <row r="77" spans="1:8" s="372" customFormat="1" ht="20.25">
      <c r="B77" s="404" t="s">
        <v>47</v>
      </c>
      <c r="C77" s="405" t="s">
        <v>102</v>
      </c>
      <c r="D77" s="391"/>
      <c r="E77" s="368"/>
      <c r="F77" s="369"/>
      <c r="G77" s="370"/>
      <c r="H77" s="371"/>
    </row>
    <row r="78" spans="1:8" s="14" customFormat="1" ht="18" customHeight="1">
      <c r="A78" s="9"/>
      <c r="B78" s="294" t="s">
        <v>2</v>
      </c>
      <c r="C78" s="295"/>
      <c r="D78" s="296"/>
      <c r="E78" s="296"/>
      <c r="F78" s="296"/>
      <c r="G78" s="297"/>
    </row>
    <row r="79" spans="1:8" s="14" customFormat="1" ht="18" customHeight="1">
      <c r="A79" s="15"/>
      <c r="B79" s="298" t="s">
        <v>3</v>
      </c>
      <c r="C79" s="299"/>
      <c r="D79" s="300"/>
      <c r="E79" s="301"/>
      <c r="F79" s="301"/>
      <c r="G79" s="300"/>
    </row>
    <row r="80" spans="1:8" s="14" customFormat="1" ht="18" customHeight="1">
      <c r="A80" s="9"/>
      <c r="B80" s="294" t="s">
        <v>4</v>
      </c>
      <c r="C80" s="295"/>
      <c r="D80" s="296"/>
      <c r="E80" s="296"/>
      <c r="F80" s="296"/>
      <c r="G80" s="297"/>
    </row>
    <row r="81" spans="1:11" s="14" customFormat="1" ht="18" customHeight="1">
      <c r="A81" s="15"/>
      <c r="B81" s="298" t="s">
        <v>5</v>
      </c>
      <c r="C81" s="299"/>
      <c r="D81" s="301"/>
      <c r="E81" s="301"/>
      <c r="F81" s="301"/>
      <c r="G81" s="300"/>
    </row>
    <row r="82" spans="1:11" s="166" customFormat="1" ht="18.75" customHeight="1">
      <c r="B82" s="2447" t="s">
        <v>271</v>
      </c>
      <c r="C82" s="2448"/>
      <c r="D82" s="2448"/>
      <c r="E82" s="2448"/>
      <c r="F82" s="2448"/>
      <c r="G82" s="2449"/>
      <c r="H82" s="315"/>
    </row>
    <row r="83" spans="1:11" s="166" customFormat="1" ht="18.75" customHeight="1">
      <c r="B83" s="2447" t="s">
        <v>104</v>
      </c>
      <c r="C83" s="2448"/>
      <c r="D83" s="2448"/>
      <c r="E83" s="2448"/>
      <c r="F83" s="2448"/>
      <c r="G83" s="2449"/>
      <c r="H83" s="315"/>
    </row>
    <row r="84" spans="1:11" s="166" customFormat="1" ht="18.75" customHeight="1">
      <c r="B84" s="2447" t="s">
        <v>105</v>
      </c>
      <c r="C84" s="2448"/>
      <c r="D84" s="2448"/>
      <c r="E84" s="2448"/>
      <c r="F84" s="2448"/>
      <c r="G84" s="2449"/>
      <c r="H84" s="315"/>
    </row>
    <row r="85" spans="1:11" s="312" customFormat="1" ht="30" customHeight="1">
      <c r="B85" s="406">
        <v>1</v>
      </c>
      <c r="C85" s="189" t="s">
        <v>106</v>
      </c>
      <c r="D85" s="190"/>
      <c r="E85" s="128"/>
      <c r="F85" s="129"/>
      <c r="G85" s="130"/>
      <c r="H85" s="315"/>
    </row>
    <row r="86" spans="1:11" s="388" customFormat="1" ht="18.75" customHeight="1">
      <c r="B86" s="408"/>
      <c r="C86" s="271" t="s">
        <v>179</v>
      </c>
      <c r="D86" s="190" t="s">
        <v>57</v>
      </c>
      <c r="E86" s="128">
        <f>1420*0.3</f>
        <v>426</v>
      </c>
      <c r="F86" s="375">
        <v>0</v>
      </c>
      <c r="G86" s="376">
        <f t="shared" ref="G86:G91" si="2">E86*F86</f>
        <v>0</v>
      </c>
      <c r="H86" s="387"/>
      <c r="I86" s="437"/>
    </row>
    <row r="87" spans="1:11" s="388" customFormat="1" ht="18.75" customHeight="1">
      <c r="B87" s="408"/>
      <c r="C87" s="271" t="s">
        <v>180</v>
      </c>
      <c r="D87" s="190" t="s">
        <v>57</v>
      </c>
      <c r="E87" s="128">
        <f>1420*0.7</f>
        <v>993.99999999999989</v>
      </c>
      <c r="F87" s="375">
        <v>0</v>
      </c>
      <c r="G87" s="376">
        <f t="shared" si="2"/>
        <v>0</v>
      </c>
      <c r="H87" s="387"/>
      <c r="K87" s="437"/>
    </row>
    <row r="88" spans="1:11" s="312" customFormat="1" ht="40.5" customHeight="1">
      <c r="B88" s="196">
        <v>2</v>
      </c>
      <c r="C88" s="197" t="s">
        <v>114</v>
      </c>
      <c r="D88" s="380" t="s">
        <v>57</v>
      </c>
      <c r="E88" s="198">
        <f>E25</f>
        <v>1420</v>
      </c>
      <c r="F88" s="375">
        <v>0</v>
      </c>
      <c r="G88" s="376">
        <f t="shared" si="2"/>
        <v>0</v>
      </c>
      <c r="H88" s="315"/>
    </row>
    <row r="89" spans="1:11" s="312" customFormat="1" ht="41.25" customHeight="1">
      <c r="B89" s="409" t="s">
        <v>115</v>
      </c>
      <c r="C89" s="197" t="s">
        <v>116</v>
      </c>
      <c r="D89" s="380" t="s">
        <v>57</v>
      </c>
      <c r="E89" s="198">
        <f>E25</f>
        <v>1420</v>
      </c>
      <c r="F89" s="375">
        <v>0</v>
      </c>
      <c r="G89" s="376">
        <f t="shared" si="2"/>
        <v>0</v>
      </c>
      <c r="H89" s="315"/>
    </row>
    <row r="90" spans="1:11" s="312" customFormat="1" ht="27" customHeight="1">
      <c r="B90" s="409" t="s">
        <v>117</v>
      </c>
      <c r="C90" s="197" t="s">
        <v>118</v>
      </c>
      <c r="D90" s="380" t="s">
        <v>57</v>
      </c>
      <c r="E90" s="198">
        <f>E25</f>
        <v>1420</v>
      </c>
      <c r="F90" s="375">
        <v>0</v>
      </c>
      <c r="G90" s="376">
        <f t="shared" si="2"/>
        <v>0</v>
      </c>
      <c r="H90" s="315"/>
    </row>
    <row r="91" spans="1:11" s="312" customFormat="1" ht="39" customHeight="1">
      <c r="B91" s="409" t="s">
        <v>119</v>
      </c>
      <c r="C91" s="197" t="s">
        <v>120</v>
      </c>
      <c r="D91" s="380" t="s">
        <v>57</v>
      </c>
      <c r="E91" s="198">
        <f>E25</f>
        <v>1420</v>
      </c>
      <c r="F91" s="375">
        <v>0</v>
      </c>
      <c r="G91" s="376">
        <f t="shared" si="2"/>
        <v>0</v>
      </c>
      <c r="H91" s="315"/>
    </row>
    <row r="92" spans="1:11" s="312" customFormat="1" ht="27.75" customHeight="1">
      <c r="B92" s="406">
        <v>3</v>
      </c>
      <c r="C92" s="410" t="s">
        <v>121</v>
      </c>
      <c r="D92" s="364"/>
      <c r="E92" s="128"/>
      <c r="F92" s="375">
        <v>0</v>
      </c>
      <c r="G92" s="130"/>
      <c r="H92" s="315"/>
    </row>
    <row r="93" spans="1:11" s="312" customFormat="1">
      <c r="B93" s="411" t="s">
        <v>122</v>
      </c>
      <c r="C93" s="412" t="s">
        <v>123</v>
      </c>
      <c r="D93" s="413"/>
      <c r="E93" s="414"/>
      <c r="F93" s="415"/>
      <c r="G93" s="416"/>
      <c r="H93" s="315"/>
    </row>
    <row r="94" spans="1:11" s="312" customFormat="1">
      <c r="B94" s="362"/>
      <c r="C94" s="412" t="s">
        <v>210</v>
      </c>
      <c r="D94" s="413"/>
      <c r="E94" s="414"/>
      <c r="F94" s="415"/>
      <c r="G94" s="416"/>
      <c r="H94" s="315"/>
    </row>
    <row r="95" spans="1:11" s="312" customFormat="1" ht="18" customHeight="1">
      <c r="B95" s="362"/>
      <c r="C95" s="417" t="s">
        <v>211</v>
      </c>
      <c r="D95" s="418" t="s">
        <v>66</v>
      </c>
      <c r="E95" s="414">
        <v>5</v>
      </c>
      <c r="F95" s="419">
        <v>0</v>
      </c>
      <c r="G95" s="420">
        <f>E95*F95</f>
        <v>0</v>
      </c>
      <c r="H95" s="315"/>
    </row>
    <row r="96" spans="1:11" s="312" customFormat="1" ht="18" customHeight="1">
      <c r="B96" s="362"/>
      <c r="C96" s="417" t="s">
        <v>212</v>
      </c>
      <c r="D96" s="418" t="s">
        <v>66</v>
      </c>
      <c r="E96" s="414">
        <v>5</v>
      </c>
      <c r="F96" s="419">
        <v>0</v>
      </c>
      <c r="G96" s="420">
        <f>E96*F96</f>
        <v>0</v>
      </c>
      <c r="H96" s="315"/>
    </row>
    <row r="97" spans="2:8" s="312" customFormat="1" ht="14.25" customHeight="1">
      <c r="B97" s="362"/>
      <c r="C97" s="417" t="s">
        <v>213</v>
      </c>
      <c r="D97" s="418" t="s">
        <v>66</v>
      </c>
      <c r="E97" s="414">
        <v>6</v>
      </c>
      <c r="F97" s="419">
        <v>0</v>
      </c>
      <c r="G97" s="420">
        <f>E97*F97</f>
        <v>0</v>
      </c>
      <c r="H97" s="315"/>
    </row>
    <row r="98" spans="2:8" s="388" customFormat="1" ht="15.75" customHeight="1">
      <c r="B98" s="421"/>
      <c r="C98" s="422" t="s">
        <v>214</v>
      </c>
      <c r="D98" s="418" t="s">
        <v>66</v>
      </c>
      <c r="E98" s="414">
        <v>32</v>
      </c>
      <c r="F98" s="419">
        <v>0</v>
      </c>
      <c r="G98" s="420">
        <f>E98*F98</f>
        <v>0</v>
      </c>
      <c r="H98" s="387"/>
    </row>
    <row r="99" spans="2:8" s="423" customFormat="1">
      <c r="B99" s="411" t="s">
        <v>126</v>
      </c>
      <c r="C99" s="2027" t="s">
        <v>127</v>
      </c>
      <c r="D99" s="1791"/>
      <c r="E99" s="1525"/>
      <c r="F99" s="2028"/>
      <c r="G99" s="2028"/>
      <c r="H99" s="315"/>
    </row>
    <row r="100" spans="2:8" s="423" customFormat="1">
      <c r="B100" s="424"/>
      <c r="C100" s="2027" t="s">
        <v>181</v>
      </c>
      <c r="D100" s="2029"/>
      <c r="E100" s="2030"/>
      <c r="F100" s="2031"/>
      <c r="G100" s="2032"/>
      <c r="H100" s="315"/>
    </row>
    <row r="101" spans="2:8" s="423" customFormat="1">
      <c r="B101" s="424"/>
      <c r="C101" s="2033" t="s">
        <v>182</v>
      </c>
      <c r="D101" s="1791" t="s">
        <v>66</v>
      </c>
      <c r="E101" s="1525">
        <v>3</v>
      </c>
      <c r="F101" s="2034">
        <v>0</v>
      </c>
      <c r="G101" s="1792">
        <f t="shared" ref="G101:G107" si="3">E101*F101</f>
        <v>0</v>
      </c>
      <c r="H101" s="315"/>
    </row>
    <row r="102" spans="2:8" s="423" customFormat="1" ht="38.25" customHeight="1">
      <c r="B102" s="424"/>
      <c r="C102" s="2035" t="s">
        <v>130</v>
      </c>
      <c r="D102" s="1791" t="s">
        <v>66</v>
      </c>
      <c r="E102" s="1525">
        <v>3</v>
      </c>
      <c r="F102" s="2034">
        <v>0</v>
      </c>
      <c r="G102" s="1792">
        <f t="shared" si="3"/>
        <v>0</v>
      </c>
      <c r="H102" s="315"/>
    </row>
    <row r="103" spans="2:8" s="423" customFormat="1">
      <c r="B103" s="424"/>
      <c r="C103" s="2035" t="s">
        <v>183</v>
      </c>
      <c r="D103" s="1791" t="s">
        <v>66</v>
      </c>
      <c r="E103" s="1525">
        <v>3</v>
      </c>
      <c r="F103" s="2034">
        <v>0</v>
      </c>
      <c r="G103" s="1792">
        <f t="shared" si="3"/>
        <v>0</v>
      </c>
      <c r="H103" s="315"/>
    </row>
    <row r="104" spans="2:8" s="423" customFormat="1">
      <c r="B104" s="424"/>
      <c r="C104" s="2035" t="s">
        <v>131</v>
      </c>
      <c r="D104" s="1791" t="s">
        <v>66</v>
      </c>
      <c r="E104" s="1525">
        <v>3</v>
      </c>
      <c r="F104" s="2034">
        <v>0</v>
      </c>
      <c r="G104" s="1792">
        <f t="shared" si="3"/>
        <v>0</v>
      </c>
      <c r="H104" s="315"/>
    </row>
    <row r="105" spans="2:8" s="423" customFormat="1">
      <c r="B105" s="424"/>
      <c r="C105" s="208" t="s">
        <v>184</v>
      </c>
      <c r="D105" s="1791" t="s">
        <v>66</v>
      </c>
      <c r="E105" s="1525">
        <v>6</v>
      </c>
      <c r="F105" s="2034">
        <v>0</v>
      </c>
      <c r="G105" s="1792">
        <f t="shared" si="3"/>
        <v>0</v>
      </c>
      <c r="H105" s="315"/>
    </row>
    <row r="106" spans="2:8" s="423" customFormat="1">
      <c r="B106" s="424"/>
      <c r="C106" s="208" t="s">
        <v>134</v>
      </c>
      <c r="D106" s="1791" t="s">
        <v>66</v>
      </c>
      <c r="E106" s="1525">
        <v>3</v>
      </c>
      <c r="F106" s="2034">
        <v>0</v>
      </c>
      <c r="G106" s="1792">
        <f t="shared" si="3"/>
        <v>0</v>
      </c>
      <c r="H106" s="315"/>
    </row>
    <row r="107" spans="2:8" s="423" customFormat="1">
      <c r="B107" s="424"/>
      <c r="C107" s="280" t="s">
        <v>135</v>
      </c>
      <c r="D107" s="1791" t="s">
        <v>66</v>
      </c>
      <c r="E107" s="1525">
        <v>3</v>
      </c>
      <c r="F107" s="2034">
        <v>0</v>
      </c>
      <c r="G107" s="1792">
        <f t="shared" si="3"/>
        <v>0</v>
      </c>
      <c r="H107" s="315"/>
    </row>
    <row r="108" spans="2:8" s="423" customFormat="1">
      <c r="B108" s="411" t="s">
        <v>151</v>
      </c>
      <c r="C108" s="2036" t="s">
        <v>137</v>
      </c>
      <c r="D108" s="2037"/>
      <c r="E108" s="214"/>
      <c r="F108" s="2038"/>
      <c r="G108" s="2039"/>
      <c r="H108" s="315"/>
    </row>
    <row r="109" spans="2:8" s="423" customFormat="1">
      <c r="B109" s="424"/>
      <c r="C109" s="2036" t="s">
        <v>185</v>
      </c>
      <c r="D109" s="2040"/>
      <c r="E109" s="736"/>
      <c r="F109" s="2041"/>
      <c r="G109" s="2042"/>
      <c r="H109" s="315"/>
    </row>
    <row r="110" spans="2:8" s="423" customFormat="1">
      <c r="B110" s="424"/>
      <c r="C110" s="2043" t="s">
        <v>186</v>
      </c>
      <c r="D110" s="2037" t="s">
        <v>66</v>
      </c>
      <c r="E110" s="214">
        <v>3</v>
      </c>
      <c r="F110" s="2044">
        <v>0</v>
      </c>
      <c r="G110" s="2045">
        <f t="shared" ref="G110:G124" si="4">E110*F110</f>
        <v>0</v>
      </c>
      <c r="H110" s="315"/>
    </row>
    <row r="111" spans="2:8" s="423" customFormat="1">
      <c r="B111" s="424"/>
      <c r="C111" s="2043" t="s">
        <v>187</v>
      </c>
      <c r="D111" s="2037" t="s">
        <v>66</v>
      </c>
      <c r="E111" s="214">
        <v>6</v>
      </c>
      <c r="F111" s="2044">
        <v>0</v>
      </c>
      <c r="G111" s="2045">
        <f t="shared" si="4"/>
        <v>0</v>
      </c>
      <c r="H111" s="315"/>
    </row>
    <row r="112" spans="2:8" s="423" customFormat="1" ht="12.75" customHeight="1">
      <c r="B112" s="424"/>
      <c r="C112" s="2046" t="s">
        <v>140</v>
      </c>
      <c r="D112" s="2037" t="s">
        <v>66</v>
      </c>
      <c r="E112" s="214">
        <v>3</v>
      </c>
      <c r="F112" s="2044">
        <v>0</v>
      </c>
      <c r="G112" s="2045">
        <f t="shared" si="4"/>
        <v>0</v>
      </c>
      <c r="H112" s="315"/>
    </row>
    <row r="113" spans="2:8" s="423" customFormat="1">
      <c r="B113" s="424"/>
      <c r="C113" s="2046" t="s">
        <v>141</v>
      </c>
      <c r="D113" s="2037" t="s">
        <v>66</v>
      </c>
      <c r="E113" s="214">
        <v>3</v>
      </c>
      <c r="F113" s="2044">
        <v>0</v>
      </c>
      <c r="G113" s="2045">
        <f t="shared" si="4"/>
        <v>0</v>
      </c>
      <c r="H113" s="315"/>
    </row>
    <row r="114" spans="2:8" s="423" customFormat="1">
      <c r="B114" s="424"/>
      <c r="C114" s="2046" t="s">
        <v>142</v>
      </c>
      <c r="D114" s="2037" t="s">
        <v>66</v>
      </c>
      <c r="E114" s="214">
        <v>3</v>
      </c>
      <c r="F114" s="2044">
        <v>0</v>
      </c>
      <c r="G114" s="2045">
        <f t="shared" si="4"/>
        <v>0</v>
      </c>
      <c r="H114" s="315"/>
    </row>
    <row r="115" spans="2:8" s="423" customFormat="1">
      <c r="B115" s="424"/>
      <c r="C115" s="2046" t="s">
        <v>143</v>
      </c>
      <c r="D115" s="2037" t="s">
        <v>66</v>
      </c>
      <c r="E115" s="214">
        <v>3</v>
      </c>
      <c r="F115" s="2044">
        <v>0</v>
      </c>
      <c r="G115" s="2045">
        <f t="shared" si="4"/>
        <v>0</v>
      </c>
      <c r="H115" s="315"/>
    </row>
    <row r="116" spans="2:8" s="423" customFormat="1">
      <c r="B116" s="424"/>
      <c r="C116" s="2046" t="s">
        <v>144</v>
      </c>
      <c r="D116" s="2037" t="s">
        <v>66</v>
      </c>
      <c r="E116" s="214">
        <v>3</v>
      </c>
      <c r="F116" s="2044">
        <v>0</v>
      </c>
      <c r="G116" s="2045">
        <f t="shared" si="4"/>
        <v>0</v>
      </c>
      <c r="H116" s="315"/>
    </row>
    <row r="117" spans="2:8" s="423" customFormat="1">
      <c r="B117" s="424"/>
      <c r="C117" s="2046" t="s">
        <v>145</v>
      </c>
      <c r="D117" s="2037" t="s">
        <v>66</v>
      </c>
      <c r="E117" s="214">
        <v>3</v>
      </c>
      <c r="F117" s="2044">
        <v>0</v>
      </c>
      <c r="G117" s="2045">
        <f t="shared" si="4"/>
        <v>0</v>
      </c>
      <c r="H117" s="315"/>
    </row>
    <row r="118" spans="2:8" s="423" customFormat="1">
      <c r="B118" s="424"/>
      <c r="C118" s="2046" t="s">
        <v>146</v>
      </c>
      <c r="D118" s="2037" t="s">
        <v>66</v>
      </c>
      <c r="E118" s="214">
        <v>3</v>
      </c>
      <c r="F118" s="2044">
        <v>0</v>
      </c>
      <c r="G118" s="2045">
        <f t="shared" si="4"/>
        <v>0</v>
      </c>
      <c r="H118" s="315"/>
    </row>
    <row r="119" spans="2:8" s="423" customFormat="1">
      <c r="B119" s="424"/>
      <c r="C119" s="234" t="s">
        <v>147</v>
      </c>
      <c r="D119" s="2037" t="s">
        <v>66</v>
      </c>
      <c r="E119" s="214">
        <v>3</v>
      </c>
      <c r="F119" s="2044">
        <v>0</v>
      </c>
      <c r="G119" s="2045">
        <f t="shared" si="4"/>
        <v>0</v>
      </c>
      <c r="H119" s="315"/>
    </row>
    <row r="120" spans="2:8" s="423" customFormat="1">
      <c r="B120" s="424"/>
      <c r="C120" s="234" t="s">
        <v>188</v>
      </c>
      <c r="D120" s="2037" t="s">
        <v>66</v>
      </c>
      <c r="E120" s="214">
        <v>3</v>
      </c>
      <c r="F120" s="2044">
        <v>0</v>
      </c>
      <c r="G120" s="2045">
        <f t="shared" si="4"/>
        <v>0</v>
      </c>
      <c r="H120" s="315"/>
    </row>
    <row r="121" spans="2:8" s="423" customFormat="1">
      <c r="B121" s="424"/>
      <c r="C121" s="234" t="s">
        <v>184</v>
      </c>
      <c r="D121" s="2037" t="s">
        <v>66</v>
      </c>
      <c r="E121" s="214">
        <v>6</v>
      </c>
      <c r="F121" s="2044">
        <v>0</v>
      </c>
      <c r="G121" s="2045">
        <f t="shared" si="4"/>
        <v>0</v>
      </c>
      <c r="H121" s="315"/>
    </row>
    <row r="122" spans="2:8" s="423" customFormat="1">
      <c r="B122" s="424"/>
      <c r="C122" s="234" t="s">
        <v>149</v>
      </c>
      <c r="D122" s="2037" t="s">
        <v>66</v>
      </c>
      <c r="E122" s="214">
        <v>3</v>
      </c>
      <c r="F122" s="2044">
        <v>0</v>
      </c>
      <c r="G122" s="2045">
        <f t="shared" si="4"/>
        <v>0</v>
      </c>
      <c r="H122" s="315"/>
    </row>
    <row r="123" spans="2:8" s="423" customFormat="1">
      <c r="B123" s="424"/>
      <c r="C123" s="234" t="s">
        <v>150</v>
      </c>
      <c r="D123" s="2037" t="s">
        <v>66</v>
      </c>
      <c r="E123" s="214">
        <v>9</v>
      </c>
      <c r="F123" s="2044">
        <v>0</v>
      </c>
      <c r="G123" s="2045">
        <f t="shared" si="4"/>
        <v>0</v>
      </c>
      <c r="H123" s="315"/>
    </row>
    <row r="124" spans="2:8" s="423" customFormat="1">
      <c r="B124" s="424"/>
      <c r="C124" s="235" t="s">
        <v>135</v>
      </c>
      <c r="D124" s="2037" t="s">
        <v>66</v>
      </c>
      <c r="E124" s="214">
        <v>3</v>
      </c>
      <c r="F124" s="2044">
        <v>0</v>
      </c>
      <c r="G124" s="2045">
        <f t="shared" si="4"/>
        <v>0</v>
      </c>
      <c r="H124" s="315"/>
    </row>
    <row r="125" spans="2:8" s="423" customFormat="1">
      <c r="B125" s="411" t="s">
        <v>172</v>
      </c>
      <c r="C125" s="2047" t="s">
        <v>160</v>
      </c>
      <c r="D125" s="2048"/>
      <c r="E125" s="2049"/>
      <c r="F125" s="2050"/>
      <c r="G125" s="2051"/>
      <c r="H125" s="315"/>
    </row>
    <row r="126" spans="2:8" s="423" customFormat="1">
      <c r="B126" s="424"/>
      <c r="C126" s="2047" t="s">
        <v>384</v>
      </c>
      <c r="D126" s="2052"/>
      <c r="E126" s="2053"/>
      <c r="F126" s="2054"/>
      <c r="G126" s="2055"/>
      <c r="H126" s="315"/>
    </row>
    <row r="127" spans="2:8" s="423" customFormat="1" ht="14.25" customHeight="1">
      <c r="B127" s="424"/>
      <c r="C127" s="2056" t="s">
        <v>385</v>
      </c>
      <c r="D127" s="2048" t="s">
        <v>66</v>
      </c>
      <c r="E127" s="2049">
        <v>3</v>
      </c>
      <c r="F127" s="2058">
        <v>0</v>
      </c>
      <c r="G127" s="2059">
        <f t="shared" ref="G127:G158" si="5">E127*F127</f>
        <v>0</v>
      </c>
      <c r="H127" s="315"/>
    </row>
    <row r="128" spans="2:8" s="423" customFormat="1" ht="28.5" customHeight="1">
      <c r="B128" s="424"/>
      <c r="C128" s="2056" t="s">
        <v>386</v>
      </c>
      <c r="D128" s="2048" t="s">
        <v>66</v>
      </c>
      <c r="E128" s="2049">
        <v>1</v>
      </c>
      <c r="F128" s="2058">
        <v>0</v>
      </c>
      <c r="G128" s="2059">
        <f t="shared" si="5"/>
        <v>0</v>
      </c>
      <c r="H128" s="315"/>
    </row>
    <row r="129" spans="2:8" s="423" customFormat="1" ht="29.25" customHeight="1">
      <c r="B129" s="424"/>
      <c r="C129" s="2056" t="s">
        <v>387</v>
      </c>
      <c r="D129" s="2048" t="s">
        <v>66</v>
      </c>
      <c r="E129" s="2049">
        <v>2</v>
      </c>
      <c r="F129" s="2058">
        <v>0</v>
      </c>
      <c r="G129" s="2059">
        <f t="shared" si="5"/>
        <v>0</v>
      </c>
      <c r="H129" s="315"/>
    </row>
    <row r="130" spans="2:8" s="423" customFormat="1" ht="14.25" customHeight="1">
      <c r="B130" s="424"/>
      <c r="C130" s="2047" t="s">
        <v>388</v>
      </c>
      <c r="D130" s="2052"/>
      <c r="E130" s="2053"/>
      <c r="F130" s="2058"/>
      <c r="G130" s="2059"/>
      <c r="H130" s="315"/>
    </row>
    <row r="131" spans="2:8" s="423" customFormat="1" ht="14.25" customHeight="1">
      <c r="B131" s="424"/>
      <c r="C131" s="2056" t="s">
        <v>385</v>
      </c>
      <c r="D131" s="2048" t="s">
        <v>66</v>
      </c>
      <c r="E131" s="2049">
        <v>2</v>
      </c>
      <c r="F131" s="2058">
        <v>0</v>
      </c>
      <c r="G131" s="2059">
        <f t="shared" si="5"/>
        <v>0</v>
      </c>
      <c r="H131" s="315"/>
    </row>
    <row r="132" spans="2:8" s="423" customFormat="1" ht="27.75" customHeight="1">
      <c r="B132" s="424"/>
      <c r="C132" s="2056" t="s">
        <v>389</v>
      </c>
      <c r="D132" s="2048" t="s">
        <v>66</v>
      </c>
      <c r="E132" s="2049">
        <v>1</v>
      </c>
      <c r="F132" s="2058">
        <v>0</v>
      </c>
      <c r="G132" s="2059">
        <f t="shared" si="5"/>
        <v>0</v>
      </c>
      <c r="H132" s="315"/>
    </row>
    <row r="133" spans="2:8" s="423" customFormat="1" ht="28.5" customHeight="1">
      <c r="B133" s="424"/>
      <c r="C133" s="2056" t="s">
        <v>390</v>
      </c>
      <c r="D133" s="2048" t="s">
        <v>66</v>
      </c>
      <c r="E133" s="2049">
        <v>1</v>
      </c>
      <c r="F133" s="2058">
        <v>0</v>
      </c>
      <c r="G133" s="2059">
        <f t="shared" si="5"/>
        <v>0</v>
      </c>
      <c r="H133" s="315"/>
    </row>
    <row r="134" spans="2:8" s="423" customFormat="1" ht="28.5" customHeight="1">
      <c r="B134" s="424"/>
      <c r="C134" s="2056" t="s">
        <v>387</v>
      </c>
      <c r="D134" s="2048" t="s">
        <v>66</v>
      </c>
      <c r="E134" s="2049">
        <v>2</v>
      </c>
      <c r="F134" s="2058">
        <v>0</v>
      </c>
      <c r="G134" s="2059">
        <f t="shared" si="5"/>
        <v>0</v>
      </c>
      <c r="H134" s="315"/>
    </row>
    <row r="135" spans="2:8" s="423" customFormat="1">
      <c r="B135" s="424"/>
      <c r="C135" s="2047" t="s">
        <v>391</v>
      </c>
      <c r="D135" s="2052"/>
      <c r="E135" s="2053"/>
      <c r="F135" s="2058"/>
      <c r="G135" s="2059"/>
      <c r="H135" s="315"/>
    </row>
    <row r="136" spans="2:8" s="423" customFormat="1" ht="14.25" customHeight="1">
      <c r="B136" s="424"/>
      <c r="C136" s="2056" t="s">
        <v>392</v>
      </c>
      <c r="D136" s="2048" t="s">
        <v>66</v>
      </c>
      <c r="E136" s="2049">
        <v>6</v>
      </c>
      <c r="F136" s="2058">
        <v>0</v>
      </c>
      <c r="G136" s="2059">
        <f t="shared" si="5"/>
        <v>0</v>
      </c>
      <c r="H136" s="315"/>
    </row>
    <row r="137" spans="2:8" s="423" customFormat="1" ht="24">
      <c r="B137" s="424"/>
      <c r="C137" s="2057" t="s">
        <v>393</v>
      </c>
      <c r="D137" s="2048" t="s">
        <v>66</v>
      </c>
      <c r="E137" s="2049">
        <v>1</v>
      </c>
      <c r="F137" s="2058">
        <v>0</v>
      </c>
      <c r="G137" s="2059">
        <f t="shared" si="5"/>
        <v>0</v>
      </c>
      <c r="H137" s="315"/>
    </row>
    <row r="138" spans="2:8" s="423" customFormat="1">
      <c r="B138" s="424"/>
      <c r="C138" s="2057" t="s">
        <v>394</v>
      </c>
      <c r="D138" s="2048" t="s">
        <v>66</v>
      </c>
      <c r="E138" s="2049">
        <v>1</v>
      </c>
      <c r="F138" s="2058">
        <v>0</v>
      </c>
      <c r="G138" s="2059">
        <f t="shared" si="5"/>
        <v>0</v>
      </c>
      <c r="H138" s="315"/>
    </row>
    <row r="139" spans="2:8" s="423" customFormat="1">
      <c r="B139" s="424"/>
      <c r="C139" s="2057" t="s">
        <v>395</v>
      </c>
      <c r="D139" s="2048" t="s">
        <v>66</v>
      </c>
      <c r="E139" s="2049">
        <v>2</v>
      </c>
      <c r="F139" s="2058">
        <v>0</v>
      </c>
      <c r="G139" s="2059">
        <f t="shared" si="5"/>
        <v>0</v>
      </c>
      <c r="H139" s="315"/>
    </row>
    <row r="140" spans="2:8" s="423" customFormat="1">
      <c r="B140" s="424"/>
      <c r="C140" s="2057" t="s">
        <v>396</v>
      </c>
      <c r="D140" s="2048" t="s">
        <v>397</v>
      </c>
      <c r="E140" s="2049">
        <v>5</v>
      </c>
      <c r="F140" s="2058">
        <v>0</v>
      </c>
      <c r="G140" s="2059">
        <f t="shared" si="5"/>
        <v>0</v>
      </c>
      <c r="H140" s="315"/>
    </row>
    <row r="141" spans="2:8" s="423" customFormat="1">
      <c r="B141" s="424"/>
      <c r="C141" s="2047" t="s">
        <v>398</v>
      </c>
      <c r="D141" s="2052"/>
      <c r="E141" s="2053"/>
      <c r="F141" s="2058"/>
      <c r="G141" s="2059"/>
      <c r="H141" s="315"/>
    </row>
    <row r="142" spans="2:8" s="423" customFormat="1" ht="14.25" customHeight="1">
      <c r="B142" s="424"/>
      <c r="C142" s="2056" t="s">
        <v>392</v>
      </c>
      <c r="D142" s="2048" t="s">
        <v>66</v>
      </c>
      <c r="E142" s="2049">
        <v>8</v>
      </c>
      <c r="F142" s="2058">
        <v>0</v>
      </c>
      <c r="G142" s="2059">
        <f t="shared" si="5"/>
        <v>0</v>
      </c>
      <c r="H142" s="315"/>
    </row>
    <row r="143" spans="2:8" s="423" customFormat="1" ht="24">
      <c r="B143" s="424"/>
      <c r="C143" s="2057" t="s">
        <v>393</v>
      </c>
      <c r="D143" s="2048" t="s">
        <v>66</v>
      </c>
      <c r="E143" s="2049">
        <v>1</v>
      </c>
      <c r="F143" s="2058">
        <v>0</v>
      </c>
      <c r="G143" s="2059">
        <f t="shared" si="5"/>
        <v>0</v>
      </c>
      <c r="H143" s="315"/>
    </row>
    <row r="144" spans="2:8" s="423" customFormat="1">
      <c r="B144" s="424"/>
      <c r="C144" s="2057" t="s">
        <v>394</v>
      </c>
      <c r="D144" s="2048" t="s">
        <v>66</v>
      </c>
      <c r="E144" s="2049">
        <v>1</v>
      </c>
      <c r="F144" s="2058">
        <v>0</v>
      </c>
      <c r="G144" s="2059">
        <f t="shared" si="5"/>
        <v>0</v>
      </c>
      <c r="H144" s="315"/>
    </row>
    <row r="145" spans="2:8" s="423" customFormat="1">
      <c r="B145" s="424"/>
      <c r="C145" s="2057" t="s">
        <v>399</v>
      </c>
      <c r="D145" s="2048" t="s">
        <v>66</v>
      </c>
      <c r="E145" s="2049">
        <v>1</v>
      </c>
      <c r="F145" s="2058">
        <v>0</v>
      </c>
      <c r="G145" s="2059">
        <f t="shared" si="5"/>
        <v>0</v>
      </c>
      <c r="H145" s="315"/>
    </row>
    <row r="146" spans="2:8" s="423" customFormat="1">
      <c r="B146" s="424"/>
      <c r="C146" s="2057" t="s">
        <v>395</v>
      </c>
      <c r="D146" s="2048" t="s">
        <v>66</v>
      </c>
      <c r="E146" s="2049">
        <v>2</v>
      </c>
      <c r="F146" s="2058">
        <v>0</v>
      </c>
      <c r="G146" s="2059">
        <f t="shared" si="5"/>
        <v>0</v>
      </c>
      <c r="H146" s="315"/>
    </row>
    <row r="147" spans="2:8" s="423" customFormat="1">
      <c r="B147" s="424"/>
      <c r="C147" s="2057" t="s">
        <v>396</v>
      </c>
      <c r="D147" s="2048" t="s">
        <v>397</v>
      </c>
      <c r="E147" s="2049">
        <v>20</v>
      </c>
      <c r="F147" s="2058">
        <v>0</v>
      </c>
      <c r="G147" s="2059">
        <f t="shared" si="5"/>
        <v>0</v>
      </c>
      <c r="H147" s="315"/>
    </row>
    <row r="148" spans="2:8" s="423" customFormat="1" ht="24">
      <c r="B148" s="424"/>
      <c r="C148" s="2047" t="s">
        <v>400</v>
      </c>
      <c r="D148" s="2052"/>
      <c r="E148" s="2053"/>
      <c r="F148" s="2058"/>
      <c r="G148" s="2059"/>
      <c r="H148" s="315"/>
    </row>
    <row r="149" spans="2:8" s="423" customFormat="1" ht="14.25" customHeight="1">
      <c r="B149" s="424"/>
      <c r="C149" s="2056" t="s">
        <v>385</v>
      </c>
      <c r="D149" s="2048" t="s">
        <v>66</v>
      </c>
      <c r="E149" s="2049">
        <v>6</v>
      </c>
      <c r="F149" s="2058">
        <v>0</v>
      </c>
      <c r="G149" s="2059">
        <f t="shared" si="5"/>
        <v>0</v>
      </c>
      <c r="H149" s="315"/>
    </row>
    <row r="150" spans="2:8" s="423" customFormat="1" ht="24">
      <c r="B150" s="424"/>
      <c r="C150" s="2057" t="s">
        <v>387</v>
      </c>
      <c r="D150" s="2048" t="s">
        <v>66</v>
      </c>
      <c r="E150" s="2049">
        <v>4</v>
      </c>
      <c r="F150" s="2058">
        <v>0</v>
      </c>
      <c r="G150" s="2059">
        <f t="shared" si="5"/>
        <v>0</v>
      </c>
      <c r="H150" s="315"/>
    </row>
    <row r="151" spans="2:8" s="423" customFormat="1">
      <c r="B151" s="424"/>
      <c r="C151" s="2057" t="s">
        <v>401</v>
      </c>
      <c r="D151" s="2048" t="s">
        <v>66</v>
      </c>
      <c r="E151" s="2049">
        <v>2</v>
      </c>
      <c r="F151" s="2058">
        <v>0</v>
      </c>
      <c r="G151" s="2059">
        <f t="shared" si="5"/>
        <v>0</v>
      </c>
      <c r="H151" s="315"/>
    </row>
    <row r="152" spans="2:8" s="423" customFormat="1">
      <c r="B152" s="424"/>
      <c r="C152" s="2057" t="s">
        <v>402</v>
      </c>
      <c r="D152" s="2048" t="s">
        <v>66</v>
      </c>
      <c r="E152" s="2049">
        <v>1</v>
      </c>
      <c r="F152" s="2058">
        <v>0</v>
      </c>
      <c r="G152" s="2059">
        <f t="shared" si="5"/>
        <v>0</v>
      </c>
      <c r="H152" s="315"/>
    </row>
    <row r="153" spans="2:8" s="423" customFormat="1">
      <c r="B153" s="424"/>
      <c r="C153" s="2057" t="s">
        <v>403</v>
      </c>
      <c r="D153" s="2048" t="s">
        <v>397</v>
      </c>
      <c r="E153" s="2049">
        <v>5</v>
      </c>
      <c r="F153" s="2058">
        <v>0</v>
      </c>
      <c r="G153" s="2059">
        <f t="shared" si="5"/>
        <v>0</v>
      </c>
      <c r="H153" s="315"/>
    </row>
    <row r="154" spans="2:8" s="423" customFormat="1">
      <c r="B154" s="424"/>
      <c r="C154" s="2047" t="s">
        <v>404</v>
      </c>
      <c r="D154" s="2052"/>
      <c r="E154" s="2053"/>
      <c r="F154" s="2058"/>
      <c r="G154" s="2059"/>
      <c r="H154" s="315"/>
    </row>
    <row r="155" spans="2:8" s="423" customFormat="1" ht="14.25" customHeight="1">
      <c r="B155" s="424"/>
      <c r="C155" s="2056" t="s">
        <v>385</v>
      </c>
      <c r="D155" s="2048" t="s">
        <v>66</v>
      </c>
      <c r="E155" s="2049">
        <v>2</v>
      </c>
      <c r="F155" s="2058">
        <v>0</v>
      </c>
      <c r="G155" s="2059">
        <f t="shared" si="5"/>
        <v>0</v>
      </c>
      <c r="H155" s="315"/>
    </row>
    <row r="156" spans="2:8" s="423" customFormat="1" ht="24">
      <c r="B156" s="424"/>
      <c r="C156" s="2057" t="s">
        <v>387</v>
      </c>
      <c r="D156" s="2048" t="s">
        <v>66</v>
      </c>
      <c r="E156" s="2049">
        <v>1</v>
      </c>
      <c r="F156" s="2058">
        <v>0</v>
      </c>
      <c r="G156" s="2059">
        <f t="shared" si="5"/>
        <v>0</v>
      </c>
      <c r="H156" s="315"/>
    </row>
    <row r="157" spans="2:8" s="423" customFormat="1">
      <c r="B157" s="424"/>
      <c r="C157" s="2057" t="s">
        <v>405</v>
      </c>
      <c r="D157" s="2048" t="s">
        <v>66</v>
      </c>
      <c r="E157" s="2049">
        <v>1</v>
      </c>
      <c r="F157" s="2058">
        <v>0</v>
      </c>
      <c r="G157" s="2059">
        <f t="shared" si="5"/>
        <v>0</v>
      </c>
      <c r="H157" s="315"/>
    </row>
    <row r="158" spans="2:8" s="423" customFormat="1">
      <c r="B158" s="424"/>
      <c r="C158" s="2057" t="s">
        <v>406</v>
      </c>
      <c r="D158" s="2048" t="s">
        <v>66</v>
      </c>
      <c r="E158" s="2049">
        <v>2</v>
      </c>
      <c r="F158" s="2058">
        <v>0</v>
      </c>
      <c r="G158" s="2059">
        <f t="shared" si="5"/>
        <v>0</v>
      </c>
      <c r="H158" s="315"/>
    </row>
    <row r="159" spans="2:8" s="423" customFormat="1">
      <c r="B159" s="411" t="s">
        <v>344</v>
      </c>
      <c r="C159" s="2027" t="s">
        <v>345</v>
      </c>
      <c r="D159" s="1791"/>
      <c r="E159" s="1525"/>
      <c r="F159" s="2060"/>
      <c r="G159" s="2028"/>
      <c r="H159" s="315"/>
    </row>
    <row r="160" spans="2:8" s="423" customFormat="1">
      <c r="B160" s="424"/>
      <c r="C160" s="2027" t="s">
        <v>407</v>
      </c>
      <c r="D160" s="2029"/>
      <c r="E160" s="2030"/>
      <c r="F160" s="2031"/>
      <c r="G160" s="2032"/>
      <c r="H160" s="315"/>
    </row>
    <row r="161" spans="2:8" s="217" customFormat="1">
      <c r="B161" s="218"/>
      <c r="C161" s="1528" t="s">
        <v>213</v>
      </c>
      <c r="D161" s="203" t="s">
        <v>66</v>
      </c>
      <c r="E161" s="1525">
        <v>2</v>
      </c>
      <c r="F161" s="1834">
        <v>0</v>
      </c>
      <c r="G161" s="1726">
        <f t="shared" ref="G161:G189" si="6">E161*F161</f>
        <v>0</v>
      </c>
      <c r="H161" s="1703"/>
    </row>
    <row r="162" spans="2:8" s="217" customFormat="1">
      <c r="B162" s="218"/>
      <c r="C162" s="1528" t="s">
        <v>409</v>
      </c>
      <c r="D162" s="203" t="s">
        <v>66</v>
      </c>
      <c r="E162" s="1525">
        <v>2</v>
      </c>
      <c r="F162" s="1834">
        <v>0</v>
      </c>
      <c r="G162" s="1726">
        <f t="shared" si="6"/>
        <v>0</v>
      </c>
      <c r="H162" s="1703"/>
    </row>
    <row r="163" spans="2:8" s="217" customFormat="1">
      <c r="B163" s="218"/>
      <c r="C163" s="1528" t="s">
        <v>349</v>
      </c>
      <c r="D163" s="203" t="s">
        <v>66</v>
      </c>
      <c r="E163" s="1525">
        <v>2</v>
      </c>
      <c r="F163" s="1834">
        <v>0</v>
      </c>
      <c r="G163" s="1726">
        <f t="shared" si="6"/>
        <v>0</v>
      </c>
      <c r="H163" s="1703"/>
    </row>
    <row r="164" spans="2:8" s="217" customFormat="1">
      <c r="B164" s="218"/>
      <c r="C164" s="1528" t="s">
        <v>139</v>
      </c>
      <c r="D164" s="203" t="s">
        <v>66</v>
      </c>
      <c r="E164" s="1525">
        <v>2</v>
      </c>
      <c r="F164" s="1834">
        <v>0</v>
      </c>
      <c r="G164" s="1726">
        <f t="shared" si="6"/>
        <v>0</v>
      </c>
      <c r="H164" s="1703"/>
    </row>
    <row r="165" spans="2:8" s="217" customFormat="1">
      <c r="B165" s="218"/>
      <c r="C165" s="1528" t="s">
        <v>350</v>
      </c>
      <c r="D165" s="203" t="s">
        <v>66</v>
      </c>
      <c r="E165" s="1525">
        <v>2</v>
      </c>
      <c r="F165" s="1834">
        <v>0</v>
      </c>
      <c r="G165" s="1726">
        <f t="shared" si="6"/>
        <v>0</v>
      </c>
      <c r="H165" s="1703"/>
    </row>
    <row r="166" spans="2:8" s="217" customFormat="1" ht="15" customHeight="1">
      <c r="B166" s="218"/>
      <c r="C166" s="1528" t="s">
        <v>351</v>
      </c>
      <c r="D166" s="203" t="s">
        <v>66</v>
      </c>
      <c r="E166" s="1525">
        <v>2</v>
      </c>
      <c r="F166" s="1834">
        <v>0</v>
      </c>
      <c r="G166" s="1726">
        <f t="shared" si="6"/>
        <v>0</v>
      </c>
      <c r="H166" s="1703"/>
    </row>
    <row r="167" spans="2:8" s="217" customFormat="1" ht="15" customHeight="1">
      <c r="B167" s="218"/>
      <c r="C167" s="1528" t="s">
        <v>352</v>
      </c>
      <c r="D167" s="203" t="s">
        <v>66</v>
      </c>
      <c r="E167" s="1525">
        <v>2</v>
      </c>
      <c r="F167" s="1834">
        <v>0</v>
      </c>
      <c r="G167" s="1726">
        <f t="shared" si="6"/>
        <v>0</v>
      </c>
      <c r="H167" s="1703"/>
    </row>
    <row r="168" spans="2:8" s="217" customFormat="1" ht="15" customHeight="1">
      <c r="B168" s="218"/>
      <c r="C168" s="1528" t="s">
        <v>353</v>
      </c>
      <c r="D168" s="203" t="s">
        <v>66</v>
      </c>
      <c r="E168" s="1525">
        <v>1</v>
      </c>
      <c r="F168" s="1834">
        <v>0</v>
      </c>
      <c r="G168" s="1726">
        <f t="shared" si="6"/>
        <v>0</v>
      </c>
      <c r="H168" s="1703"/>
    </row>
    <row r="169" spans="2:8" s="217" customFormat="1" ht="12" customHeight="1">
      <c r="B169" s="218"/>
      <c r="C169" s="1529" t="s">
        <v>354</v>
      </c>
      <c r="D169" s="203" t="s">
        <v>66</v>
      </c>
      <c r="E169" s="1525">
        <v>2</v>
      </c>
      <c r="F169" s="1834">
        <v>0</v>
      </c>
      <c r="G169" s="1726">
        <f t="shared" si="6"/>
        <v>0</v>
      </c>
      <c r="H169" s="1703"/>
    </row>
    <row r="170" spans="2:8" s="217" customFormat="1" ht="12.75" customHeight="1">
      <c r="B170" s="218"/>
      <c r="C170" s="1529" t="s">
        <v>355</v>
      </c>
      <c r="D170" s="203" t="s">
        <v>66</v>
      </c>
      <c r="E170" s="1525">
        <v>1</v>
      </c>
      <c r="F170" s="1834">
        <v>0</v>
      </c>
      <c r="G170" s="1726">
        <f t="shared" si="6"/>
        <v>0</v>
      </c>
      <c r="H170" s="1703"/>
    </row>
    <row r="171" spans="2:8" s="217" customFormat="1" ht="12.75" customHeight="1">
      <c r="B171" s="218"/>
      <c r="C171" s="1529" t="s">
        <v>356</v>
      </c>
      <c r="D171" s="203" t="s">
        <v>66</v>
      </c>
      <c r="E171" s="1525">
        <v>1</v>
      </c>
      <c r="F171" s="1834">
        <v>0</v>
      </c>
      <c r="G171" s="1726">
        <f t="shared" si="6"/>
        <v>0</v>
      </c>
      <c r="H171" s="1703"/>
    </row>
    <row r="172" spans="2:8" s="217" customFormat="1">
      <c r="B172" s="218"/>
      <c r="C172" s="1529" t="s">
        <v>357</v>
      </c>
      <c r="D172" s="203" t="s">
        <v>66</v>
      </c>
      <c r="E172" s="1525">
        <v>1</v>
      </c>
      <c r="F172" s="1834">
        <v>0</v>
      </c>
      <c r="G172" s="1726">
        <f t="shared" si="6"/>
        <v>0</v>
      </c>
      <c r="H172" s="1703"/>
    </row>
    <row r="173" spans="2:8" s="217" customFormat="1" ht="14.25" customHeight="1">
      <c r="B173" s="218"/>
      <c r="C173" s="1529" t="s">
        <v>358</v>
      </c>
      <c r="D173" s="203" t="s">
        <v>66</v>
      </c>
      <c r="E173" s="1525">
        <v>1</v>
      </c>
      <c r="F173" s="1834">
        <v>0</v>
      </c>
      <c r="G173" s="1726">
        <f t="shared" si="6"/>
        <v>0</v>
      </c>
      <c r="H173" s="1703"/>
    </row>
    <row r="174" spans="2:8" s="217" customFormat="1" ht="14.25" customHeight="1">
      <c r="B174" s="218"/>
      <c r="C174" s="1529" t="s">
        <v>359</v>
      </c>
      <c r="D174" s="203" t="s">
        <v>66</v>
      </c>
      <c r="E174" s="1525">
        <v>1</v>
      </c>
      <c r="F174" s="1834">
        <v>0</v>
      </c>
      <c r="G174" s="1726">
        <f t="shared" si="6"/>
        <v>0</v>
      </c>
      <c r="H174" s="1703"/>
    </row>
    <row r="175" spans="2:8" s="217" customFormat="1" ht="14.25" customHeight="1">
      <c r="B175" s="218"/>
      <c r="C175" s="1529" t="s">
        <v>360</v>
      </c>
      <c r="D175" s="203" t="s">
        <v>66</v>
      </c>
      <c r="E175" s="1525">
        <v>1</v>
      </c>
      <c r="F175" s="1834">
        <v>0</v>
      </c>
      <c r="G175" s="1726">
        <f t="shared" si="6"/>
        <v>0</v>
      </c>
      <c r="H175" s="1703"/>
    </row>
    <row r="176" spans="2:8" s="217" customFormat="1" ht="14.25" customHeight="1">
      <c r="B176" s="218"/>
      <c r="C176" s="1529" t="s">
        <v>361</v>
      </c>
      <c r="D176" s="203" t="s">
        <v>66</v>
      </c>
      <c r="E176" s="1525">
        <v>1</v>
      </c>
      <c r="F176" s="1834">
        <v>0</v>
      </c>
      <c r="G176" s="1726">
        <f t="shared" si="6"/>
        <v>0</v>
      </c>
      <c r="H176" s="1703"/>
    </row>
    <row r="177" spans="2:10" s="217" customFormat="1">
      <c r="B177" s="218"/>
      <c r="C177" s="1724" t="s">
        <v>362</v>
      </c>
      <c r="D177" s="203" t="s">
        <v>66</v>
      </c>
      <c r="E177" s="1525">
        <v>2</v>
      </c>
      <c r="F177" s="1834">
        <v>0</v>
      </c>
      <c r="G177" s="1726">
        <f t="shared" si="6"/>
        <v>0</v>
      </c>
      <c r="H177" s="1703"/>
    </row>
    <row r="178" spans="2:10" s="217" customFormat="1" ht="54" customHeight="1">
      <c r="B178" s="218"/>
      <c r="C178" s="1724" t="s">
        <v>363</v>
      </c>
      <c r="D178" s="203" t="s">
        <v>66</v>
      </c>
      <c r="E178" s="1525">
        <v>1</v>
      </c>
      <c r="F178" s="1834">
        <v>0</v>
      </c>
      <c r="G178" s="1726">
        <f t="shared" si="6"/>
        <v>0</v>
      </c>
      <c r="H178" s="1703"/>
    </row>
    <row r="179" spans="2:10" s="217" customFormat="1" ht="38.25" customHeight="1">
      <c r="B179" s="218"/>
      <c r="C179" s="1529" t="s">
        <v>283</v>
      </c>
      <c r="D179" s="203" t="s">
        <v>66</v>
      </c>
      <c r="E179" s="1525">
        <v>1</v>
      </c>
      <c r="F179" s="1834">
        <v>0</v>
      </c>
      <c r="G179" s="1726">
        <f t="shared" si="6"/>
        <v>0</v>
      </c>
      <c r="H179" s="1703"/>
    </row>
    <row r="180" spans="2:10" s="217" customFormat="1">
      <c r="B180" s="218"/>
      <c r="C180" s="1528" t="s">
        <v>315</v>
      </c>
      <c r="D180" s="203" t="s">
        <v>66</v>
      </c>
      <c r="E180" s="1525">
        <v>2</v>
      </c>
      <c r="F180" s="1834">
        <v>0</v>
      </c>
      <c r="G180" s="1726">
        <f t="shared" si="6"/>
        <v>0</v>
      </c>
      <c r="H180" s="1703"/>
    </row>
    <row r="181" spans="2:10" s="217" customFormat="1">
      <c r="B181" s="218"/>
      <c r="C181" s="1529" t="s">
        <v>183</v>
      </c>
      <c r="D181" s="203" t="s">
        <v>66</v>
      </c>
      <c r="E181" s="1525">
        <v>1</v>
      </c>
      <c r="F181" s="1834">
        <v>0</v>
      </c>
      <c r="G181" s="1726">
        <f t="shared" si="6"/>
        <v>0</v>
      </c>
      <c r="H181" s="1703"/>
    </row>
    <row r="182" spans="2:10" s="217" customFormat="1">
      <c r="B182" s="218"/>
      <c r="C182" s="1529" t="s">
        <v>131</v>
      </c>
      <c r="D182" s="203" t="s">
        <v>66</v>
      </c>
      <c r="E182" s="1525">
        <v>1</v>
      </c>
      <c r="F182" s="1834">
        <v>0</v>
      </c>
      <c r="G182" s="1726">
        <f t="shared" si="6"/>
        <v>0</v>
      </c>
      <c r="H182" s="1703"/>
    </row>
    <row r="183" spans="2:10" s="217" customFormat="1">
      <c r="B183" s="218"/>
      <c r="C183" s="1528" t="s">
        <v>364</v>
      </c>
      <c r="D183" s="203" t="s">
        <v>66</v>
      </c>
      <c r="E183" s="1525">
        <v>1</v>
      </c>
      <c r="F183" s="1834">
        <v>0</v>
      </c>
      <c r="G183" s="1726">
        <f t="shared" si="6"/>
        <v>0</v>
      </c>
      <c r="H183" s="1703"/>
    </row>
    <row r="184" spans="2:10" s="217" customFormat="1">
      <c r="B184" s="218"/>
      <c r="C184" s="1724" t="s">
        <v>184</v>
      </c>
      <c r="D184" s="203" t="s">
        <v>66</v>
      </c>
      <c r="E184" s="1525">
        <v>2</v>
      </c>
      <c r="F184" s="1834">
        <v>0</v>
      </c>
      <c r="G184" s="1726">
        <f t="shared" si="6"/>
        <v>0</v>
      </c>
      <c r="H184" s="1703"/>
    </row>
    <row r="185" spans="2:10" s="217" customFormat="1">
      <c r="B185" s="218"/>
      <c r="C185" s="1724" t="s">
        <v>410</v>
      </c>
      <c r="D185" s="203" t="s">
        <v>66</v>
      </c>
      <c r="E185" s="1525">
        <v>4</v>
      </c>
      <c r="F185" s="1834">
        <v>0</v>
      </c>
      <c r="G185" s="1726">
        <f t="shared" si="6"/>
        <v>0</v>
      </c>
      <c r="H185" s="1703"/>
    </row>
    <row r="186" spans="2:10" s="217" customFormat="1">
      <c r="B186" s="218"/>
      <c r="C186" s="1724" t="s">
        <v>150</v>
      </c>
      <c r="D186" s="203" t="s">
        <v>66</v>
      </c>
      <c r="E186" s="1525">
        <v>2</v>
      </c>
      <c r="F186" s="1834">
        <v>0</v>
      </c>
      <c r="G186" s="1726">
        <f t="shared" si="6"/>
        <v>0</v>
      </c>
      <c r="H186" s="1703"/>
    </row>
    <row r="187" spans="2:10" s="217" customFormat="1">
      <c r="B187" s="218"/>
      <c r="C187" s="1724" t="s">
        <v>134</v>
      </c>
      <c r="D187" s="203" t="s">
        <v>66</v>
      </c>
      <c r="E187" s="1525">
        <v>1</v>
      </c>
      <c r="F187" s="1834">
        <v>0</v>
      </c>
      <c r="G187" s="1726">
        <f t="shared" si="6"/>
        <v>0</v>
      </c>
      <c r="H187" s="1703"/>
    </row>
    <row r="188" spans="2:10" s="439" customFormat="1" ht="78.75" customHeight="1">
      <c r="B188" s="218"/>
      <c r="C188" s="1724" t="s">
        <v>2213</v>
      </c>
      <c r="D188" s="203" t="s">
        <v>66</v>
      </c>
      <c r="E188" s="1525">
        <v>1</v>
      </c>
      <c r="F188" s="1834">
        <v>0</v>
      </c>
      <c r="G188" s="1726">
        <f t="shared" si="6"/>
        <v>0</v>
      </c>
      <c r="H188" s="524"/>
      <c r="I188" s="73"/>
      <c r="J188" s="73"/>
    </row>
    <row r="189" spans="2:10" s="217" customFormat="1">
      <c r="B189" s="218"/>
      <c r="C189" s="1709" t="s">
        <v>135</v>
      </c>
      <c r="D189" s="203" t="s">
        <v>66</v>
      </c>
      <c r="E189" s="1525">
        <v>1</v>
      </c>
      <c r="F189" s="1834">
        <v>0</v>
      </c>
      <c r="G189" s="1726">
        <f t="shared" si="6"/>
        <v>0</v>
      </c>
      <c r="H189" s="1703"/>
    </row>
    <row r="190" spans="2:10" s="423" customFormat="1">
      <c r="B190" s="411" t="s">
        <v>346</v>
      </c>
      <c r="C190" s="2061" t="s">
        <v>347</v>
      </c>
      <c r="D190" s="2062"/>
      <c r="E190" s="1167"/>
      <c r="F190" s="2063"/>
      <c r="G190" s="2064"/>
      <c r="H190" s="315"/>
    </row>
    <row r="191" spans="2:10" s="423" customFormat="1">
      <c r="B191" s="424"/>
      <c r="C191" s="2061" t="s">
        <v>408</v>
      </c>
      <c r="D191" s="2065"/>
      <c r="E191" s="747"/>
      <c r="F191" s="2066"/>
      <c r="G191" s="2067"/>
      <c r="H191" s="315"/>
    </row>
    <row r="192" spans="2:10" s="423" customFormat="1">
      <c r="B192" s="424"/>
      <c r="C192" s="2068" t="s">
        <v>213</v>
      </c>
      <c r="D192" s="2062" t="s">
        <v>66</v>
      </c>
      <c r="E192" s="1167">
        <v>2</v>
      </c>
      <c r="F192" s="2069">
        <v>0</v>
      </c>
      <c r="G192" s="2070">
        <f t="shared" ref="G192:G219" si="7">E192*F192</f>
        <v>0</v>
      </c>
      <c r="H192" s="315"/>
    </row>
    <row r="193" spans="2:8" s="423" customFormat="1">
      <c r="B193" s="424"/>
      <c r="C193" s="2068" t="s">
        <v>409</v>
      </c>
      <c r="D193" s="2062" t="s">
        <v>66</v>
      </c>
      <c r="E193" s="1167">
        <v>2</v>
      </c>
      <c r="F193" s="2069">
        <v>0</v>
      </c>
      <c r="G193" s="2070">
        <f t="shared" si="7"/>
        <v>0</v>
      </c>
      <c r="H193" s="315"/>
    </row>
    <row r="194" spans="2:8" s="423" customFormat="1">
      <c r="B194" s="424"/>
      <c r="C194" s="2068" t="s">
        <v>349</v>
      </c>
      <c r="D194" s="2062" t="s">
        <v>66</v>
      </c>
      <c r="E194" s="1167">
        <v>2</v>
      </c>
      <c r="F194" s="2069">
        <v>0</v>
      </c>
      <c r="G194" s="2070">
        <f t="shared" si="7"/>
        <v>0</v>
      </c>
      <c r="H194" s="315"/>
    </row>
    <row r="195" spans="2:8" s="423" customFormat="1">
      <c r="B195" s="424"/>
      <c r="C195" s="2068" t="s">
        <v>139</v>
      </c>
      <c r="D195" s="2062" t="s">
        <v>66</v>
      </c>
      <c r="E195" s="1167">
        <v>2</v>
      </c>
      <c r="F195" s="2069">
        <v>0</v>
      </c>
      <c r="G195" s="2070">
        <f t="shared" si="7"/>
        <v>0</v>
      </c>
      <c r="H195" s="315"/>
    </row>
    <row r="196" spans="2:8" s="423" customFormat="1">
      <c r="B196" s="424"/>
      <c r="C196" s="2068" t="s">
        <v>350</v>
      </c>
      <c r="D196" s="2062" t="s">
        <v>66</v>
      </c>
      <c r="E196" s="1167">
        <v>2</v>
      </c>
      <c r="F196" s="2069">
        <v>0</v>
      </c>
      <c r="G196" s="2070">
        <f t="shared" si="7"/>
        <v>0</v>
      </c>
      <c r="H196" s="315"/>
    </row>
    <row r="197" spans="2:8" s="423" customFormat="1" ht="15" customHeight="1">
      <c r="B197" s="424"/>
      <c r="C197" s="2068" t="s">
        <v>351</v>
      </c>
      <c r="D197" s="2062" t="s">
        <v>66</v>
      </c>
      <c r="E197" s="1167">
        <v>2</v>
      </c>
      <c r="F197" s="2069">
        <v>0</v>
      </c>
      <c r="G197" s="2070">
        <f t="shared" si="7"/>
        <v>0</v>
      </c>
      <c r="H197" s="315"/>
    </row>
    <row r="198" spans="2:8" s="423" customFormat="1" ht="15" customHeight="1">
      <c r="B198" s="424"/>
      <c r="C198" s="2068" t="s">
        <v>352</v>
      </c>
      <c r="D198" s="2062" t="s">
        <v>66</v>
      </c>
      <c r="E198" s="1167">
        <v>2</v>
      </c>
      <c r="F198" s="2069">
        <v>0</v>
      </c>
      <c r="G198" s="2070">
        <f t="shared" si="7"/>
        <v>0</v>
      </c>
      <c r="H198" s="315"/>
    </row>
    <row r="199" spans="2:8" s="423" customFormat="1" ht="15" customHeight="1">
      <c r="B199" s="424"/>
      <c r="C199" s="2068" t="s">
        <v>353</v>
      </c>
      <c r="D199" s="2062" t="s">
        <v>66</v>
      </c>
      <c r="E199" s="1167">
        <v>1</v>
      </c>
      <c r="F199" s="2069">
        <v>0</v>
      </c>
      <c r="G199" s="2070">
        <f t="shared" si="7"/>
        <v>0</v>
      </c>
      <c r="H199" s="315"/>
    </row>
    <row r="200" spans="2:8" s="423" customFormat="1" ht="12" customHeight="1">
      <c r="B200" s="424"/>
      <c r="C200" s="2071" t="s">
        <v>354</v>
      </c>
      <c r="D200" s="2062" t="s">
        <v>66</v>
      </c>
      <c r="E200" s="1167">
        <v>2</v>
      </c>
      <c r="F200" s="2069">
        <v>0</v>
      </c>
      <c r="G200" s="2070">
        <f t="shared" si="7"/>
        <v>0</v>
      </c>
      <c r="H200" s="315"/>
    </row>
    <row r="201" spans="2:8" s="423" customFormat="1" ht="12.75" customHeight="1">
      <c r="B201" s="424"/>
      <c r="C201" s="2071" t="s">
        <v>355</v>
      </c>
      <c r="D201" s="2062" t="s">
        <v>66</v>
      </c>
      <c r="E201" s="1167">
        <v>1</v>
      </c>
      <c r="F201" s="2069">
        <v>0</v>
      </c>
      <c r="G201" s="2070">
        <f t="shared" si="7"/>
        <v>0</v>
      </c>
      <c r="H201" s="315"/>
    </row>
    <row r="202" spans="2:8" s="423" customFormat="1" ht="12.75" customHeight="1">
      <c r="B202" s="424"/>
      <c r="C202" s="2071" t="s">
        <v>356</v>
      </c>
      <c r="D202" s="2062" t="s">
        <v>66</v>
      </c>
      <c r="E202" s="1167">
        <v>1</v>
      </c>
      <c r="F202" s="2069">
        <v>0</v>
      </c>
      <c r="G202" s="2070">
        <f t="shared" si="7"/>
        <v>0</v>
      </c>
      <c r="H202" s="315"/>
    </row>
    <row r="203" spans="2:8" s="423" customFormat="1">
      <c r="B203" s="424"/>
      <c r="C203" s="2071" t="s">
        <v>357</v>
      </c>
      <c r="D203" s="2062" t="s">
        <v>66</v>
      </c>
      <c r="E203" s="1167">
        <v>1</v>
      </c>
      <c r="F203" s="2069">
        <v>0</v>
      </c>
      <c r="G203" s="2070">
        <f t="shared" si="7"/>
        <v>0</v>
      </c>
      <c r="H203" s="315"/>
    </row>
    <row r="204" spans="2:8" s="423" customFormat="1" ht="14.25" customHeight="1">
      <c r="B204" s="424"/>
      <c r="C204" s="2071" t="s">
        <v>358</v>
      </c>
      <c r="D204" s="2062" t="s">
        <v>66</v>
      </c>
      <c r="E204" s="1167">
        <v>1</v>
      </c>
      <c r="F204" s="2069">
        <v>0</v>
      </c>
      <c r="G204" s="2070">
        <f t="shared" si="7"/>
        <v>0</v>
      </c>
      <c r="H204" s="315"/>
    </row>
    <row r="205" spans="2:8" s="423" customFormat="1" ht="14.25" customHeight="1">
      <c r="B205" s="424"/>
      <c r="C205" s="2071" t="s">
        <v>359</v>
      </c>
      <c r="D205" s="2062" t="s">
        <v>66</v>
      </c>
      <c r="E205" s="1167">
        <v>1</v>
      </c>
      <c r="F205" s="2069">
        <v>0</v>
      </c>
      <c r="G205" s="2070">
        <f t="shared" si="7"/>
        <v>0</v>
      </c>
      <c r="H205" s="315"/>
    </row>
    <row r="206" spans="2:8" s="423" customFormat="1" ht="14.25" customHeight="1">
      <c r="B206" s="424"/>
      <c r="C206" s="2071" t="s">
        <v>360</v>
      </c>
      <c r="D206" s="2062" t="s">
        <v>66</v>
      </c>
      <c r="E206" s="1167">
        <v>1</v>
      </c>
      <c r="F206" s="2069">
        <v>0</v>
      </c>
      <c r="G206" s="2070">
        <f t="shared" si="7"/>
        <v>0</v>
      </c>
      <c r="H206" s="315"/>
    </row>
    <row r="207" spans="2:8" s="423" customFormat="1" ht="14.25" customHeight="1">
      <c r="B207" s="424"/>
      <c r="C207" s="2071" t="s">
        <v>361</v>
      </c>
      <c r="D207" s="2062" t="s">
        <v>66</v>
      </c>
      <c r="E207" s="1167">
        <v>1</v>
      </c>
      <c r="F207" s="2069">
        <v>0</v>
      </c>
      <c r="G207" s="2070">
        <f t="shared" si="7"/>
        <v>0</v>
      </c>
      <c r="H207" s="315"/>
    </row>
    <row r="208" spans="2:8" s="423" customFormat="1">
      <c r="B208" s="424"/>
      <c r="C208" s="2072" t="s">
        <v>362</v>
      </c>
      <c r="D208" s="2062" t="s">
        <v>66</v>
      </c>
      <c r="E208" s="1167">
        <v>2</v>
      </c>
      <c r="F208" s="2069">
        <v>0</v>
      </c>
      <c r="G208" s="2070">
        <f t="shared" si="7"/>
        <v>0</v>
      </c>
      <c r="H208" s="315"/>
    </row>
    <row r="209" spans="2:8" s="423" customFormat="1" ht="52.5" customHeight="1">
      <c r="B209" s="424"/>
      <c r="C209" s="2072" t="s">
        <v>363</v>
      </c>
      <c r="D209" s="2062" t="s">
        <v>66</v>
      </c>
      <c r="E209" s="1167">
        <v>1</v>
      </c>
      <c r="F209" s="2069">
        <v>0</v>
      </c>
      <c r="G209" s="2070">
        <f t="shared" si="7"/>
        <v>0</v>
      </c>
      <c r="H209" s="315"/>
    </row>
    <row r="210" spans="2:8" s="423" customFormat="1" ht="38.25" customHeight="1">
      <c r="B210" s="424"/>
      <c r="C210" s="2071" t="s">
        <v>283</v>
      </c>
      <c r="D210" s="2062" t="s">
        <v>66</v>
      </c>
      <c r="E210" s="1167">
        <v>1</v>
      </c>
      <c r="F210" s="2069">
        <v>0</v>
      </c>
      <c r="G210" s="2070">
        <f t="shared" si="7"/>
        <v>0</v>
      </c>
      <c r="H210" s="315"/>
    </row>
    <row r="211" spans="2:8" s="423" customFormat="1">
      <c r="B211" s="424"/>
      <c r="C211" s="2068" t="s">
        <v>315</v>
      </c>
      <c r="D211" s="2062" t="s">
        <v>66</v>
      </c>
      <c r="E211" s="1167">
        <v>2</v>
      </c>
      <c r="F211" s="2069">
        <v>0</v>
      </c>
      <c r="G211" s="2070">
        <f t="shared" si="7"/>
        <v>0</v>
      </c>
      <c r="H211" s="315"/>
    </row>
    <row r="212" spans="2:8" s="423" customFormat="1">
      <c r="B212" s="424"/>
      <c r="C212" s="2071" t="s">
        <v>183</v>
      </c>
      <c r="D212" s="2062" t="s">
        <v>66</v>
      </c>
      <c r="E212" s="1167">
        <v>1</v>
      </c>
      <c r="F212" s="2069">
        <v>0</v>
      </c>
      <c r="G212" s="2070">
        <f t="shared" si="7"/>
        <v>0</v>
      </c>
      <c r="H212" s="315"/>
    </row>
    <row r="213" spans="2:8" s="423" customFormat="1">
      <c r="B213" s="424"/>
      <c r="C213" s="2071" t="s">
        <v>131</v>
      </c>
      <c r="D213" s="2062" t="s">
        <v>66</v>
      </c>
      <c r="E213" s="1167">
        <v>1</v>
      </c>
      <c r="F213" s="2069">
        <v>0</v>
      </c>
      <c r="G213" s="2070">
        <f t="shared" si="7"/>
        <v>0</v>
      </c>
      <c r="H213" s="315"/>
    </row>
    <row r="214" spans="2:8" s="423" customFormat="1">
      <c r="B214" s="424"/>
      <c r="C214" s="2068" t="s">
        <v>364</v>
      </c>
      <c r="D214" s="2062" t="s">
        <v>66</v>
      </c>
      <c r="E214" s="1167">
        <v>1</v>
      </c>
      <c r="F214" s="2069">
        <v>0</v>
      </c>
      <c r="G214" s="2070">
        <f t="shared" si="7"/>
        <v>0</v>
      </c>
      <c r="H214" s="315"/>
    </row>
    <row r="215" spans="2:8" s="423" customFormat="1">
      <c r="B215" s="424"/>
      <c r="C215" s="2072" t="s">
        <v>184</v>
      </c>
      <c r="D215" s="2062" t="s">
        <v>66</v>
      </c>
      <c r="E215" s="1167">
        <v>2</v>
      </c>
      <c r="F215" s="2069">
        <v>0</v>
      </c>
      <c r="G215" s="2070">
        <f t="shared" si="7"/>
        <v>0</v>
      </c>
      <c r="H215" s="315"/>
    </row>
    <row r="216" spans="2:8" s="423" customFormat="1">
      <c r="B216" s="424"/>
      <c r="C216" s="2072" t="s">
        <v>410</v>
      </c>
      <c r="D216" s="2062" t="s">
        <v>66</v>
      </c>
      <c r="E216" s="1167">
        <v>4</v>
      </c>
      <c r="F216" s="2069">
        <v>0</v>
      </c>
      <c r="G216" s="2070">
        <f t="shared" si="7"/>
        <v>0</v>
      </c>
      <c r="H216" s="315"/>
    </row>
    <row r="217" spans="2:8" s="423" customFormat="1">
      <c r="B217" s="424"/>
      <c r="C217" s="2072" t="s">
        <v>150</v>
      </c>
      <c r="D217" s="2062" t="s">
        <v>66</v>
      </c>
      <c r="E217" s="1167">
        <v>2</v>
      </c>
      <c r="F217" s="2069">
        <v>0</v>
      </c>
      <c r="G217" s="2070">
        <f t="shared" si="7"/>
        <v>0</v>
      </c>
      <c r="H217" s="315"/>
    </row>
    <row r="218" spans="2:8" s="423" customFormat="1">
      <c r="B218" s="424"/>
      <c r="C218" s="2072" t="s">
        <v>134</v>
      </c>
      <c r="D218" s="2062" t="s">
        <v>66</v>
      </c>
      <c r="E218" s="1167">
        <v>1</v>
      </c>
      <c r="F218" s="2069">
        <v>0</v>
      </c>
      <c r="G218" s="2070">
        <f t="shared" si="7"/>
        <v>0</v>
      </c>
      <c r="H218" s="315"/>
    </row>
    <row r="219" spans="2:8" s="423" customFormat="1">
      <c r="B219" s="424"/>
      <c r="C219" s="2073" t="s">
        <v>135</v>
      </c>
      <c r="D219" s="2062" t="s">
        <v>66</v>
      </c>
      <c r="E219" s="1167">
        <v>1</v>
      </c>
      <c r="F219" s="2069">
        <v>0</v>
      </c>
      <c r="G219" s="2070">
        <f t="shared" si="7"/>
        <v>0</v>
      </c>
      <c r="H219" s="315"/>
    </row>
    <row r="220" spans="2:8" s="388" customFormat="1" ht="25.5" customHeight="1">
      <c r="B220" s="433" t="s">
        <v>47</v>
      </c>
      <c r="C220" s="425" t="s">
        <v>175</v>
      </c>
      <c r="D220" s="426"/>
      <c r="E220" s="427"/>
      <c r="F220" s="428"/>
      <c r="G220" s="436">
        <f>SUM(G85:G219)</f>
        <v>0</v>
      </c>
      <c r="H220" s="387"/>
    </row>
    <row r="221" spans="2:8" s="312" customFormat="1">
      <c r="B221" s="285"/>
      <c r="C221" s="286"/>
      <c r="D221" s="287"/>
      <c r="E221" s="70"/>
      <c r="F221" s="71"/>
      <c r="G221" s="66"/>
      <c r="H221" s="315"/>
    </row>
    <row r="222" spans="2:8" s="312" customFormat="1">
      <c r="B222" s="285"/>
      <c r="C222" s="286"/>
      <c r="D222" s="287"/>
      <c r="E222" s="70"/>
      <c r="F222" s="71"/>
      <c r="G222" s="66"/>
      <c r="H222" s="315"/>
    </row>
  </sheetData>
  <mergeCells count="5">
    <mergeCell ref="B42:G42"/>
    <mergeCell ref="B63:B64"/>
    <mergeCell ref="B82:G82"/>
    <mergeCell ref="B83:G83"/>
    <mergeCell ref="B84:G84"/>
  </mergeCells>
  <pageMargins left="0.75" right="0.75" top="1" bottom="1" header="0" footer="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D12D-0459-4FB8-A6E8-2CF63FD001B3}">
  <sheetPr>
    <tabColor rgb="FFFFFF00"/>
  </sheetPr>
  <dimension ref="A2:L97"/>
  <sheetViews>
    <sheetView showZeros="0" zoomScale="110" zoomScaleNormal="110" workbookViewId="0">
      <selection activeCell="F91" sqref="F91"/>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1815</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G97</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50"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12</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2:7" ht="60">
      <c r="B49" s="188"/>
      <c r="C49" s="716" t="s">
        <v>1834</v>
      </c>
      <c r="D49" s="1419" t="s">
        <v>252</v>
      </c>
      <c r="E49" s="719">
        <v>1</v>
      </c>
      <c r="F49" s="1092">
        <v>0</v>
      </c>
      <c r="G49" s="1093">
        <f t="shared" si="0"/>
        <v>0</v>
      </c>
    </row>
    <row r="50" spans="2:7" ht="84">
      <c r="B50" s="188"/>
      <c r="C50" s="716" t="s">
        <v>1835</v>
      </c>
      <c r="D50" s="1419" t="s">
        <v>252</v>
      </c>
      <c r="E50" s="719">
        <v>1</v>
      </c>
      <c r="F50" s="1092">
        <v>0</v>
      </c>
      <c r="G50" s="1093">
        <f t="shared" si="0"/>
        <v>0</v>
      </c>
    </row>
    <row r="51" spans="2:7">
      <c r="B51" s="188">
        <v>2</v>
      </c>
      <c r="C51" s="159" t="s">
        <v>1294</v>
      </c>
      <c r="D51" s="140"/>
      <c r="E51" s="719"/>
      <c r="F51" s="1092"/>
      <c r="G51" s="1093"/>
    </row>
    <row r="52" spans="2:7" ht="392.25" customHeight="1">
      <c r="B52" s="2262"/>
      <c r="C52" s="2263"/>
      <c r="D52" s="2264"/>
      <c r="E52" s="2265"/>
      <c r="F52" s="2266"/>
      <c r="G52" s="2254"/>
    </row>
    <row r="53" spans="2:7" ht="24.75" customHeight="1">
      <c r="B53" s="2262"/>
      <c r="C53" s="2263" t="s">
        <v>2262</v>
      </c>
      <c r="D53" s="2267" t="s">
        <v>60</v>
      </c>
      <c r="E53" s="2265">
        <v>1</v>
      </c>
      <c r="F53" s="2266">
        <v>0</v>
      </c>
      <c r="G53" s="2254">
        <f t="shared" ref="G53:G59" si="1">E53*F53</f>
        <v>0</v>
      </c>
    </row>
    <row r="54" spans="2:7" ht="48">
      <c r="B54" s="188"/>
      <c r="C54" s="716" t="s">
        <v>1836</v>
      </c>
      <c r="D54" s="1419" t="s">
        <v>252</v>
      </c>
      <c r="E54" s="719">
        <v>1</v>
      </c>
      <c r="F54" s="1092">
        <v>0</v>
      </c>
      <c r="G54" s="1093">
        <f t="shared" si="1"/>
        <v>0</v>
      </c>
    </row>
    <row r="55" spans="2:7" ht="60">
      <c r="B55" s="188"/>
      <c r="C55" s="716" t="s">
        <v>1837</v>
      </c>
      <c r="D55" s="1419" t="s">
        <v>252</v>
      </c>
      <c r="E55" s="719">
        <v>1</v>
      </c>
      <c r="F55" s="1092">
        <v>0</v>
      </c>
      <c r="G55" s="1093">
        <f t="shared" si="1"/>
        <v>0</v>
      </c>
    </row>
    <row r="56" spans="2:7" ht="180">
      <c r="B56" s="188"/>
      <c r="C56" s="716" t="s">
        <v>654</v>
      </c>
      <c r="D56" s="1419" t="s">
        <v>252</v>
      </c>
      <c r="E56" s="719">
        <v>1</v>
      </c>
      <c r="F56" s="1092">
        <v>0</v>
      </c>
      <c r="G56" s="1093">
        <f t="shared" si="1"/>
        <v>0</v>
      </c>
    </row>
    <row r="57" spans="2:7" ht="60">
      <c r="B57" s="188"/>
      <c r="C57" s="716" t="s">
        <v>655</v>
      </c>
      <c r="D57" s="1419" t="s">
        <v>60</v>
      </c>
      <c r="E57" s="719">
        <v>1</v>
      </c>
      <c r="F57" s="1092">
        <v>0</v>
      </c>
      <c r="G57" s="1093">
        <f t="shared" si="1"/>
        <v>0</v>
      </c>
    </row>
    <row r="58" spans="2:7" ht="36">
      <c r="B58" s="188"/>
      <c r="C58" s="716" t="s">
        <v>1838</v>
      </c>
      <c r="D58" s="1419" t="s">
        <v>252</v>
      </c>
      <c r="E58" s="719">
        <v>1</v>
      </c>
      <c r="F58" s="1092">
        <v>0</v>
      </c>
      <c r="G58" s="1093">
        <f t="shared" si="1"/>
        <v>0</v>
      </c>
    </row>
    <row r="59" spans="2:7" ht="288">
      <c r="B59" s="188"/>
      <c r="C59" s="716" t="s">
        <v>1839</v>
      </c>
      <c r="D59" s="1419" t="s">
        <v>60</v>
      </c>
      <c r="E59" s="719">
        <v>2</v>
      </c>
      <c r="F59" s="1092">
        <v>0</v>
      </c>
      <c r="G59" s="1093">
        <f t="shared" si="1"/>
        <v>0</v>
      </c>
    </row>
    <row r="60" spans="2:7">
      <c r="B60" s="188">
        <v>3</v>
      </c>
      <c r="C60" s="159" t="s">
        <v>1840</v>
      </c>
      <c r="D60" s="140"/>
      <c r="E60" s="719"/>
      <c r="F60" s="1092"/>
      <c r="G60" s="1093"/>
    </row>
    <row r="61" spans="2:7" ht="276">
      <c r="B61" s="188"/>
      <c r="C61" s="716" t="s">
        <v>1841</v>
      </c>
      <c r="D61" s="1419" t="s">
        <v>60</v>
      </c>
      <c r="E61" s="719">
        <v>1</v>
      </c>
      <c r="F61" s="1092">
        <v>0</v>
      </c>
      <c r="G61" s="1093">
        <f>E61*F61</f>
        <v>0</v>
      </c>
    </row>
    <row r="62" spans="2:7" ht="72">
      <c r="B62" s="188"/>
      <c r="C62" s="716" t="s">
        <v>1842</v>
      </c>
      <c r="D62" s="1419" t="s">
        <v>60</v>
      </c>
      <c r="E62" s="719">
        <v>1</v>
      </c>
      <c r="F62" s="1092">
        <v>0</v>
      </c>
      <c r="G62" s="1093">
        <f>E62*F62</f>
        <v>0</v>
      </c>
    </row>
    <row r="63" spans="2:7" ht="84">
      <c r="B63" s="188"/>
      <c r="C63" s="716" t="s">
        <v>1843</v>
      </c>
      <c r="D63" s="1419" t="s">
        <v>60</v>
      </c>
      <c r="E63" s="719">
        <v>1</v>
      </c>
      <c r="F63" s="1092">
        <v>0</v>
      </c>
      <c r="G63" s="1093">
        <f>E63*F63</f>
        <v>0</v>
      </c>
    </row>
    <row r="64" spans="2:7">
      <c r="B64" s="188">
        <v>4</v>
      </c>
      <c r="C64" s="159" t="s">
        <v>1844</v>
      </c>
      <c r="D64" s="140"/>
      <c r="E64" s="719"/>
      <c r="F64" s="1092"/>
      <c r="G64" s="1093"/>
    </row>
    <row r="65" spans="2:8" ht="60">
      <c r="B65" s="188"/>
      <c r="C65" s="716" t="s">
        <v>1845</v>
      </c>
      <c r="D65" s="1419" t="s">
        <v>60</v>
      </c>
      <c r="E65" s="719">
        <v>2</v>
      </c>
      <c r="F65" s="1092">
        <v>0</v>
      </c>
      <c r="G65" s="1093">
        <f>E65*F65</f>
        <v>0</v>
      </c>
    </row>
    <row r="66" spans="2:8" ht="60">
      <c r="B66" s="188"/>
      <c r="C66" s="716" t="s">
        <v>1846</v>
      </c>
      <c r="D66" s="1419" t="s">
        <v>60</v>
      </c>
      <c r="E66" s="719">
        <v>2</v>
      </c>
      <c r="F66" s="1092">
        <v>0</v>
      </c>
      <c r="G66" s="1093">
        <f>E66*F66</f>
        <v>0</v>
      </c>
    </row>
    <row r="67" spans="2:8" ht="72">
      <c r="B67" s="188"/>
      <c r="C67" s="716" t="s">
        <v>1214</v>
      </c>
      <c r="D67" s="1419" t="s">
        <v>252</v>
      </c>
      <c r="E67" s="719">
        <v>1</v>
      </c>
      <c r="F67" s="1092">
        <v>0</v>
      </c>
      <c r="G67" s="1093">
        <f t="shared" ref="G67" si="2">E67*F67</f>
        <v>0</v>
      </c>
    </row>
    <row r="68" spans="2:8" ht="36">
      <c r="B68" s="188"/>
      <c r="C68" s="716" t="s">
        <v>1847</v>
      </c>
      <c r="D68" s="1419" t="s">
        <v>252</v>
      </c>
      <c r="E68" s="719">
        <v>1</v>
      </c>
      <c r="F68" s="1092">
        <v>0</v>
      </c>
      <c r="G68" s="1093">
        <f>E68*F68</f>
        <v>0</v>
      </c>
    </row>
    <row r="69" spans="2:8" ht="96">
      <c r="B69" s="188"/>
      <c r="C69" s="716" t="s">
        <v>1848</v>
      </c>
      <c r="D69" s="1419" t="s">
        <v>252</v>
      </c>
      <c r="E69" s="719">
        <v>1</v>
      </c>
      <c r="F69" s="1092">
        <v>0</v>
      </c>
      <c r="G69" s="1093">
        <f>E69*F69</f>
        <v>0</v>
      </c>
    </row>
    <row r="70" spans="2:8">
      <c r="B70" s="188">
        <v>5</v>
      </c>
      <c r="C70" s="159" t="s">
        <v>1849</v>
      </c>
      <c r="D70" s="140"/>
      <c r="E70" s="719"/>
      <c r="F70" s="1092"/>
      <c r="G70" s="1093"/>
    </row>
    <row r="71" spans="2:8">
      <c r="B71" s="188"/>
      <c r="C71" s="716" t="s">
        <v>1850</v>
      </c>
      <c r="D71" s="140" t="s">
        <v>397</v>
      </c>
      <c r="E71" s="719">
        <v>15</v>
      </c>
      <c r="F71" s="1092">
        <v>0</v>
      </c>
      <c r="G71" s="1093">
        <f t="shared" ref="G71:G78" si="3">E71*F71</f>
        <v>0</v>
      </c>
    </row>
    <row r="72" spans="2:8">
      <c r="B72" s="188"/>
      <c r="C72" s="716" t="s">
        <v>1851</v>
      </c>
      <c r="D72" s="140" t="s">
        <v>397</v>
      </c>
      <c r="E72" s="719">
        <v>50</v>
      </c>
      <c r="F72" s="1092">
        <v>0</v>
      </c>
      <c r="G72" s="1093">
        <f t="shared" si="3"/>
        <v>0</v>
      </c>
    </row>
    <row r="73" spans="2:8">
      <c r="B73" s="188"/>
      <c r="C73" s="716" t="s">
        <v>1852</v>
      </c>
      <c r="D73" s="140" t="s">
        <v>397</v>
      </c>
      <c r="E73" s="719">
        <v>25</v>
      </c>
      <c r="F73" s="1092">
        <v>0</v>
      </c>
      <c r="G73" s="1093">
        <f t="shared" si="3"/>
        <v>0</v>
      </c>
    </row>
    <row r="74" spans="2:8">
      <c r="B74" s="188"/>
      <c r="C74" s="716" t="s">
        <v>1315</v>
      </c>
      <c r="D74" s="140" t="s">
        <v>397</v>
      </c>
      <c r="E74" s="719">
        <v>15</v>
      </c>
      <c r="F74" s="1092">
        <v>0</v>
      </c>
      <c r="G74" s="1093">
        <f t="shared" si="3"/>
        <v>0</v>
      </c>
    </row>
    <row r="75" spans="2:8">
      <c r="B75" s="188"/>
      <c r="C75" s="716" t="s">
        <v>1853</v>
      </c>
      <c r="D75" s="140" t="s">
        <v>252</v>
      </c>
      <c r="E75" s="719">
        <v>2</v>
      </c>
      <c r="F75" s="1092">
        <v>0</v>
      </c>
      <c r="G75" s="1093">
        <f t="shared" si="3"/>
        <v>0</v>
      </c>
    </row>
    <row r="76" spans="2:8">
      <c r="B76" s="188"/>
      <c r="C76" s="716" t="s">
        <v>1854</v>
      </c>
      <c r="D76" s="140" t="s">
        <v>397</v>
      </c>
      <c r="E76" s="719">
        <v>20</v>
      </c>
      <c r="F76" s="1092">
        <v>0</v>
      </c>
      <c r="G76" s="1093">
        <f t="shared" si="3"/>
        <v>0</v>
      </c>
    </row>
    <row r="77" spans="2:8">
      <c r="B77" s="188"/>
      <c r="C77" s="716" t="s">
        <v>1855</v>
      </c>
      <c r="D77" s="140" t="s">
        <v>397</v>
      </c>
      <c r="E77" s="719">
        <v>15</v>
      </c>
      <c r="F77" s="1092">
        <v>0</v>
      </c>
      <c r="G77" s="1093">
        <f t="shared" si="3"/>
        <v>0</v>
      </c>
    </row>
    <row r="78" spans="2:8">
      <c r="B78" s="188"/>
      <c r="C78" s="716" t="s">
        <v>1293</v>
      </c>
      <c r="D78" s="140" t="s">
        <v>60</v>
      </c>
      <c r="E78" s="719">
        <v>1</v>
      </c>
      <c r="F78" s="1092">
        <v>0</v>
      </c>
      <c r="G78" s="1093">
        <f t="shared" si="3"/>
        <v>0</v>
      </c>
    </row>
    <row r="79" spans="2:8" s="1425" customFormat="1">
      <c r="B79" s="188">
        <v>6</v>
      </c>
      <c r="C79" s="159" t="s">
        <v>1856</v>
      </c>
      <c r="D79" s="1420"/>
      <c r="E79" s="1421"/>
      <c r="F79" s="1422"/>
      <c r="G79" s="1423"/>
      <c r="H79" s="1424"/>
    </row>
    <row r="80" spans="2:8" s="1425" customFormat="1" ht="24">
      <c r="B80" s="188"/>
      <c r="C80" s="716" t="s">
        <v>1345</v>
      </c>
      <c r="D80" s="140" t="s">
        <v>397</v>
      </c>
      <c r="E80" s="719">
        <v>8</v>
      </c>
      <c r="F80" s="1092">
        <v>0</v>
      </c>
      <c r="G80" s="1093">
        <f t="shared" ref="G80:G86" si="4">E80*F80</f>
        <v>0</v>
      </c>
      <c r="H80" s="1424"/>
    </row>
    <row r="81" spans="2:8" s="1425" customFormat="1">
      <c r="B81" s="188"/>
      <c r="C81" s="716" t="s">
        <v>1347</v>
      </c>
      <c r="D81" s="140" t="s">
        <v>397</v>
      </c>
      <c r="E81" s="719">
        <v>50</v>
      </c>
      <c r="F81" s="1092">
        <v>0</v>
      </c>
      <c r="G81" s="1093">
        <f t="shared" si="4"/>
        <v>0</v>
      </c>
      <c r="H81" s="1424"/>
    </row>
    <row r="82" spans="2:8" s="1425" customFormat="1">
      <c r="B82" s="188"/>
      <c r="C82" s="716" t="s">
        <v>1348</v>
      </c>
      <c r="D82" s="140" t="s">
        <v>397</v>
      </c>
      <c r="E82" s="719">
        <v>20</v>
      </c>
      <c r="F82" s="1092">
        <v>0</v>
      </c>
      <c r="G82" s="1093">
        <f t="shared" si="4"/>
        <v>0</v>
      </c>
      <c r="H82" s="1424"/>
    </row>
    <row r="83" spans="2:8" s="1425" customFormat="1">
      <c r="B83" s="188"/>
      <c r="C83" s="716" t="s">
        <v>1353</v>
      </c>
      <c r="D83" s="140" t="s">
        <v>252</v>
      </c>
      <c r="E83" s="719">
        <v>1</v>
      </c>
      <c r="F83" s="1092">
        <v>0</v>
      </c>
      <c r="G83" s="1093">
        <f t="shared" si="4"/>
        <v>0</v>
      </c>
      <c r="H83" s="1424"/>
    </row>
    <row r="84" spans="2:8" s="1425" customFormat="1">
      <c r="B84" s="188"/>
      <c r="C84" s="716" t="s">
        <v>1857</v>
      </c>
      <c r="D84" s="140" t="s">
        <v>252</v>
      </c>
      <c r="E84" s="719">
        <v>3</v>
      </c>
      <c r="F84" s="1092">
        <v>0</v>
      </c>
      <c r="G84" s="1093">
        <f t="shared" si="4"/>
        <v>0</v>
      </c>
      <c r="H84" s="1424"/>
    </row>
    <row r="85" spans="2:8" s="1425" customFormat="1">
      <c r="B85" s="188"/>
      <c r="C85" s="716" t="s">
        <v>1858</v>
      </c>
      <c r="D85" s="140" t="s">
        <v>252</v>
      </c>
      <c r="E85" s="719">
        <v>2</v>
      </c>
      <c r="F85" s="1092">
        <v>0</v>
      </c>
      <c r="G85" s="1093">
        <f t="shared" si="4"/>
        <v>0</v>
      </c>
      <c r="H85" s="1424"/>
    </row>
    <row r="86" spans="2:8" s="1425" customFormat="1" ht="24">
      <c r="B86" s="188"/>
      <c r="C86" s="716" t="s">
        <v>1859</v>
      </c>
      <c r="D86" s="140" t="s">
        <v>252</v>
      </c>
      <c r="E86" s="719">
        <v>1</v>
      </c>
      <c r="F86" s="1092">
        <v>0</v>
      </c>
      <c r="G86" s="1093">
        <f t="shared" si="4"/>
        <v>0</v>
      </c>
      <c r="H86" s="1424"/>
    </row>
    <row r="87" spans="2:8">
      <c r="B87" s="188">
        <v>7</v>
      </c>
      <c r="C87" s="159" t="s">
        <v>1860</v>
      </c>
      <c r="D87" s="140"/>
      <c r="E87" s="719"/>
      <c r="F87" s="1092"/>
      <c r="G87" s="1093"/>
    </row>
    <row r="88" spans="2:8">
      <c r="B88" s="188"/>
      <c r="C88" s="126" t="s">
        <v>1325</v>
      </c>
      <c r="D88" s="140" t="s">
        <v>397</v>
      </c>
      <c r="E88" s="719">
        <v>10</v>
      </c>
      <c r="F88" s="1092">
        <v>0</v>
      </c>
      <c r="G88" s="1093">
        <f t="shared" ref="G88:G91" si="5">E88*F88</f>
        <v>0</v>
      </c>
    </row>
    <row r="89" spans="2:8" ht="36">
      <c r="B89" s="188"/>
      <c r="C89" s="126" t="s">
        <v>1326</v>
      </c>
      <c r="D89" s="140" t="s">
        <v>60</v>
      </c>
      <c r="E89" s="719">
        <v>1</v>
      </c>
      <c r="F89" s="1092">
        <v>0</v>
      </c>
      <c r="G89" s="1093">
        <f t="shared" si="5"/>
        <v>0</v>
      </c>
    </row>
    <row r="90" spans="2:8" ht="24">
      <c r="B90" s="188"/>
      <c r="C90" s="126" t="s">
        <v>1327</v>
      </c>
      <c r="D90" s="140" t="s">
        <v>60</v>
      </c>
      <c r="E90" s="719">
        <v>1</v>
      </c>
      <c r="F90" s="1092">
        <v>0</v>
      </c>
      <c r="G90" s="1093">
        <f t="shared" si="5"/>
        <v>0</v>
      </c>
    </row>
    <row r="91" spans="2:8">
      <c r="B91" s="188"/>
      <c r="C91" s="126" t="s">
        <v>1333</v>
      </c>
      <c r="D91" s="140" t="s">
        <v>60</v>
      </c>
      <c r="E91" s="719">
        <v>1</v>
      </c>
      <c r="F91" s="1092">
        <v>0</v>
      </c>
      <c r="G91" s="1093">
        <f t="shared" si="5"/>
        <v>0</v>
      </c>
    </row>
    <row r="92" spans="2:8">
      <c r="B92" s="188">
        <v>8</v>
      </c>
      <c r="C92" s="159" t="s">
        <v>1357</v>
      </c>
      <c r="D92" s="140"/>
      <c r="E92" s="719"/>
      <c r="F92" s="1092"/>
      <c r="G92" s="1093"/>
    </row>
    <row r="93" spans="2:8" ht="48">
      <c r="B93" s="188"/>
      <c r="C93" s="716" t="s">
        <v>1861</v>
      </c>
      <c r="D93" s="1419" t="s">
        <v>60</v>
      </c>
      <c r="E93" s="719">
        <v>1</v>
      </c>
      <c r="F93" s="1092">
        <v>0</v>
      </c>
      <c r="G93" s="1093">
        <f t="shared" ref="G93:G96" si="6">E93*F93</f>
        <v>0</v>
      </c>
    </row>
    <row r="94" spans="2:8" ht="36">
      <c r="B94" s="188"/>
      <c r="C94" s="716" t="s">
        <v>1862</v>
      </c>
      <c r="D94" s="1419" t="s">
        <v>60</v>
      </c>
      <c r="E94" s="719">
        <v>1</v>
      </c>
      <c r="F94" s="1092">
        <v>0</v>
      </c>
      <c r="G94" s="1093">
        <f t="shared" si="6"/>
        <v>0</v>
      </c>
    </row>
    <row r="95" spans="2:8" ht="36">
      <c r="B95" s="188"/>
      <c r="C95" s="716" t="s">
        <v>1863</v>
      </c>
      <c r="D95" s="1419" t="s">
        <v>60</v>
      </c>
      <c r="E95" s="719">
        <v>1</v>
      </c>
      <c r="F95" s="1092">
        <v>0</v>
      </c>
      <c r="G95" s="1093">
        <f t="shared" si="6"/>
        <v>0</v>
      </c>
    </row>
    <row r="96" spans="2:8" ht="36">
      <c r="B96" s="188"/>
      <c r="C96" s="716" t="s">
        <v>1864</v>
      </c>
      <c r="D96" s="1419" t="s">
        <v>60</v>
      </c>
      <c r="E96" s="719">
        <v>1</v>
      </c>
      <c r="F96" s="1092">
        <v>0</v>
      </c>
      <c r="G96" s="1093">
        <f t="shared" si="6"/>
        <v>0</v>
      </c>
    </row>
    <row r="97" spans="2:8" s="179" customFormat="1" ht="23.25" customHeight="1">
      <c r="B97" s="713" t="s">
        <v>914</v>
      </c>
      <c r="C97" s="153" t="s">
        <v>1865</v>
      </c>
      <c r="D97" s="153"/>
      <c r="E97" s="154"/>
      <c r="F97" s="155"/>
      <c r="G97" s="263">
        <f>SUM(G30:G96)</f>
        <v>0</v>
      </c>
      <c r="H97"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D048-1F57-4B4B-A93B-2D9262DD3D1E}">
  <sheetPr>
    <tabColor rgb="FFFFC000"/>
    <pageSetUpPr fitToPage="1"/>
  </sheetPr>
  <dimension ref="A2:L227"/>
  <sheetViews>
    <sheetView showZeros="0" topLeftCell="A25" zoomScale="110" zoomScaleNormal="110" workbookViewId="0">
      <selection activeCell="C32" sqref="C32"/>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1426" customWidth="1"/>
    <col min="6" max="6" width="12.140625" style="1427" customWidth="1"/>
    <col min="7" max="7" width="14.28515625" style="1418"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c r="B2" s="2"/>
      <c r="C2" s="3" t="s">
        <v>0</v>
      </c>
      <c r="D2" s="4"/>
      <c r="E2" s="5"/>
      <c r="F2" s="6"/>
      <c r="G2" s="672" t="s">
        <v>1</v>
      </c>
    </row>
    <row r="4" spans="1:12" s="14" customFormat="1" ht="15">
      <c r="B4" s="1523" t="s">
        <v>35</v>
      </c>
      <c r="C4" s="1522" t="s">
        <v>2000</v>
      </c>
      <c r="D4" s="1521"/>
      <c r="E4" s="1520"/>
      <c r="F4" s="1519"/>
      <c r="G4" s="1518"/>
      <c r="H4" s="1392"/>
    </row>
    <row r="5" spans="1:12" s="14" customFormat="1" ht="12" customHeight="1">
      <c r="B5" s="1515"/>
      <c r="C5" s="1514"/>
      <c r="D5" s="1513"/>
      <c r="E5" s="1512"/>
      <c r="F5" s="1511"/>
      <c r="G5" s="1517"/>
      <c r="H5" s="1392"/>
    </row>
    <row r="6" spans="1:12" s="20" customFormat="1" ht="21" customHeight="1">
      <c r="B6" s="1516" t="s">
        <v>37</v>
      </c>
      <c r="C6" s="2402" t="s">
        <v>1999</v>
      </c>
      <c r="D6" s="2402"/>
      <c r="E6" s="2402"/>
      <c r="F6" s="2402"/>
      <c r="G6" s="2403"/>
      <c r="H6" s="1394"/>
      <c r="I6" s="28"/>
      <c r="J6" s="28"/>
      <c r="K6" s="28"/>
      <c r="L6" s="28"/>
    </row>
    <row r="7" spans="1:12" s="20" customFormat="1" ht="14.25">
      <c r="B7" s="1515"/>
      <c r="C7" s="1514"/>
      <c r="D7" s="1513"/>
      <c r="E7" s="1512"/>
      <c r="F7" s="1511"/>
      <c r="G7" s="1510"/>
      <c r="H7" s="1394"/>
      <c r="I7" s="28"/>
      <c r="J7" s="28"/>
      <c r="K7" s="28"/>
      <c r="L7" s="28"/>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20" customFormat="1" ht="14.25">
      <c r="B12" s="21"/>
      <c r="C12" s="22"/>
      <c r="D12" s="23"/>
      <c r="E12" s="24"/>
      <c r="F12" s="25"/>
      <c r="G12" s="26"/>
      <c r="H12" s="1394"/>
      <c r="I12" s="28"/>
      <c r="J12" s="28"/>
      <c r="K12" s="28"/>
      <c r="L12" s="28"/>
    </row>
    <row r="13" spans="1:12" s="20" customFormat="1" ht="18.75" customHeight="1">
      <c r="B13" s="1509"/>
      <c r="C13" s="1508" t="s">
        <v>40</v>
      </c>
      <c r="D13" s="1507"/>
      <c r="E13" s="1506"/>
      <c r="F13" s="1505"/>
      <c r="G13" s="1504"/>
      <c r="H13" s="1394"/>
      <c r="I13" s="28"/>
      <c r="J13" s="28"/>
      <c r="K13" s="28"/>
      <c r="L13" s="28"/>
    </row>
    <row r="14" spans="1:12" s="14" customFormat="1" ht="18.75" customHeight="1">
      <c r="B14" s="1503" t="s">
        <v>41</v>
      </c>
      <c r="C14" s="1502" t="s">
        <v>42</v>
      </c>
      <c r="D14" s="1501"/>
      <c r="E14" s="1500"/>
      <c r="F14" s="1499"/>
      <c r="G14" s="1498" t="s">
        <v>10</v>
      </c>
      <c r="H14" s="1402"/>
    </row>
    <row r="15" spans="1:12" s="1486" customFormat="1" ht="18.75" customHeight="1">
      <c r="B15" s="1496" t="s">
        <v>43</v>
      </c>
      <c r="C15" s="1495" t="s">
        <v>44</v>
      </c>
      <c r="D15" s="1494"/>
      <c r="E15" s="1493"/>
      <c r="F15" s="1497"/>
      <c r="G15" s="1408">
        <f>G38</f>
        <v>0</v>
      </c>
      <c r="H15" s="1409"/>
    </row>
    <row r="16" spans="1:12" s="1486" customFormat="1" ht="18.75" customHeight="1">
      <c r="B16" s="1496" t="s">
        <v>45</v>
      </c>
      <c r="C16" s="1495" t="s">
        <v>46</v>
      </c>
      <c r="D16" s="1494"/>
      <c r="E16" s="1493"/>
      <c r="F16" s="1497"/>
      <c r="G16" s="1408">
        <f>G58</f>
        <v>0</v>
      </c>
      <c r="H16" s="1409"/>
    </row>
    <row r="17" spans="2:8" s="1486" customFormat="1" ht="18.75" customHeight="1">
      <c r="B17" s="1496" t="s">
        <v>47</v>
      </c>
      <c r="C17" s="1495" t="s">
        <v>48</v>
      </c>
      <c r="D17" s="1494"/>
      <c r="E17" s="1493"/>
      <c r="F17" s="1497"/>
      <c r="G17" s="1408">
        <f>G122</f>
        <v>0</v>
      </c>
      <c r="H17" s="1409"/>
    </row>
    <row r="18" spans="2:8" s="1486" customFormat="1" ht="18.75" customHeight="1">
      <c r="B18" s="1496" t="s">
        <v>914</v>
      </c>
      <c r="C18" s="1495" t="s">
        <v>916</v>
      </c>
      <c r="D18" s="1494"/>
      <c r="E18" s="1493"/>
      <c r="F18" s="1492"/>
      <c r="G18" s="1408">
        <f>G227</f>
        <v>0</v>
      </c>
      <c r="H18" s="1409"/>
    </row>
    <row r="19" spans="2:8" s="1486" customFormat="1" ht="18.75" customHeight="1">
      <c r="B19" s="1491"/>
      <c r="C19" s="1490" t="s">
        <v>49</v>
      </c>
      <c r="D19" s="1489"/>
      <c r="E19" s="1488"/>
      <c r="F19" s="1487"/>
      <c r="G19" s="1415">
        <f>SUM(G15:G18)</f>
        <v>0</v>
      </c>
      <c r="H19" s="1409"/>
    </row>
    <row r="20" spans="2:8">
      <c r="B20" s="61"/>
      <c r="C20" s="62"/>
      <c r="D20" s="63"/>
      <c r="E20" s="1416"/>
      <c r="F20" s="1417"/>
    </row>
    <row r="22" spans="2:8" ht="24">
      <c r="B22" s="119" t="s">
        <v>41</v>
      </c>
      <c r="C22" s="120" t="s">
        <v>51</v>
      </c>
      <c r="D22" s="121" t="s">
        <v>52</v>
      </c>
      <c r="E22" s="122" t="s">
        <v>53</v>
      </c>
      <c r="F22" s="123" t="s">
        <v>54</v>
      </c>
      <c r="G22" s="124" t="s">
        <v>55</v>
      </c>
    </row>
    <row r="23" spans="2:8">
      <c r="B23" s="125"/>
      <c r="C23" s="126"/>
      <c r="D23" s="127"/>
      <c r="E23" s="719"/>
      <c r="F23" s="1107"/>
      <c r="G23" s="731"/>
    </row>
    <row r="24" spans="2:8" s="138" customFormat="1" ht="20.25">
      <c r="B24" s="131" t="s">
        <v>43</v>
      </c>
      <c r="C24" s="132" t="s">
        <v>44</v>
      </c>
      <c r="D24" s="133"/>
      <c r="E24" s="134"/>
      <c r="F24" s="135"/>
      <c r="G24" s="136"/>
      <c r="H24" s="946"/>
    </row>
    <row r="25" spans="2:8" ht="27.75" customHeight="1">
      <c r="B25" s="125">
        <v>1</v>
      </c>
      <c r="C25" s="139" t="s">
        <v>56</v>
      </c>
      <c r="D25" s="140" t="s">
        <v>57</v>
      </c>
      <c r="E25" s="1485">
        <v>6</v>
      </c>
      <c r="F25" s="1482">
        <v>0</v>
      </c>
      <c r="G25" s="1093">
        <f t="shared" ref="G25:G37" si="0">E25*F25</f>
        <v>0</v>
      </c>
    </row>
    <row r="26" spans="2:8">
      <c r="B26" s="125">
        <v>2</v>
      </c>
      <c r="C26" s="139" t="s">
        <v>58</v>
      </c>
      <c r="D26" s="140" t="s">
        <v>57</v>
      </c>
      <c r="E26" s="1485">
        <v>12</v>
      </c>
      <c r="F26" s="1482">
        <v>0</v>
      </c>
      <c r="G26" s="1093">
        <f t="shared" si="0"/>
        <v>0</v>
      </c>
    </row>
    <row r="27" spans="2:8" ht="53.25" customHeight="1">
      <c r="B27" s="125">
        <v>3</v>
      </c>
      <c r="C27" s="139" t="s">
        <v>245</v>
      </c>
      <c r="D27" s="140" t="s">
        <v>60</v>
      </c>
      <c r="E27" s="719">
        <v>1</v>
      </c>
      <c r="F27" s="1482">
        <v>0</v>
      </c>
      <c r="G27" s="1093">
        <f t="shared" si="0"/>
        <v>0</v>
      </c>
    </row>
    <row r="28" spans="2:8" ht="127.5" customHeight="1">
      <c r="B28" s="125">
        <v>4</v>
      </c>
      <c r="C28" s="144" t="s">
        <v>61</v>
      </c>
      <c r="D28" s="145" t="s">
        <v>60</v>
      </c>
      <c r="E28" s="719">
        <v>1</v>
      </c>
      <c r="F28" s="1482">
        <v>0</v>
      </c>
      <c r="G28" s="1093">
        <f t="shared" si="0"/>
        <v>0</v>
      </c>
    </row>
    <row r="29" spans="2:8" ht="30.75" customHeight="1">
      <c r="B29" s="125">
        <v>5</v>
      </c>
      <c r="C29" s="144" t="s">
        <v>62</v>
      </c>
      <c r="D29" s="146" t="s">
        <v>60</v>
      </c>
      <c r="E29" s="719">
        <v>1</v>
      </c>
      <c r="F29" s="1482">
        <v>0</v>
      </c>
      <c r="G29" s="1093">
        <f t="shared" si="0"/>
        <v>0</v>
      </c>
    </row>
    <row r="30" spans="2:8" ht="27" customHeight="1">
      <c r="B30" s="125">
        <v>6</v>
      </c>
      <c r="C30" s="1080" t="s">
        <v>63</v>
      </c>
      <c r="D30" s="146" t="s">
        <v>60</v>
      </c>
      <c r="E30" s="719">
        <v>1</v>
      </c>
      <c r="F30" s="1482">
        <v>0</v>
      </c>
      <c r="G30" s="1093">
        <f t="shared" si="0"/>
        <v>0</v>
      </c>
    </row>
    <row r="31" spans="2:8" ht="52.5" customHeight="1">
      <c r="B31" s="125">
        <v>7</v>
      </c>
      <c r="C31" s="1080" t="s">
        <v>64</v>
      </c>
      <c r="D31" s="146" t="s">
        <v>60</v>
      </c>
      <c r="E31" s="719">
        <v>1</v>
      </c>
      <c r="F31" s="1482">
        <v>0</v>
      </c>
      <c r="G31" s="1093">
        <f t="shared" si="0"/>
        <v>0</v>
      </c>
    </row>
    <row r="32" spans="2:8" ht="53.25" customHeight="1">
      <c r="B32" s="125">
        <v>8</v>
      </c>
      <c r="C32" s="1080" t="s">
        <v>2292</v>
      </c>
      <c r="D32" s="146" t="s">
        <v>66</v>
      </c>
      <c r="E32" s="1485">
        <v>1</v>
      </c>
      <c r="F32" s="1482">
        <v>0</v>
      </c>
      <c r="G32" s="1093">
        <f t="shared" si="0"/>
        <v>0</v>
      </c>
    </row>
    <row r="33" spans="2:12" ht="25.5" customHeight="1">
      <c r="B33" s="125">
        <v>9</v>
      </c>
      <c r="C33" s="1080" t="s">
        <v>2294</v>
      </c>
      <c r="D33" s="146" t="s">
        <v>66</v>
      </c>
      <c r="E33" s="719">
        <v>1</v>
      </c>
      <c r="F33" s="1482">
        <v>0</v>
      </c>
      <c r="G33" s="1093">
        <f t="shared" si="0"/>
        <v>0</v>
      </c>
    </row>
    <row r="34" spans="2:12" ht="29.25" customHeight="1">
      <c r="B34" s="125">
        <v>10</v>
      </c>
      <c r="C34" s="1080" t="s">
        <v>2293</v>
      </c>
      <c r="D34" s="146" t="s">
        <v>60</v>
      </c>
      <c r="E34" s="719">
        <v>1</v>
      </c>
      <c r="F34" s="1482">
        <v>0</v>
      </c>
      <c r="G34" s="1093">
        <f t="shared" si="0"/>
        <v>0</v>
      </c>
    </row>
    <row r="35" spans="2:12" ht="14.25" customHeight="1">
      <c r="B35" s="125">
        <v>11</v>
      </c>
      <c r="C35" s="1080" t="s">
        <v>67</v>
      </c>
      <c r="D35" s="146" t="s">
        <v>60</v>
      </c>
      <c r="E35" s="719">
        <v>1</v>
      </c>
      <c r="F35" s="1482">
        <v>0</v>
      </c>
      <c r="G35" s="1093">
        <f t="shared" si="0"/>
        <v>0</v>
      </c>
    </row>
    <row r="36" spans="2:12" ht="38.25" customHeight="1">
      <c r="B36" s="125">
        <v>12</v>
      </c>
      <c r="C36" s="148" t="s">
        <v>68</v>
      </c>
      <c r="D36" s="146" t="s">
        <v>60</v>
      </c>
      <c r="E36" s="1533">
        <v>1</v>
      </c>
      <c r="F36" s="1482">
        <v>0</v>
      </c>
      <c r="G36" s="1093">
        <f t="shared" si="0"/>
        <v>0</v>
      </c>
    </row>
    <row r="37" spans="2:12" ht="39.75" customHeight="1">
      <c r="B37" s="125">
        <v>13</v>
      </c>
      <c r="C37" s="150" t="s">
        <v>69</v>
      </c>
      <c r="D37" s="146" t="s">
        <v>60</v>
      </c>
      <c r="E37" s="1533">
        <v>1</v>
      </c>
      <c r="F37" s="1482">
        <v>0</v>
      </c>
      <c r="G37" s="1093">
        <f t="shared" si="0"/>
        <v>0</v>
      </c>
    </row>
    <row r="38" spans="2:12" s="179" customFormat="1" ht="23.25" customHeight="1">
      <c r="B38" s="713" t="s">
        <v>43</v>
      </c>
      <c r="C38" s="153" t="s">
        <v>70</v>
      </c>
      <c r="D38" s="153"/>
      <c r="E38" s="154"/>
      <c r="F38" s="155"/>
      <c r="G38" s="263">
        <f>SUM(G25:G37)</f>
        <v>0</v>
      </c>
      <c r="H38" s="802"/>
    </row>
    <row r="39" spans="2:12">
      <c r="B39" s="125"/>
      <c r="C39" s="126"/>
      <c r="D39" s="127"/>
      <c r="E39" s="719"/>
      <c r="F39" s="1107"/>
      <c r="G39" s="731"/>
    </row>
    <row r="40" spans="2:12" ht="24">
      <c r="B40" s="119" t="s">
        <v>41</v>
      </c>
      <c r="C40" s="120" t="s">
        <v>51</v>
      </c>
      <c r="D40" s="121" t="s">
        <v>52</v>
      </c>
      <c r="E40" s="122" t="s">
        <v>53</v>
      </c>
      <c r="F40" s="123" t="s">
        <v>54</v>
      </c>
      <c r="G40" s="124" t="s">
        <v>55</v>
      </c>
    </row>
    <row r="41" spans="2:12">
      <c r="B41" s="125"/>
      <c r="C41" s="163"/>
      <c r="D41" s="140"/>
      <c r="E41" s="719"/>
      <c r="F41" s="1107"/>
      <c r="G41" s="731"/>
    </row>
    <row r="42" spans="2:12" s="138" customFormat="1" ht="20.25">
      <c r="B42" s="131" t="s">
        <v>45</v>
      </c>
      <c r="C42" s="164" t="s">
        <v>71</v>
      </c>
      <c r="D42" s="165"/>
      <c r="E42" s="134"/>
      <c r="F42" s="135"/>
      <c r="G42" s="136"/>
      <c r="H42" s="946"/>
    </row>
    <row r="43" spans="2:12" s="166" customFormat="1" ht="71.25" customHeight="1">
      <c r="B43" s="2399" t="s">
        <v>72</v>
      </c>
      <c r="C43" s="2400"/>
      <c r="D43" s="2400"/>
      <c r="E43" s="2400"/>
      <c r="F43" s="2400"/>
      <c r="G43" s="2401"/>
      <c r="H43" s="938"/>
    </row>
    <row r="44" spans="2:12" ht="27.75" customHeight="1">
      <c r="B44" s="167">
        <v>1</v>
      </c>
      <c r="C44" s="139" t="s">
        <v>73</v>
      </c>
      <c r="D44" s="140" t="s">
        <v>74</v>
      </c>
      <c r="E44" s="1485">
        <v>3</v>
      </c>
      <c r="F44" s="1482">
        <v>0</v>
      </c>
      <c r="G44" s="1093">
        <f t="shared" ref="G44:G53" si="1">E44*F44</f>
        <v>0</v>
      </c>
      <c r="I44" s="266"/>
    </row>
    <row r="45" spans="2:12" ht="39" customHeight="1">
      <c r="B45" s="167">
        <v>2</v>
      </c>
      <c r="C45" s="139" t="s">
        <v>246</v>
      </c>
      <c r="D45" s="140" t="s">
        <v>57</v>
      </c>
      <c r="E45" s="1485">
        <v>14</v>
      </c>
      <c r="F45" s="1482">
        <v>0</v>
      </c>
      <c r="G45" s="1093">
        <f t="shared" si="1"/>
        <v>0</v>
      </c>
      <c r="I45" s="266"/>
    </row>
    <row r="46" spans="2:12" ht="36">
      <c r="B46" s="167">
        <v>3</v>
      </c>
      <c r="C46" s="139" t="s">
        <v>75</v>
      </c>
      <c r="D46" s="145" t="s">
        <v>74</v>
      </c>
      <c r="E46" s="1485">
        <v>3.6</v>
      </c>
      <c r="F46" s="1482">
        <v>0</v>
      </c>
      <c r="G46" s="1093">
        <f t="shared" si="1"/>
        <v>0</v>
      </c>
      <c r="I46" s="1209"/>
      <c r="K46" s="270"/>
      <c r="L46" s="270"/>
    </row>
    <row r="47" spans="2:12" ht="39.75" customHeight="1">
      <c r="B47" s="167">
        <v>4</v>
      </c>
      <c r="C47" s="139" t="s">
        <v>76</v>
      </c>
      <c r="D47" s="145" t="s">
        <v>74</v>
      </c>
      <c r="E47" s="1485">
        <v>29</v>
      </c>
      <c r="F47" s="1482">
        <v>0</v>
      </c>
      <c r="G47" s="1093">
        <f t="shared" si="1"/>
        <v>0</v>
      </c>
      <c r="I47" s="1209"/>
    </row>
    <row r="48" spans="2:12" ht="29.25" customHeight="1">
      <c r="B48" s="167">
        <v>5</v>
      </c>
      <c r="C48" s="139" t="s">
        <v>79</v>
      </c>
      <c r="D48" s="145" t="s">
        <v>78</v>
      </c>
      <c r="E48" s="1485">
        <v>18</v>
      </c>
      <c r="F48" s="1482">
        <v>0</v>
      </c>
      <c r="G48" s="1093">
        <f t="shared" si="1"/>
        <v>0</v>
      </c>
      <c r="I48" s="266"/>
    </row>
    <row r="49" spans="1:9" ht="27" customHeight="1">
      <c r="B49" s="167">
        <v>6</v>
      </c>
      <c r="C49" s="139" t="s">
        <v>80</v>
      </c>
      <c r="D49" s="145" t="s">
        <v>74</v>
      </c>
      <c r="E49" s="1485">
        <v>2</v>
      </c>
      <c r="F49" s="1482">
        <v>0</v>
      </c>
      <c r="G49" s="1093">
        <f t="shared" si="1"/>
        <v>0</v>
      </c>
      <c r="I49" s="1209"/>
    </row>
    <row r="50" spans="1:9" ht="24">
      <c r="B50" s="167">
        <v>7</v>
      </c>
      <c r="C50" s="139" t="s">
        <v>247</v>
      </c>
      <c r="D50" s="145" t="s">
        <v>74</v>
      </c>
      <c r="E50" s="1485">
        <v>29</v>
      </c>
      <c r="F50" s="1482">
        <v>0</v>
      </c>
      <c r="G50" s="1093">
        <f t="shared" si="1"/>
        <v>0</v>
      </c>
      <c r="I50" s="270"/>
    </row>
    <row r="51" spans="1:9" ht="39" customHeight="1">
      <c r="B51" s="167">
        <v>8</v>
      </c>
      <c r="C51" s="144" t="s">
        <v>248</v>
      </c>
      <c r="D51" s="145" t="s">
        <v>74</v>
      </c>
      <c r="E51" s="1485">
        <v>12</v>
      </c>
      <c r="F51" s="1482">
        <v>0</v>
      </c>
      <c r="G51" s="1093">
        <f t="shared" si="1"/>
        <v>0</v>
      </c>
    </row>
    <row r="52" spans="1:9" ht="14.25" customHeight="1">
      <c r="B52" s="167">
        <v>9</v>
      </c>
      <c r="C52" s="139" t="s">
        <v>264</v>
      </c>
      <c r="D52" s="145" t="s">
        <v>74</v>
      </c>
      <c r="E52" s="1485">
        <v>6</v>
      </c>
      <c r="F52" s="1482">
        <v>0</v>
      </c>
      <c r="G52" s="1093">
        <f t="shared" si="1"/>
        <v>0</v>
      </c>
    </row>
    <row r="53" spans="1:9" ht="13.5" customHeight="1">
      <c r="B53" s="167">
        <v>10</v>
      </c>
      <c r="C53" s="139" t="s">
        <v>265</v>
      </c>
      <c r="D53" s="145" t="s">
        <v>74</v>
      </c>
      <c r="E53" s="1485">
        <v>4</v>
      </c>
      <c r="F53" s="1482">
        <v>0</v>
      </c>
      <c r="G53" s="1093">
        <f t="shared" si="1"/>
        <v>0</v>
      </c>
    </row>
    <row r="54" spans="1:9" ht="186" customHeight="1">
      <c r="B54" s="167">
        <v>11</v>
      </c>
      <c r="C54" s="402" t="s">
        <v>2281</v>
      </c>
      <c r="D54" s="182" t="s">
        <v>66</v>
      </c>
      <c r="E54" s="1484">
        <v>1</v>
      </c>
      <c r="F54" s="1482">
        <v>0</v>
      </c>
      <c r="G54" s="1093">
        <f t="shared" ref="G54:G57" si="2">E54*F54</f>
        <v>0</v>
      </c>
    </row>
    <row r="55" spans="1:9" ht="36.75" customHeight="1">
      <c r="B55" s="167">
        <v>12</v>
      </c>
      <c r="C55" s="184" t="s">
        <v>270</v>
      </c>
      <c r="D55" s="182" t="s">
        <v>66</v>
      </c>
      <c r="E55" s="1484">
        <v>2</v>
      </c>
      <c r="F55" s="1482">
        <v>0</v>
      </c>
      <c r="G55" s="1093">
        <f t="shared" si="2"/>
        <v>0</v>
      </c>
    </row>
    <row r="56" spans="1:9" ht="30" customHeight="1">
      <c r="B56" s="167">
        <v>13</v>
      </c>
      <c r="C56" s="184" t="s">
        <v>99</v>
      </c>
      <c r="D56" s="182" t="s">
        <v>74</v>
      </c>
      <c r="E56" s="1483">
        <v>5.2</v>
      </c>
      <c r="F56" s="1482">
        <v>0</v>
      </c>
      <c r="G56" s="1093">
        <f t="shared" si="2"/>
        <v>0</v>
      </c>
    </row>
    <row r="57" spans="1:9" ht="28.5" customHeight="1">
      <c r="B57" s="167">
        <v>14</v>
      </c>
      <c r="C57" s="184" t="s">
        <v>100</v>
      </c>
      <c r="D57" s="182" t="s">
        <v>65</v>
      </c>
      <c r="E57" s="1483">
        <v>16</v>
      </c>
      <c r="F57" s="1482">
        <v>0</v>
      </c>
      <c r="G57" s="1093">
        <f t="shared" si="2"/>
        <v>0</v>
      </c>
    </row>
    <row r="58" spans="1:9" s="179" customFormat="1" ht="21.75" customHeight="1">
      <c r="B58" s="713" t="s">
        <v>45</v>
      </c>
      <c r="C58" s="153" t="s">
        <v>101</v>
      </c>
      <c r="D58" s="185"/>
      <c r="E58" s="154"/>
      <c r="F58" s="155"/>
      <c r="G58" s="263">
        <f>SUM(G44:G57)</f>
        <v>0</v>
      </c>
      <c r="H58" s="802"/>
    </row>
    <row r="59" spans="1:9">
      <c r="B59" s="125"/>
      <c r="C59" s="126"/>
      <c r="D59" s="127"/>
      <c r="E59" s="719"/>
      <c r="F59" s="1107"/>
      <c r="G59" s="731"/>
    </row>
    <row r="60" spans="1:9" ht="24">
      <c r="B60" s="119" t="s">
        <v>41</v>
      </c>
      <c r="C60" s="120" t="s">
        <v>51</v>
      </c>
      <c r="D60" s="120" t="s">
        <v>52</v>
      </c>
      <c r="E60" s="122" t="s">
        <v>53</v>
      </c>
      <c r="F60" s="123" t="s">
        <v>54</v>
      </c>
      <c r="G60" s="124" t="s">
        <v>55</v>
      </c>
    </row>
    <row r="61" spans="1:9">
      <c r="B61" s="125"/>
      <c r="C61" s="126"/>
      <c r="D61" s="140"/>
      <c r="E61" s="719"/>
      <c r="F61" s="1107"/>
      <c r="G61" s="731"/>
    </row>
    <row r="62" spans="1:9" s="138" customFormat="1" ht="20.25">
      <c r="B62" s="186" t="s">
        <v>47</v>
      </c>
      <c r="C62" s="187" t="s">
        <v>102</v>
      </c>
      <c r="D62" s="165"/>
      <c r="E62" s="134"/>
      <c r="F62" s="135"/>
      <c r="G62" s="136"/>
      <c r="H62" s="946"/>
    </row>
    <row r="63" spans="1:9" s="14" customFormat="1" ht="18" customHeight="1">
      <c r="A63" s="9"/>
      <c r="B63" s="10" t="s">
        <v>2</v>
      </c>
      <c r="C63" s="11"/>
      <c r="D63" s="12"/>
      <c r="E63" s="12"/>
      <c r="F63" s="12"/>
      <c r="G63" s="13"/>
    </row>
    <row r="64" spans="1:9" s="14" customFormat="1" ht="18" customHeight="1">
      <c r="A64" s="15"/>
      <c r="B64" s="16" t="s">
        <v>3</v>
      </c>
      <c r="C64" s="17"/>
      <c r="D64" s="18"/>
      <c r="E64" s="19"/>
      <c r="F64" s="19"/>
      <c r="G64" s="18"/>
    </row>
    <row r="65" spans="1:8" s="14" customFormat="1" ht="18" customHeight="1">
      <c r="A65" s="9"/>
      <c r="B65" s="10" t="s">
        <v>4</v>
      </c>
      <c r="C65" s="11"/>
      <c r="D65" s="12"/>
      <c r="E65" s="12"/>
      <c r="F65" s="12"/>
      <c r="G65" s="13"/>
    </row>
    <row r="66" spans="1:8" s="14" customFormat="1" ht="18" customHeight="1">
      <c r="A66" s="15"/>
      <c r="B66" s="16" t="s">
        <v>5</v>
      </c>
      <c r="C66" s="17"/>
      <c r="D66" s="19"/>
      <c r="E66" s="19"/>
      <c r="F66" s="19"/>
      <c r="G66" s="18"/>
    </row>
    <row r="67" spans="1:8" s="166" customFormat="1" ht="18.75" customHeight="1">
      <c r="B67" s="2399" t="s">
        <v>271</v>
      </c>
      <c r="C67" s="2400"/>
      <c r="D67" s="2400"/>
      <c r="E67" s="2400"/>
      <c r="F67" s="2400"/>
      <c r="G67" s="2401"/>
      <c r="H67" s="938"/>
    </row>
    <row r="68" spans="1:8" s="166" customFormat="1" ht="18.75" customHeight="1">
      <c r="B68" s="2399" t="s">
        <v>104</v>
      </c>
      <c r="C68" s="2400"/>
      <c r="D68" s="2400"/>
      <c r="E68" s="2400"/>
      <c r="F68" s="2400"/>
      <c r="G68" s="2401"/>
      <c r="H68" s="938"/>
    </row>
    <row r="69" spans="1:8" s="166" customFormat="1" ht="18.75" customHeight="1">
      <c r="B69" s="2399" t="s">
        <v>105</v>
      </c>
      <c r="C69" s="2400"/>
      <c r="D69" s="2400"/>
      <c r="E69" s="2400"/>
      <c r="F69" s="2400"/>
      <c r="G69" s="2401"/>
      <c r="H69" s="938"/>
    </row>
    <row r="70" spans="1:8" ht="30" customHeight="1">
      <c r="B70" s="188">
        <v>1</v>
      </c>
      <c r="C70" s="950" t="s">
        <v>106</v>
      </c>
      <c r="D70" s="190"/>
      <c r="E70" s="719"/>
      <c r="F70" s="1107"/>
      <c r="G70" s="731"/>
    </row>
    <row r="71" spans="1:8" s="179" customFormat="1" ht="18.75" customHeight="1">
      <c r="B71" s="191"/>
      <c r="C71" s="1532" t="s">
        <v>179</v>
      </c>
      <c r="D71" s="190" t="s">
        <v>57</v>
      </c>
      <c r="E71" s="719">
        <v>6</v>
      </c>
      <c r="F71" s="1092">
        <v>0</v>
      </c>
      <c r="G71" s="1093">
        <f>E71*F71</f>
        <v>0</v>
      </c>
      <c r="H71" s="802"/>
    </row>
    <row r="72" spans="1:8" ht="40.5" customHeight="1">
      <c r="B72" s="196">
        <v>2</v>
      </c>
      <c r="C72" s="197" t="s">
        <v>114</v>
      </c>
      <c r="D72" s="145" t="s">
        <v>57</v>
      </c>
      <c r="E72" s="732">
        <f>E71</f>
        <v>6</v>
      </c>
      <c r="F72" s="1092">
        <v>0</v>
      </c>
      <c r="G72" s="1093">
        <f>E72*F72</f>
        <v>0</v>
      </c>
    </row>
    <row r="73" spans="1:8" ht="41.25" customHeight="1">
      <c r="B73" s="199" t="s">
        <v>115</v>
      </c>
      <c r="C73" s="197" t="s">
        <v>116</v>
      </c>
      <c r="D73" s="145" t="s">
        <v>60</v>
      </c>
      <c r="E73" s="732">
        <v>1</v>
      </c>
      <c r="F73" s="1092">
        <v>0</v>
      </c>
      <c r="G73" s="1093">
        <f>E73*F73</f>
        <v>0</v>
      </c>
    </row>
    <row r="74" spans="1:8" ht="27" customHeight="1">
      <c r="B74" s="199" t="s">
        <v>117</v>
      </c>
      <c r="C74" s="197" t="s">
        <v>118</v>
      </c>
      <c r="D74" s="145" t="s">
        <v>60</v>
      </c>
      <c r="E74" s="732">
        <v>1</v>
      </c>
      <c r="F74" s="1092">
        <v>0</v>
      </c>
      <c r="G74" s="1093">
        <f>E74*F74</f>
        <v>0</v>
      </c>
    </row>
    <row r="75" spans="1:8" ht="39" customHeight="1">
      <c r="B75" s="199" t="s">
        <v>119</v>
      </c>
      <c r="C75" s="197" t="s">
        <v>120</v>
      </c>
      <c r="D75" s="145" t="s">
        <v>60</v>
      </c>
      <c r="E75" s="732">
        <v>1</v>
      </c>
      <c r="F75" s="1092">
        <v>0</v>
      </c>
      <c r="G75" s="1093">
        <f>E75*F75</f>
        <v>0</v>
      </c>
    </row>
    <row r="76" spans="1:8" ht="27.75" customHeight="1">
      <c r="B76" s="188">
        <v>3</v>
      </c>
      <c r="C76" s="200" t="s">
        <v>121</v>
      </c>
      <c r="D76" s="127"/>
      <c r="E76" s="719"/>
      <c r="F76" s="1107">
        <v>0</v>
      </c>
      <c r="G76" s="731"/>
    </row>
    <row r="77" spans="1:8" s="217" customFormat="1">
      <c r="B77" s="201" t="s">
        <v>344</v>
      </c>
      <c r="C77" s="223" t="s">
        <v>345</v>
      </c>
      <c r="D77" s="224"/>
      <c r="E77" s="225"/>
      <c r="F77" s="226"/>
      <c r="G77" s="227"/>
      <c r="H77" s="938"/>
    </row>
    <row r="78" spans="1:8" s="217" customFormat="1">
      <c r="B78" s="218"/>
      <c r="C78" s="223" t="s">
        <v>1678</v>
      </c>
      <c r="D78" s="224"/>
      <c r="E78" s="225"/>
      <c r="F78" s="226">
        <v>0</v>
      </c>
      <c r="G78" s="227"/>
      <c r="H78" s="938"/>
    </row>
    <row r="79" spans="1:8" s="217" customFormat="1" ht="12" customHeight="1">
      <c r="B79" s="218"/>
      <c r="C79" s="228" t="s">
        <v>1998</v>
      </c>
      <c r="D79" s="224" t="s">
        <v>66</v>
      </c>
      <c r="E79" s="225">
        <v>1</v>
      </c>
      <c r="F79" s="229">
        <v>0</v>
      </c>
      <c r="G79" s="230">
        <f t="shared" ref="G79:G91" si="3">E79*F79</f>
        <v>0</v>
      </c>
      <c r="H79" s="938"/>
    </row>
    <row r="80" spans="1:8" s="217" customFormat="1" ht="12" customHeight="1">
      <c r="B80" s="218"/>
      <c r="C80" s="228" t="s">
        <v>1997</v>
      </c>
      <c r="D80" s="224" t="s">
        <v>66</v>
      </c>
      <c r="E80" s="225">
        <v>4</v>
      </c>
      <c r="F80" s="229">
        <v>0</v>
      </c>
      <c r="G80" s="230">
        <f t="shared" si="3"/>
        <v>0</v>
      </c>
      <c r="H80" s="938"/>
    </row>
    <row r="81" spans="2:8" s="217" customFormat="1" ht="12" customHeight="1">
      <c r="B81" s="218"/>
      <c r="C81" s="228" t="s">
        <v>1996</v>
      </c>
      <c r="D81" s="224" t="s">
        <v>66</v>
      </c>
      <c r="E81" s="225">
        <v>4</v>
      </c>
      <c r="F81" s="229">
        <v>0</v>
      </c>
      <c r="G81" s="230">
        <f t="shared" si="3"/>
        <v>0</v>
      </c>
      <c r="H81" s="938"/>
    </row>
    <row r="82" spans="2:8" s="217" customFormat="1" ht="12" customHeight="1">
      <c r="B82" s="218"/>
      <c r="C82" s="228" t="s">
        <v>1995</v>
      </c>
      <c r="D82" s="224" t="s">
        <v>66</v>
      </c>
      <c r="E82" s="225">
        <v>2</v>
      </c>
      <c r="F82" s="229">
        <v>0</v>
      </c>
      <c r="G82" s="230">
        <f t="shared" si="3"/>
        <v>0</v>
      </c>
      <c r="H82" s="938"/>
    </row>
    <row r="83" spans="2:8" s="217" customFormat="1" ht="12" customHeight="1">
      <c r="B83" s="218"/>
      <c r="C83" s="228" t="s">
        <v>1994</v>
      </c>
      <c r="D83" s="224" t="s">
        <v>66</v>
      </c>
      <c r="E83" s="225">
        <v>4</v>
      </c>
      <c r="F83" s="229">
        <v>0</v>
      </c>
      <c r="G83" s="230">
        <f t="shared" si="3"/>
        <v>0</v>
      </c>
      <c r="H83" s="938"/>
    </row>
    <row r="84" spans="2:8" s="217" customFormat="1" ht="12.75" customHeight="1">
      <c r="B84" s="218"/>
      <c r="C84" s="231" t="s">
        <v>1993</v>
      </c>
      <c r="D84" s="224" t="s">
        <v>66</v>
      </c>
      <c r="E84" s="225">
        <v>2</v>
      </c>
      <c r="F84" s="229">
        <v>0</v>
      </c>
      <c r="G84" s="230">
        <f t="shared" si="3"/>
        <v>0</v>
      </c>
      <c r="H84" s="938"/>
    </row>
    <row r="85" spans="2:8" s="217" customFormat="1">
      <c r="B85" s="218"/>
      <c r="C85" s="231" t="s">
        <v>1992</v>
      </c>
      <c r="D85" s="224" t="s">
        <v>66</v>
      </c>
      <c r="E85" s="225">
        <v>2</v>
      </c>
      <c r="F85" s="229">
        <v>0</v>
      </c>
      <c r="G85" s="230">
        <f t="shared" si="3"/>
        <v>0</v>
      </c>
      <c r="H85" s="938"/>
    </row>
    <row r="86" spans="2:8" s="217" customFormat="1">
      <c r="B86" s="218"/>
      <c r="C86" s="231" t="s">
        <v>1683</v>
      </c>
      <c r="D86" s="224" t="s">
        <v>66</v>
      </c>
      <c r="E86" s="225">
        <v>1</v>
      </c>
      <c r="F86" s="229">
        <v>0</v>
      </c>
      <c r="G86" s="230">
        <f t="shared" si="3"/>
        <v>0</v>
      </c>
      <c r="H86" s="938"/>
    </row>
    <row r="87" spans="2:8" s="217" customFormat="1" ht="74.25" customHeight="1">
      <c r="B87" s="218"/>
      <c r="C87" s="231" t="s">
        <v>1964</v>
      </c>
      <c r="D87" s="224" t="s">
        <v>66</v>
      </c>
      <c r="E87" s="225">
        <v>1</v>
      </c>
      <c r="F87" s="229">
        <v>0</v>
      </c>
      <c r="G87" s="230">
        <f t="shared" si="3"/>
        <v>0</v>
      </c>
      <c r="H87" s="938"/>
    </row>
    <row r="88" spans="2:8" s="217" customFormat="1" ht="12" customHeight="1">
      <c r="B88" s="218"/>
      <c r="C88" s="228" t="s">
        <v>1991</v>
      </c>
      <c r="D88" s="224" t="s">
        <v>66</v>
      </c>
      <c r="E88" s="225">
        <v>2</v>
      </c>
      <c r="F88" s="229">
        <v>0</v>
      </c>
      <c r="G88" s="230">
        <f t="shared" si="3"/>
        <v>0</v>
      </c>
      <c r="H88" s="938"/>
    </row>
    <row r="89" spans="2:8" s="217" customFormat="1">
      <c r="B89" s="218"/>
      <c r="C89" s="228" t="s">
        <v>2258</v>
      </c>
      <c r="D89" s="224" t="s">
        <v>66</v>
      </c>
      <c r="E89" s="225">
        <v>2</v>
      </c>
      <c r="F89" s="229">
        <v>0</v>
      </c>
      <c r="G89" s="230">
        <f t="shared" si="3"/>
        <v>0</v>
      </c>
      <c r="H89" s="938"/>
    </row>
    <row r="90" spans="2:8" s="217" customFormat="1">
      <c r="B90" s="218"/>
      <c r="C90" s="739" t="s">
        <v>150</v>
      </c>
      <c r="D90" s="224" t="s">
        <v>66</v>
      </c>
      <c r="E90" s="225">
        <v>2</v>
      </c>
      <c r="F90" s="229">
        <v>0</v>
      </c>
      <c r="G90" s="230">
        <f t="shared" si="3"/>
        <v>0</v>
      </c>
      <c r="H90" s="938"/>
    </row>
    <row r="91" spans="2:8" s="217" customFormat="1">
      <c r="B91" s="218"/>
      <c r="C91" s="740" t="s">
        <v>135</v>
      </c>
      <c r="D91" s="224" t="s">
        <v>66</v>
      </c>
      <c r="E91" s="225">
        <v>2</v>
      </c>
      <c r="F91" s="229">
        <v>0</v>
      </c>
      <c r="G91" s="230">
        <f t="shared" si="3"/>
        <v>0</v>
      </c>
      <c r="H91" s="938"/>
    </row>
    <row r="92" spans="2:8" s="217" customFormat="1">
      <c r="B92" s="201" t="s">
        <v>346</v>
      </c>
      <c r="C92" s="1531" t="s">
        <v>347</v>
      </c>
      <c r="D92" s="203"/>
      <c r="E92" s="1525"/>
      <c r="F92" s="1530"/>
      <c r="G92" s="206"/>
      <c r="H92" s="938"/>
    </row>
    <row r="93" spans="2:8" s="217" customFormat="1">
      <c r="B93" s="218"/>
      <c r="C93" s="1531" t="s">
        <v>1990</v>
      </c>
      <c r="D93" s="203"/>
      <c r="E93" s="1525"/>
      <c r="F93" s="1530">
        <v>0</v>
      </c>
      <c r="G93" s="206"/>
      <c r="H93" s="938"/>
    </row>
    <row r="94" spans="2:8" s="217" customFormat="1" ht="15" customHeight="1">
      <c r="B94" s="218"/>
      <c r="C94" s="1528" t="s">
        <v>1989</v>
      </c>
      <c r="D94" s="203" t="s">
        <v>66</v>
      </c>
      <c r="E94" s="1525">
        <v>1</v>
      </c>
      <c r="F94" s="1524">
        <v>0</v>
      </c>
      <c r="G94" s="211">
        <f t="shared" ref="G94:G99" si="4">E94*F94</f>
        <v>0</v>
      </c>
      <c r="H94" s="938"/>
    </row>
    <row r="95" spans="2:8" s="217" customFormat="1" ht="36">
      <c r="B95" s="218"/>
      <c r="C95" s="1529" t="s">
        <v>1988</v>
      </c>
      <c r="D95" s="203" t="s">
        <v>66</v>
      </c>
      <c r="E95" s="1525">
        <v>1</v>
      </c>
      <c r="F95" s="1524">
        <v>0</v>
      </c>
      <c r="G95" s="211">
        <f t="shared" si="4"/>
        <v>0</v>
      </c>
      <c r="H95" s="938"/>
    </row>
    <row r="96" spans="2:8" s="217" customFormat="1" ht="14.25" customHeight="1">
      <c r="B96" s="218"/>
      <c r="C96" s="1529" t="s">
        <v>1987</v>
      </c>
      <c r="D96" s="203" t="s">
        <v>66</v>
      </c>
      <c r="E96" s="1525">
        <v>1</v>
      </c>
      <c r="F96" s="1524">
        <v>0</v>
      </c>
      <c r="G96" s="211">
        <f t="shared" si="4"/>
        <v>0</v>
      </c>
      <c r="H96" s="938"/>
    </row>
    <row r="97" spans="2:8" s="217" customFormat="1" ht="38.25" customHeight="1">
      <c r="B97" s="218"/>
      <c r="C97" s="1529" t="s">
        <v>283</v>
      </c>
      <c r="D97" s="203" t="s">
        <v>66</v>
      </c>
      <c r="E97" s="1525">
        <v>1</v>
      </c>
      <c r="F97" s="1524">
        <v>0</v>
      </c>
      <c r="G97" s="211">
        <f t="shared" si="4"/>
        <v>0</v>
      </c>
      <c r="H97" s="938"/>
    </row>
    <row r="98" spans="2:8" s="217" customFormat="1">
      <c r="B98" s="218"/>
      <c r="C98" s="1527" t="s">
        <v>134</v>
      </c>
      <c r="D98" s="203" t="s">
        <v>66</v>
      </c>
      <c r="E98" s="1525">
        <v>1</v>
      </c>
      <c r="F98" s="1524">
        <v>0</v>
      </c>
      <c r="G98" s="211">
        <f t="shared" si="4"/>
        <v>0</v>
      </c>
      <c r="H98" s="938"/>
    </row>
    <row r="99" spans="2:8" s="217" customFormat="1">
      <c r="B99" s="218"/>
      <c r="C99" s="1526" t="s">
        <v>135</v>
      </c>
      <c r="D99" s="203" t="s">
        <v>66</v>
      </c>
      <c r="E99" s="1525">
        <v>1</v>
      </c>
      <c r="F99" s="1524">
        <v>0</v>
      </c>
      <c r="G99" s="211">
        <f t="shared" si="4"/>
        <v>0</v>
      </c>
      <c r="H99" s="938"/>
    </row>
    <row r="100" spans="2:8" s="217" customFormat="1" ht="15" customHeight="1">
      <c r="B100" s="218"/>
      <c r="C100" s="1528"/>
      <c r="D100" s="203"/>
      <c r="E100" s="1525"/>
      <c r="F100" s="1524">
        <v>0</v>
      </c>
      <c r="G100" s="211"/>
      <c r="H100" s="938"/>
    </row>
    <row r="101" spans="2:8" s="217" customFormat="1" ht="15" customHeight="1">
      <c r="B101" s="218"/>
      <c r="C101" s="1528" t="s">
        <v>1986</v>
      </c>
      <c r="D101" s="203" t="s">
        <v>66</v>
      </c>
      <c r="E101" s="1525">
        <v>1</v>
      </c>
      <c r="F101" s="1524">
        <v>0</v>
      </c>
      <c r="G101" s="211">
        <f t="shared" ref="G101:G120" si="5">E101*F101</f>
        <v>0</v>
      </c>
      <c r="H101" s="938"/>
    </row>
    <row r="102" spans="2:8" s="217" customFormat="1" ht="12" customHeight="1">
      <c r="B102" s="218"/>
      <c r="C102" s="1529" t="s">
        <v>1985</v>
      </c>
      <c r="D102" s="203" t="s">
        <v>66</v>
      </c>
      <c r="E102" s="1525">
        <v>3</v>
      </c>
      <c r="F102" s="1524">
        <v>0</v>
      </c>
      <c r="G102" s="211">
        <f t="shared" si="5"/>
        <v>0</v>
      </c>
      <c r="H102" s="938"/>
    </row>
    <row r="103" spans="2:8" s="217" customFormat="1" ht="12.75" customHeight="1">
      <c r="B103" s="218"/>
      <c r="C103" s="1529" t="s">
        <v>1984</v>
      </c>
      <c r="D103" s="203" t="s">
        <v>66</v>
      </c>
      <c r="E103" s="1525">
        <v>1</v>
      </c>
      <c r="F103" s="1524">
        <v>0</v>
      </c>
      <c r="G103" s="211">
        <f t="shared" si="5"/>
        <v>0</v>
      </c>
      <c r="H103" s="938"/>
    </row>
    <row r="104" spans="2:8" s="217" customFormat="1" ht="12.75" customHeight="1">
      <c r="B104" s="218"/>
      <c r="C104" s="1529" t="s">
        <v>1983</v>
      </c>
      <c r="D104" s="203" t="s">
        <v>66</v>
      </c>
      <c r="E104" s="1525">
        <v>1</v>
      </c>
      <c r="F104" s="1524">
        <v>0</v>
      </c>
      <c r="G104" s="211">
        <f t="shared" si="5"/>
        <v>0</v>
      </c>
      <c r="H104" s="938"/>
    </row>
    <row r="105" spans="2:8" s="217" customFormat="1">
      <c r="B105" s="218"/>
      <c r="C105" s="1529" t="s">
        <v>1982</v>
      </c>
      <c r="D105" s="203" t="s">
        <v>66</v>
      </c>
      <c r="E105" s="1525">
        <v>1</v>
      </c>
      <c r="F105" s="1524">
        <v>0</v>
      </c>
      <c r="G105" s="211">
        <f t="shared" si="5"/>
        <v>0</v>
      </c>
      <c r="H105" s="938"/>
    </row>
    <row r="106" spans="2:8" s="217" customFormat="1">
      <c r="B106" s="218"/>
      <c r="C106" s="1529" t="s">
        <v>1981</v>
      </c>
      <c r="D106" s="203" t="s">
        <v>66</v>
      </c>
      <c r="E106" s="1525">
        <v>1</v>
      </c>
      <c r="F106" s="1524">
        <v>0</v>
      </c>
      <c r="G106" s="211">
        <f t="shared" si="5"/>
        <v>0</v>
      </c>
      <c r="H106" s="938"/>
    </row>
    <row r="107" spans="2:8" s="217" customFormat="1" ht="14.25" customHeight="1">
      <c r="B107" s="218"/>
      <c r="C107" s="1529" t="s">
        <v>1980</v>
      </c>
      <c r="D107" s="203" t="s">
        <v>66</v>
      </c>
      <c r="E107" s="1525">
        <v>1</v>
      </c>
      <c r="F107" s="1524">
        <v>0</v>
      </c>
      <c r="G107" s="211">
        <f t="shared" si="5"/>
        <v>0</v>
      </c>
      <c r="H107" s="938"/>
    </row>
    <row r="108" spans="2:8" s="217" customFormat="1" ht="14.25" customHeight="1">
      <c r="B108" s="218"/>
      <c r="C108" s="1529" t="s">
        <v>1979</v>
      </c>
      <c r="D108" s="203" t="s">
        <v>66</v>
      </c>
      <c r="E108" s="1525">
        <v>1</v>
      </c>
      <c r="F108" s="1524">
        <v>0</v>
      </c>
      <c r="G108" s="211">
        <f t="shared" si="5"/>
        <v>0</v>
      </c>
      <c r="H108" s="938"/>
    </row>
    <row r="109" spans="2:8" s="217" customFormat="1" ht="14.25" customHeight="1">
      <c r="B109" s="218"/>
      <c r="C109" s="1529" t="s">
        <v>1978</v>
      </c>
      <c r="D109" s="203" t="s">
        <v>66</v>
      </c>
      <c r="E109" s="1525">
        <v>2</v>
      </c>
      <c r="F109" s="1524">
        <v>0</v>
      </c>
      <c r="G109" s="211">
        <f t="shared" si="5"/>
        <v>0</v>
      </c>
      <c r="H109" s="938"/>
    </row>
    <row r="110" spans="2:8" s="217" customFormat="1">
      <c r="B110" s="218"/>
      <c r="C110" s="1529" t="s">
        <v>1977</v>
      </c>
      <c r="D110" s="203" t="s">
        <v>66</v>
      </c>
      <c r="E110" s="1525">
        <v>1</v>
      </c>
      <c r="F110" s="1524">
        <v>0</v>
      </c>
      <c r="G110" s="211">
        <f t="shared" si="5"/>
        <v>0</v>
      </c>
      <c r="H110" s="938"/>
    </row>
    <row r="111" spans="2:8" s="217" customFormat="1" ht="13.5" customHeight="1">
      <c r="B111" s="218"/>
      <c r="C111" s="1527" t="s">
        <v>1976</v>
      </c>
      <c r="D111" s="203" t="s">
        <v>66</v>
      </c>
      <c r="E111" s="1525">
        <v>2</v>
      </c>
      <c r="F111" s="1524">
        <v>0</v>
      </c>
      <c r="G111" s="211">
        <f t="shared" si="5"/>
        <v>0</v>
      </c>
      <c r="H111" s="938"/>
    </row>
    <row r="112" spans="2:8" s="217" customFormat="1" ht="13.5" customHeight="1">
      <c r="B112" s="218"/>
      <c r="C112" s="1529" t="s">
        <v>1975</v>
      </c>
      <c r="D112" s="203" t="s">
        <v>66</v>
      </c>
      <c r="E112" s="1525">
        <v>2</v>
      </c>
      <c r="F112" s="1524">
        <v>0</v>
      </c>
      <c r="G112" s="211">
        <f t="shared" si="5"/>
        <v>0</v>
      </c>
      <c r="H112" s="938"/>
    </row>
    <row r="113" spans="2:8" s="217" customFormat="1">
      <c r="B113" s="218"/>
      <c r="C113" s="1528" t="s">
        <v>1974</v>
      </c>
      <c r="D113" s="203" t="s">
        <v>66</v>
      </c>
      <c r="E113" s="1525">
        <v>4</v>
      </c>
      <c r="F113" s="1524">
        <v>0</v>
      </c>
      <c r="G113" s="211">
        <f t="shared" si="5"/>
        <v>0</v>
      </c>
      <c r="H113" s="938"/>
    </row>
    <row r="114" spans="2:8" s="217" customFormat="1">
      <c r="B114" s="218"/>
      <c r="C114" s="1529" t="s">
        <v>1973</v>
      </c>
      <c r="D114" s="203" t="s">
        <v>57</v>
      </c>
      <c r="E114" s="1525">
        <v>4</v>
      </c>
      <c r="F114" s="1524">
        <v>0</v>
      </c>
      <c r="G114" s="211">
        <f t="shared" si="5"/>
        <v>0</v>
      </c>
      <c r="H114" s="938"/>
    </row>
    <row r="115" spans="2:8" s="217" customFormat="1">
      <c r="B115" s="218"/>
      <c r="C115" s="1529" t="s">
        <v>1972</v>
      </c>
      <c r="D115" s="203" t="s">
        <v>66</v>
      </c>
      <c r="E115" s="1525">
        <v>4</v>
      </c>
      <c r="F115" s="1524">
        <v>0</v>
      </c>
      <c r="G115" s="211">
        <f t="shared" si="5"/>
        <v>0</v>
      </c>
      <c r="H115" s="938"/>
    </row>
    <row r="116" spans="2:8" s="217" customFormat="1">
      <c r="B116" s="218"/>
      <c r="C116" s="1529" t="s">
        <v>1971</v>
      </c>
      <c r="D116" s="203" t="s">
        <v>66</v>
      </c>
      <c r="E116" s="1525">
        <v>2</v>
      </c>
      <c r="F116" s="1524">
        <v>0</v>
      </c>
      <c r="G116" s="211">
        <f t="shared" si="5"/>
        <v>0</v>
      </c>
      <c r="H116" s="938"/>
    </row>
    <row r="117" spans="2:8" s="217" customFormat="1">
      <c r="B117" s="218"/>
      <c r="C117" s="1529" t="s">
        <v>1970</v>
      </c>
      <c r="D117" s="203" t="s">
        <v>66</v>
      </c>
      <c r="E117" s="1525">
        <v>4</v>
      </c>
      <c r="F117" s="1524">
        <v>0</v>
      </c>
      <c r="G117" s="211">
        <f t="shared" si="5"/>
        <v>0</v>
      </c>
      <c r="H117" s="938"/>
    </row>
    <row r="118" spans="2:8" s="217" customFormat="1">
      <c r="B118" s="218"/>
      <c r="C118" s="1529" t="s">
        <v>1969</v>
      </c>
      <c r="D118" s="203" t="s">
        <v>57</v>
      </c>
      <c r="E118" s="1525">
        <v>4</v>
      </c>
      <c r="F118" s="1524">
        <v>0</v>
      </c>
      <c r="G118" s="211">
        <f t="shared" si="5"/>
        <v>0</v>
      </c>
      <c r="H118" s="938"/>
    </row>
    <row r="119" spans="2:8" s="217" customFormat="1">
      <c r="B119" s="218"/>
      <c r="C119" s="1528" t="s">
        <v>1968</v>
      </c>
      <c r="D119" s="203" t="s">
        <v>66</v>
      </c>
      <c r="E119" s="1525">
        <v>4</v>
      </c>
      <c r="F119" s="1524">
        <v>0</v>
      </c>
      <c r="G119" s="211">
        <f t="shared" si="5"/>
        <v>0</v>
      </c>
      <c r="H119" s="938"/>
    </row>
    <row r="120" spans="2:8" s="217" customFormat="1">
      <c r="B120" s="218"/>
      <c r="C120" s="1527" t="s">
        <v>1967</v>
      </c>
      <c r="D120" s="203" t="s">
        <v>66</v>
      </c>
      <c r="E120" s="1525">
        <v>1</v>
      </c>
      <c r="F120" s="1524">
        <v>0</v>
      </c>
      <c r="G120" s="211">
        <f t="shared" si="5"/>
        <v>0</v>
      </c>
      <c r="H120" s="938"/>
    </row>
    <row r="121" spans="2:8" s="217" customFormat="1">
      <c r="B121" s="218"/>
      <c r="C121" s="1526"/>
      <c r="D121" s="203"/>
      <c r="E121" s="1525"/>
      <c r="F121" s="1524"/>
      <c r="G121" s="211"/>
      <c r="H121" s="938"/>
    </row>
    <row r="122" spans="2:8" s="179" customFormat="1" ht="25.5" customHeight="1">
      <c r="B122" s="258" t="s">
        <v>47</v>
      </c>
      <c r="C122" s="259" t="s">
        <v>175</v>
      </c>
      <c r="D122" s="260"/>
      <c r="E122" s="261"/>
      <c r="F122" s="262"/>
      <c r="G122" s="263">
        <f>SUM(G71:G121)</f>
        <v>0</v>
      </c>
      <c r="H122" s="802"/>
    </row>
    <row r="123" spans="2:8">
      <c r="B123" s="125"/>
      <c r="C123" s="126"/>
      <c r="D123" s="140"/>
      <c r="E123" s="719"/>
      <c r="F123" s="1107"/>
      <c r="G123" s="731"/>
    </row>
    <row r="124" spans="2:8" ht="24">
      <c r="B124" s="119" t="s">
        <v>41</v>
      </c>
      <c r="C124" s="120" t="s">
        <v>51</v>
      </c>
      <c r="D124" s="120" t="s">
        <v>52</v>
      </c>
      <c r="E124" s="122" t="s">
        <v>53</v>
      </c>
      <c r="F124" s="123" t="s">
        <v>54</v>
      </c>
      <c r="G124" s="124" t="s">
        <v>55</v>
      </c>
    </row>
    <row r="125" spans="2:8">
      <c r="B125" s="157"/>
      <c r="C125" s="158"/>
      <c r="D125" s="158"/>
      <c r="E125" s="160"/>
      <c r="F125" s="161"/>
      <c r="G125" s="162"/>
    </row>
    <row r="126" spans="2:8" ht="20.25">
      <c r="B126" s="186" t="s">
        <v>914</v>
      </c>
      <c r="C126" s="187" t="s">
        <v>916</v>
      </c>
      <c r="D126" s="165"/>
      <c r="E126" s="134"/>
      <c r="F126" s="135"/>
      <c r="G126" s="136"/>
    </row>
    <row r="127" spans="2:8">
      <c r="B127" s="2396" t="s">
        <v>551</v>
      </c>
      <c r="C127" s="2397"/>
      <c r="D127" s="2397"/>
      <c r="E127" s="2397"/>
      <c r="F127" s="2397"/>
      <c r="G127" s="2398"/>
    </row>
    <row r="128" spans="2:8" ht="25.5" customHeight="1">
      <c r="B128" s="2396" t="s">
        <v>552</v>
      </c>
      <c r="C128" s="2397"/>
      <c r="D128" s="2397"/>
      <c r="E128" s="2397"/>
      <c r="F128" s="2397"/>
      <c r="G128" s="2398"/>
    </row>
    <row r="129" spans="2:7">
      <c r="B129" s="2396" t="s">
        <v>553</v>
      </c>
      <c r="C129" s="2397"/>
      <c r="D129" s="2397"/>
      <c r="E129" s="2397"/>
      <c r="F129" s="2397"/>
      <c r="G129" s="2398"/>
    </row>
    <row r="130" spans="2:7" ht="25.5" customHeight="1">
      <c r="B130" s="2396" t="s">
        <v>554</v>
      </c>
      <c r="C130" s="2397"/>
      <c r="D130" s="2397"/>
      <c r="E130" s="2397"/>
      <c r="F130" s="2397"/>
      <c r="G130" s="2398"/>
    </row>
    <row r="131" spans="2:7" ht="26.25" customHeight="1">
      <c r="B131" s="2396" t="s">
        <v>555</v>
      </c>
      <c r="C131" s="2397"/>
      <c r="D131" s="2397"/>
      <c r="E131" s="2397"/>
      <c r="F131" s="2397"/>
      <c r="G131" s="2398"/>
    </row>
    <row r="132" spans="2:7" ht="25.5" customHeight="1">
      <c r="B132" s="2396" t="s">
        <v>556</v>
      </c>
      <c r="C132" s="2397"/>
      <c r="D132" s="2397"/>
      <c r="E132" s="2397"/>
      <c r="F132" s="2397"/>
      <c r="G132" s="2398"/>
    </row>
    <row r="133" spans="2:7">
      <c r="B133" s="2396" t="s">
        <v>557</v>
      </c>
      <c r="C133" s="2397"/>
      <c r="D133" s="2397"/>
      <c r="E133" s="2397"/>
      <c r="F133" s="2397"/>
      <c r="G133" s="2398"/>
    </row>
    <row r="134" spans="2:7">
      <c r="B134" s="188">
        <v>1</v>
      </c>
      <c r="C134" s="159" t="s">
        <v>1218</v>
      </c>
      <c r="D134" s="140"/>
      <c r="E134" s="719"/>
      <c r="F134" s="1092"/>
      <c r="G134" s="1093"/>
    </row>
    <row r="135" spans="2:7" ht="108">
      <c r="B135" s="188"/>
      <c r="C135" s="126" t="s">
        <v>1877</v>
      </c>
      <c r="D135" s="140" t="s">
        <v>60</v>
      </c>
      <c r="E135" s="719">
        <v>1</v>
      </c>
      <c r="F135" s="1092">
        <v>0</v>
      </c>
      <c r="G135" s="1093">
        <f t="shared" ref="G135:G160" si="6">E135*F135</f>
        <v>0</v>
      </c>
    </row>
    <row r="136" spans="2:7" ht="60">
      <c r="B136" s="188"/>
      <c r="C136" s="126" t="s">
        <v>1962</v>
      </c>
      <c r="D136" s="140" t="s">
        <v>252</v>
      </c>
      <c r="E136" s="719">
        <v>1</v>
      </c>
      <c r="F136" s="1092">
        <v>0</v>
      </c>
      <c r="G136" s="1093">
        <f t="shared" si="6"/>
        <v>0</v>
      </c>
    </row>
    <row r="137" spans="2:7" ht="36">
      <c r="B137" s="188"/>
      <c r="C137" s="126" t="s">
        <v>1961</v>
      </c>
      <c r="D137" s="140" t="s">
        <v>252</v>
      </c>
      <c r="E137" s="719">
        <v>1</v>
      </c>
      <c r="F137" s="1092">
        <v>0</v>
      </c>
      <c r="G137" s="1093">
        <f t="shared" si="6"/>
        <v>0</v>
      </c>
    </row>
    <row r="138" spans="2:7" ht="24">
      <c r="B138" s="188"/>
      <c r="C138" s="126" t="s">
        <v>1960</v>
      </c>
      <c r="D138" s="140" t="s">
        <v>252</v>
      </c>
      <c r="E138" s="719">
        <v>1</v>
      </c>
      <c r="F138" s="1092">
        <v>0</v>
      </c>
      <c r="G138" s="1093">
        <f t="shared" si="6"/>
        <v>0</v>
      </c>
    </row>
    <row r="139" spans="2:7" ht="36">
      <c r="B139" s="188"/>
      <c r="C139" s="126" t="s">
        <v>1959</v>
      </c>
      <c r="D139" s="140" t="s">
        <v>252</v>
      </c>
      <c r="E139" s="719">
        <v>1</v>
      </c>
      <c r="F139" s="1092">
        <v>0</v>
      </c>
      <c r="G139" s="1093">
        <f t="shared" si="6"/>
        <v>0</v>
      </c>
    </row>
    <row r="140" spans="2:7" ht="108">
      <c r="B140" s="125"/>
      <c r="C140" s="126" t="s">
        <v>1958</v>
      </c>
      <c r="D140" s="140" t="s">
        <v>60</v>
      </c>
      <c r="E140" s="719">
        <v>1</v>
      </c>
      <c r="F140" s="1092">
        <v>0</v>
      </c>
      <c r="G140" s="1093">
        <f t="shared" si="6"/>
        <v>0</v>
      </c>
    </row>
    <row r="141" spans="2:7" ht="72">
      <c r="B141" s="125"/>
      <c r="C141" s="126" t="s">
        <v>1817</v>
      </c>
      <c r="D141" s="140" t="s">
        <v>252</v>
      </c>
      <c r="E141" s="719">
        <v>1</v>
      </c>
      <c r="F141" s="1092">
        <v>0</v>
      </c>
      <c r="G141" s="1093">
        <f t="shared" si="6"/>
        <v>0</v>
      </c>
    </row>
    <row r="142" spans="2:7" ht="72">
      <c r="B142" s="125"/>
      <c r="C142" s="126" t="s">
        <v>1818</v>
      </c>
      <c r="D142" s="140" t="s">
        <v>252</v>
      </c>
      <c r="E142" s="719">
        <v>1</v>
      </c>
      <c r="F142" s="1092">
        <v>0</v>
      </c>
      <c r="G142" s="1093">
        <f t="shared" si="6"/>
        <v>0</v>
      </c>
    </row>
    <row r="143" spans="2:7" ht="72">
      <c r="B143" s="125"/>
      <c r="C143" s="126" t="s">
        <v>1819</v>
      </c>
      <c r="D143" s="140" t="s">
        <v>252</v>
      </c>
      <c r="E143" s="719">
        <v>2</v>
      </c>
      <c r="F143" s="1092">
        <v>0</v>
      </c>
      <c r="G143" s="1093">
        <f t="shared" si="6"/>
        <v>0</v>
      </c>
    </row>
    <row r="144" spans="2:7" ht="72">
      <c r="B144" s="125"/>
      <c r="C144" s="126" t="s">
        <v>1820</v>
      </c>
      <c r="D144" s="140" t="s">
        <v>252</v>
      </c>
      <c r="E144" s="719">
        <v>1</v>
      </c>
      <c r="F144" s="1092">
        <v>0</v>
      </c>
      <c r="G144" s="1093">
        <f t="shared" si="6"/>
        <v>0</v>
      </c>
    </row>
    <row r="145" spans="2:7" ht="60">
      <c r="B145" s="125"/>
      <c r="C145" s="126" t="s">
        <v>1821</v>
      </c>
      <c r="D145" s="140" t="s">
        <v>252</v>
      </c>
      <c r="E145" s="719">
        <v>1</v>
      </c>
      <c r="F145" s="1092">
        <v>0</v>
      </c>
      <c r="G145" s="1093">
        <f t="shared" si="6"/>
        <v>0</v>
      </c>
    </row>
    <row r="146" spans="2:7" ht="84">
      <c r="B146" s="125"/>
      <c r="C146" s="716" t="s">
        <v>1822</v>
      </c>
      <c r="D146" s="140" t="s">
        <v>60</v>
      </c>
      <c r="E146" s="719">
        <v>1</v>
      </c>
      <c r="F146" s="1092">
        <v>0</v>
      </c>
      <c r="G146" s="1093">
        <f t="shared" si="6"/>
        <v>0</v>
      </c>
    </row>
    <row r="147" spans="2:7" ht="60">
      <c r="B147" s="125"/>
      <c r="C147" s="126" t="s">
        <v>1823</v>
      </c>
      <c r="D147" s="140" t="s">
        <v>252</v>
      </c>
      <c r="E147" s="719">
        <v>1</v>
      </c>
      <c r="F147" s="1092">
        <v>0</v>
      </c>
      <c r="G147" s="1093">
        <f t="shared" si="6"/>
        <v>0</v>
      </c>
    </row>
    <row r="148" spans="2:7" ht="120">
      <c r="B148" s="125"/>
      <c r="C148" s="126" t="s">
        <v>635</v>
      </c>
      <c r="D148" s="140" t="s">
        <v>252</v>
      </c>
      <c r="E148" s="719">
        <v>1</v>
      </c>
      <c r="F148" s="1092">
        <v>0</v>
      </c>
      <c r="G148" s="1093">
        <f t="shared" si="6"/>
        <v>0</v>
      </c>
    </row>
    <row r="149" spans="2:7" ht="36">
      <c r="B149" s="125"/>
      <c r="C149" s="126" t="s">
        <v>1824</v>
      </c>
      <c r="D149" s="140" t="s">
        <v>252</v>
      </c>
      <c r="E149" s="719">
        <v>60</v>
      </c>
      <c r="F149" s="1092">
        <v>0</v>
      </c>
      <c r="G149" s="1093">
        <f t="shared" si="6"/>
        <v>0</v>
      </c>
    </row>
    <row r="150" spans="2:7" ht="36">
      <c r="B150" s="125"/>
      <c r="C150" s="126" t="s">
        <v>1825</v>
      </c>
      <c r="D150" s="140" t="s">
        <v>252</v>
      </c>
      <c r="E150" s="719">
        <v>10</v>
      </c>
      <c r="F150" s="1092">
        <v>0</v>
      </c>
      <c r="G150" s="1093">
        <f t="shared" si="6"/>
        <v>0</v>
      </c>
    </row>
    <row r="151" spans="2:7" ht="36">
      <c r="B151" s="125"/>
      <c r="C151" s="126" t="s">
        <v>1826</v>
      </c>
      <c r="D151" s="140" t="s">
        <v>252</v>
      </c>
      <c r="E151" s="719">
        <v>2</v>
      </c>
      <c r="F151" s="1092">
        <v>0</v>
      </c>
      <c r="G151" s="1093">
        <f t="shared" si="6"/>
        <v>0</v>
      </c>
    </row>
    <row r="152" spans="2:7" ht="36">
      <c r="B152" s="125"/>
      <c r="C152" s="126" t="s">
        <v>1827</v>
      </c>
      <c r="D152" s="140" t="s">
        <v>252</v>
      </c>
      <c r="E152" s="719">
        <v>12</v>
      </c>
      <c r="F152" s="1092">
        <v>0</v>
      </c>
      <c r="G152" s="1093">
        <f t="shared" si="6"/>
        <v>0</v>
      </c>
    </row>
    <row r="153" spans="2:7" ht="36">
      <c r="B153" s="125"/>
      <c r="C153" s="126" t="s">
        <v>1828</v>
      </c>
      <c r="D153" s="140" t="s">
        <v>252</v>
      </c>
      <c r="E153" s="719">
        <v>1</v>
      </c>
      <c r="F153" s="1092">
        <v>0</v>
      </c>
      <c r="G153" s="1093">
        <f t="shared" si="6"/>
        <v>0</v>
      </c>
    </row>
    <row r="154" spans="2:7" ht="48">
      <c r="B154" s="125"/>
      <c r="C154" s="126" t="s">
        <v>1829</v>
      </c>
      <c r="D154" s="140" t="s">
        <v>252</v>
      </c>
      <c r="E154" s="719">
        <v>1</v>
      </c>
      <c r="F154" s="1092">
        <v>0</v>
      </c>
      <c r="G154" s="1093">
        <f t="shared" si="6"/>
        <v>0</v>
      </c>
    </row>
    <row r="155" spans="2:7" ht="60">
      <c r="B155" s="125"/>
      <c r="C155" s="126" t="s">
        <v>1830</v>
      </c>
      <c r="D155" s="140" t="s">
        <v>252</v>
      </c>
      <c r="E155" s="719">
        <v>3</v>
      </c>
      <c r="F155" s="1092">
        <v>0</v>
      </c>
      <c r="G155" s="1093">
        <f t="shared" si="6"/>
        <v>0</v>
      </c>
    </row>
    <row r="156" spans="2:7" ht="60">
      <c r="B156" s="125"/>
      <c r="C156" s="126" t="s">
        <v>1831</v>
      </c>
      <c r="D156" s="140" t="s">
        <v>252</v>
      </c>
      <c r="E156" s="719">
        <v>3</v>
      </c>
      <c r="F156" s="1092">
        <v>0</v>
      </c>
      <c r="G156" s="1093">
        <f t="shared" si="6"/>
        <v>0</v>
      </c>
    </row>
    <row r="157" spans="2:7" ht="60">
      <c r="B157" s="125"/>
      <c r="C157" s="126" t="s">
        <v>1832</v>
      </c>
      <c r="D157" s="140" t="s">
        <v>252</v>
      </c>
      <c r="E157" s="719">
        <v>3</v>
      </c>
      <c r="F157" s="1092">
        <v>0</v>
      </c>
      <c r="G157" s="1093">
        <f t="shared" si="6"/>
        <v>0</v>
      </c>
    </row>
    <row r="158" spans="2:7" ht="48">
      <c r="B158" s="125"/>
      <c r="C158" s="126" t="s">
        <v>1833</v>
      </c>
      <c r="D158" s="140" t="s">
        <v>60</v>
      </c>
      <c r="E158" s="719">
        <v>1</v>
      </c>
      <c r="F158" s="1092">
        <v>0</v>
      </c>
      <c r="G158" s="1093">
        <f t="shared" si="6"/>
        <v>0</v>
      </c>
    </row>
    <row r="159" spans="2:7" ht="72">
      <c r="B159" s="125"/>
      <c r="C159" s="126" t="s">
        <v>1834</v>
      </c>
      <c r="D159" s="140" t="s">
        <v>252</v>
      </c>
      <c r="E159" s="719">
        <v>1</v>
      </c>
      <c r="F159" s="1092">
        <v>0</v>
      </c>
      <c r="G159" s="1093">
        <f t="shared" si="6"/>
        <v>0</v>
      </c>
    </row>
    <row r="160" spans="2:7" ht="88.5" customHeight="1">
      <c r="B160" s="125"/>
      <c r="C160" s="126" t="s">
        <v>1835</v>
      </c>
      <c r="D160" s="140" t="s">
        <v>252</v>
      </c>
      <c r="E160" s="719">
        <v>1</v>
      </c>
      <c r="F160" s="1092">
        <v>0</v>
      </c>
      <c r="G160" s="1093">
        <f t="shared" si="6"/>
        <v>0</v>
      </c>
    </row>
    <row r="161" spans="2:7">
      <c r="B161" s="188">
        <v>2</v>
      </c>
      <c r="C161" s="159" t="s">
        <v>1294</v>
      </c>
      <c r="D161" s="140"/>
      <c r="E161" s="719"/>
      <c r="F161" s="1093"/>
      <c r="G161" s="1093"/>
    </row>
    <row r="162" spans="2:7" ht="387.75" customHeight="1">
      <c r="B162" s="2262"/>
      <c r="C162" s="2263"/>
      <c r="D162" s="2264"/>
      <c r="E162" s="2265"/>
      <c r="F162" s="2266"/>
      <c r="G162" s="2254"/>
    </row>
    <row r="163" spans="2:7" ht="24.75" customHeight="1">
      <c r="B163" s="2262"/>
      <c r="C163" s="2263" t="s">
        <v>2262</v>
      </c>
      <c r="D163" s="2267" t="s">
        <v>60</v>
      </c>
      <c r="E163" s="2265">
        <v>1</v>
      </c>
      <c r="F163" s="2266">
        <v>0</v>
      </c>
      <c r="G163" s="2254">
        <f t="shared" ref="G163" si="7">E163*F163</f>
        <v>0</v>
      </c>
    </row>
    <row r="164" spans="2:7" ht="48">
      <c r="B164" s="125"/>
      <c r="C164" s="126" t="s">
        <v>1836</v>
      </c>
      <c r="D164" s="140" t="s">
        <v>252</v>
      </c>
      <c r="E164" s="719">
        <v>1</v>
      </c>
      <c r="F164" s="1092">
        <v>0</v>
      </c>
      <c r="G164" s="1093">
        <f t="shared" ref="G164:G169" si="8">E164*F164</f>
        <v>0</v>
      </c>
    </row>
    <row r="165" spans="2:7" ht="48">
      <c r="B165" s="125"/>
      <c r="C165" s="126" t="s">
        <v>1941</v>
      </c>
      <c r="D165" s="140" t="s">
        <v>252</v>
      </c>
      <c r="E165" s="719">
        <v>1</v>
      </c>
      <c r="F165" s="1092">
        <v>0</v>
      </c>
      <c r="G165" s="1093">
        <f t="shared" si="8"/>
        <v>0</v>
      </c>
    </row>
    <row r="166" spans="2:7" ht="60">
      <c r="B166" s="125"/>
      <c r="C166" s="126" t="s">
        <v>1837</v>
      </c>
      <c r="D166" s="140" t="s">
        <v>252</v>
      </c>
      <c r="E166" s="719">
        <v>1</v>
      </c>
      <c r="F166" s="1092">
        <v>0</v>
      </c>
      <c r="G166" s="1093">
        <f t="shared" si="8"/>
        <v>0</v>
      </c>
    </row>
    <row r="167" spans="2:7" ht="228">
      <c r="B167" s="188"/>
      <c r="C167" s="716" t="s">
        <v>654</v>
      </c>
      <c r="D167" s="140" t="s">
        <v>252</v>
      </c>
      <c r="E167" s="719">
        <v>1</v>
      </c>
      <c r="F167" s="1092">
        <v>0</v>
      </c>
      <c r="G167" s="1093">
        <f t="shared" si="8"/>
        <v>0</v>
      </c>
    </row>
    <row r="168" spans="2:7" ht="72">
      <c r="B168" s="188"/>
      <c r="C168" s="716" t="s">
        <v>655</v>
      </c>
      <c r="D168" s="140" t="s">
        <v>60</v>
      </c>
      <c r="E168" s="719">
        <v>1</v>
      </c>
      <c r="F168" s="1092">
        <v>0</v>
      </c>
      <c r="G168" s="1093">
        <f t="shared" si="8"/>
        <v>0</v>
      </c>
    </row>
    <row r="169" spans="2:7" ht="48">
      <c r="B169" s="125"/>
      <c r="C169" s="126" t="s">
        <v>1838</v>
      </c>
      <c r="D169" s="140" t="s">
        <v>252</v>
      </c>
      <c r="E169" s="719">
        <v>1</v>
      </c>
      <c r="F169" s="1092">
        <v>0</v>
      </c>
      <c r="G169" s="1093">
        <f t="shared" si="8"/>
        <v>0</v>
      </c>
    </row>
    <row r="170" spans="2:7">
      <c r="B170" s="188">
        <v>3</v>
      </c>
      <c r="C170" s="159" t="s">
        <v>1840</v>
      </c>
      <c r="D170" s="140"/>
      <c r="E170" s="719"/>
      <c r="F170" s="1092"/>
      <c r="G170" s="1093"/>
    </row>
    <row r="171" spans="2:7" ht="312">
      <c r="B171" s="188"/>
      <c r="C171" s="716" t="s">
        <v>1869</v>
      </c>
      <c r="D171" s="140" t="s">
        <v>60</v>
      </c>
      <c r="E171" s="719">
        <v>1</v>
      </c>
      <c r="F171" s="1092">
        <v>0</v>
      </c>
      <c r="G171" s="1093">
        <f>E171*F171</f>
        <v>0</v>
      </c>
    </row>
    <row r="172" spans="2:7" ht="72">
      <c r="B172" s="125"/>
      <c r="C172" s="126" t="s">
        <v>1842</v>
      </c>
      <c r="D172" s="140" t="s">
        <v>60</v>
      </c>
      <c r="E172" s="719">
        <v>1</v>
      </c>
      <c r="F172" s="1092">
        <v>0</v>
      </c>
      <c r="G172" s="1093">
        <f>E172*F172</f>
        <v>0</v>
      </c>
    </row>
    <row r="173" spans="2:7" ht="108">
      <c r="B173" s="125"/>
      <c r="C173" s="126" t="s">
        <v>1843</v>
      </c>
      <c r="D173" s="140" t="s">
        <v>60</v>
      </c>
      <c r="E173" s="719">
        <v>1</v>
      </c>
      <c r="F173" s="1092">
        <v>0</v>
      </c>
      <c r="G173" s="1093">
        <f>E173*F173</f>
        <v>0</v>
      </c>
    </row>
    <row r="174" spans="2:7">
      <c r="B174" s="188">
        <v>4</v>
      </c>
      <c r="C174" s="159" t="s">
        <v>1844</v>
      </c>
      <c r="D174" s="140"/>
      <c r="E174" s="719"/>
      <c r="F174" s="1092"/>
      <c r="G174" s="1093"/>
    </row>
    <row r="175" spans="2:7" ht="72">
      <c r="B175" s="125"/>
      <c r="C175" s="126" t="s">
        <v>1845</v>
      </c>
      <c r="D175" s="140" t="s">
        <v>60</v>
      </c>
      <c r="E175" s="719">
        <v>3</v>
      </c>
      <c r="F175" s="1558">
        <v>0</v>
      </c>
      <c r="G175" s="1093">
        <f>E175*F175</f>
        <v>0</v>
      </c>
    </row>
    <row r="176" spans="2:7" ht="60">
      <c r="B176" s="188"/>
      <c r="C176" s="716" t="s">
        <v>1846</v>
      </c>
      <c r="D176" s="140" t="s">
        <v>60</v>
      </c>
      <c r="E176" s="719">
        <v>1</v>
      </c>
      <c r="F176" s="1558">
        <v>0</v>
      </c>
      <c r="G176" s="1093">
        <f>E176*F176</f>
        <v>0</v>
      </c>
    </row>
    <row r="177" spans="2:7" ht="36">
      <c r="B177" s="188"/>
      <c r="C177" s="716" t="s">
        <v>1847</v>
      </c>
      <c r="D177" s="140" t="s">
        <v>252</v>
      </c>
      <c r="E177" s="719">
        <v>1</v>
      </c>
      <c r="F177" s="1558">
        <v>0</v>
      </c>
      <c r="G177" s="1093">
        <f>E177*F177</f>
        <v>0</v>
      </c>
    </row>
    <row r="178" spans="2:7" ht="132">
      <c r="B178" s="188"/>
      <c r="C178" s="716" t="s">
        <v>1190</v>
      </c>
      <c r="D178" s="140" t="s">
        <v>252</v>
      </c>
      <c r="E178" s="719">
        <v>1</v>
      </c>
      <c r="F178" s="1558">
        <v>0</v>
      </c>
      <c r="G178" s="1093">
        <f>E178*F178</f>
        <v>0</v>
      </c>
    </row>
    <row r="179" spans="2:7" ht="120">
      <c r="B179" s="125"/>
      <c r="C179" s="126" t="s">
        <v>1848</v>
      </c>
      <c r="D179" s="140" t="s">
        <v>252</v>
      </c>
      <c r="E179" s="719">
        <v>1</v>
      </c>
      <c r="F179" s="1558">
        <v>0</v>
      </c>
      <c r="G179" s="1093">
        <f>E179*F179</f>
        <v>0</v>
      </c>
    </row>
    <row r="180" spans="2:7">
      <c r="B180" s="188">
        <v>5</v>
      </c>
      <c r="C180" s="159" t="s">
        <v>1849</v>
      </c>
      <c r="D180" s="140"/>
      <c r="E180" s="719"/>
      <c r="F180" s="1558">
        <v>0</v>
      </c>
      <c r="G180" s="1093"/>
    </row>
    <row r="181" spans="2:7">
      <c r="B181" s="188"/>
      <c r="C181" s="716" t="s">
        <v>1870</v>
      </c>
      <c r="D181" s="140" t="s">
        <v>397</v>
      </c>
      <c r="E181" s="719">
        <v>30</v>
      </c>
      <c r="F181" s="1558">
        <v>0</v>
      </c>
      <c r="G181" s="1093">
        <f t="shared" ref="G181:G189" si="9">E181*F181</f>
        <v>0</v>
      </c>
    </row>
    <row r="182" spans="2:7">
      <c r="B182" s="188"/>
      <c r="C182" s="716" t="s">
        <v>1850</v>
      </c>
      <c r="D182" s="140" t="s">
        <v>397</v>
      </c>
      <c r="E182" s="719">
        <v>50</v>
      </c>
      <c r="F182" s="1558">
        <v>0</v>
      </c>
      <c r="G182" s="1093">
        <f t="shared" si="9"/>
        <v>0</v>
      </c>
    </row>
    <row r="183" spans="2:7">
      <c r="B183" s="188"/>
      <c r="C183" s="716" t="s">
        <v>1851</v>
      </c>
      <c r="D183" s="140" t="s">
        <v>397</v>
      </c>
      <c r="E183" s="719">
        <v>200</v>
      </c>
      <c r="F183" s="1558">
        <v>0</v>
      </c>
      <c r="G183" s="1093">
        <f t="shared" si="9"/>
        <v>0</v>
      </c>
    </row>
    <row r="184" spans="2:7">
      <c r="B184" s="188"/>
      <c r="C184" s="716" t="s">
        <v>1852</v>
      </c>
      <c r="D184" s="140" t="s">
        <v>397</v>
      </c>
      <c r="E184" s="719">
        <v>100</v>
      </c>
      <c r="F184" s="1558">
        <v>0</v>
      </c>
      <c r="G184" s="1093">
        <f t="shared" si="9"/>
        <v>0</v>
      </c>
    </row>
    <row r="185" spans="2:7">
      <c r="B185" s="188"/>
      <c r="C185" s="716" t="s">
        <v>1315</v>
      </c>
      <c r="D185" s="140" t="s">
        <v>397</v>
      </c>
      <c r="E185" s="719">
        <v>50</v>
      </c>
      <c r="F185" s="1558">
        <v>0</v>
      </c>
      <c r="G185" s="1093">
        <f t="shared" si="9"/>
        <v>0</v>
      </c>
    </row>
    <row r="186" spans="2:7">
      <c r="B186" s="188"/>
      <c r="C186" s="716" t="s">
        <v>1853</v>
      </c>
      <c r="D186" s="140" t="s">
        <v>252</v>
      </c>
      <c r="E186" s="719">
        <v>2</v>
      </c>
      <c r="F186" s="1558">
        <v>0</v>
      </c>
      <c r="G186" s="1093">
        <f t="shared" si="9"/>
        <v>0</v>
      </c>
    </row>
    <row r="187" spans="2:7">
      <c r="B187" s="188"/>
      <c r="C187" s="716" t="s">
        <v>1854</v>
      </c>
      <c r="D187" s="140" t="s">
        <v>397</v>
      </c>
      <c r="E187" s="719">
        <v>70</v>
      </c>
      <c r="F187" s="1558">
        <v>0</v>
      </c>
      <c r="G187" s="1093">
        <f t="shared" si="9"/>
        <v>0</v>
      </c>
    </row>
    <row r="188" spans="2:7">
      <c r="B188" s="188"/>
      <c r="C188" s="716" t="s">
        <v>1855</v>
      </c>
      <c r="D188" s="140" t="s">
        <v>397</v>
      </c>
      <c r="E188" s="719">
        <v>50</v>
      </c>
      <c r="F188" s="1558">
        <v>0</v>
      </c>
      <c r="G188" s="1093">
        <f t="shared" si="9"/>
        <v>0</v>
      </c>
    </row>
    <row r="189" spans="2:7">
      <c r="B189" s="188"/>
      <c r="C189" s="716" t="s">
        <v>1293</v>
      </c>
      <c r="D189" s="140" t="s">
        <v>60</v>
      </c>
      <c r="E189" s="719">
        <v>1</v>
      </c>
      <c r="F189" s="1558">
        <v>0</v>
      </c>
      <c r="G189" s="1093">
        <f t="shared" si="9"/>
        <v>0</v>
      </c>
    </row>
    <row r="190" spans="2:7">
      <c r="B190" s="188">
        <v>6</v>
      </c>
      <c r="C190" s="159" t="s">
        <v>1856</v>
      </c>
      <c r="D190" s="140"/>
      <c r="E190" s="719"/>
      <c r="F190" s="1559">
        <v>0</v>
      </c>
      <c r="G190" s="1093"/>
    </row>
    <row r="191" spans="2:7" ht="36">
      <c r="B191" s="188"/>
      <c r="C191" s="716" t="s">
        <v>1345</v>
      </c>
      <c r="D191" s="140" t="s">
        <v>397</v>
      </c>
      <c r="E191" s="719">
        <v>40</v>
      </c>
      <c r="F191" s="1558">
        <v>0</v>
      </c>
      <c r="G191" s="1093">
        <f t="shared" ref="G191:G201" si="10">E191*F191</f>
        <v>0</v>
      </c>
    </row>
    <row r="192" spans="2:7">
      <c r="B192" s="188"/>
      <c r="C192" s="716" t="s">
        <v>1347</v>
      </c>
      <c r="D192" s="140" t="s">
        <v>397</v>
      </c>
      <c r="E192" s="719">
        <v>100</v>
      </c>
      <c r="F192" s="1558">
        <v>0</v>
      </c>
      <c r="G192" s="1093">
        <f t="shared" si="10"/>
        <v>0</v>
      </c>
    </row>
    <row r="193" spans="2:7">
      <c r="B193" s="188"/>
      <c r="C193" s="716" t="s">
        <v>1348</v>
      </c>
      <c r="D193" s="140" t="s">
        <v>397</v>
      </c>
      <c r="E193" s="719">
        <v>40</v>
      </c>
      <c r="F193" s="1558">
        <v>0</v>
      </c>
      <c r="G193" s="1093">
        <f t="shared" si="10"/>
        <v>0</v>
      </c>
    </row>
    <row r="194" spans="2:7">
      <c r="B194" s="188"/>
      <c r="C194" s="716" t="s">
        <v>1349</v>
      </c>
      <c r="D194" s="140" t="s">
        <v>252</v>
      </c>
      <c r="E194" s="719">
        <v>1</v>
      </c>
      <c r="F194" s="1558">
        <v>0</v>
      </c>
      <c r="G194" s="1093">
        <f t="shared" si="10"/>
        <v>0</v>
      </c>
    </row>
    <row r="195" spans="2:7">
      <c r="B195" s="188"/>
      <c r="C195" s="716" t="s">
        <v>1957</v>
      </c>
      <c r="D195" s="140" t="s">
        <v>252</v>
      </c>
      <c r="E195" s="719">
        <v>1</v>
      </c>
      <c r="F195" s="1558">
        <v>0</v>
      </c>
      <c r="G195" s="1093">
        <f t="shared" si="10"/>
        <v>0</v>
      </c>
    </row>
    <row r="196" spans="2:7">
      <c r="B196" s="188"/>
      <c r="C196" s="716" t="s">
        <v>1956</v>
      </c>
      <c r="D196" s="140" t="s">
        <v>252</v>
      </c>
      <c r="E196" s="719">
        <v>1</v>
      </c>
      <c r="F196" s="1558">
        <v>0</v>
      </c>
      <c r="G196" s="1093">
        <f t="shared" si="10"/>
        <v>0</v>
      </c>
    </row>
    <row r="197" spans="2:7" ht="24">
      <c r="B197" s="188"/>
      <c r="C197" s="716" t="s">
        <v>1353</v>
      </c>
      <c r="D197" s="140" t="s">
        <v>252</v>
      </c>
      <c r="E197" s="719">
        <v>4</v>
      </c>
      <c r="F197" s="1558">
        <v>0</v>
      </c>
      <c r="G197" s="1093">
        <f t="shared" si="10"/>
        <v>0</v>
      </c>
    </row>
    <row r="198" spans="2:7">
      <c r="B198" s="188"/>
      <c r="C198" s="716" t="s">
        <v>1871</v>
      </c>
      <c r="D198" s="140" t="s">
        <v>252</v>
      </c>
      <c r="E198" s="719">
        <v>1</v>
      </c>
      <c r="F198" s="1558">
        <v>0</v>
      </c>
      <c r="G198" s="1093">
        <f t="shared" si="10"/>
        <v>0</v>
      </c>
    </row>
    <row r="199" spans="2:7">
      <c r="B199" s="188"/>
      <c r="C199" s="716" t="s">
        <v>1857</v>
      </c>
      <c r="D199" s="140" t="s">
        <v>252</v>
      </c>
      <c r="E199" s="719">
        <v>3</v>
      </c>
      <c r="F199" s="1558">
        <v>0</v>
      </c>
      <c r="G199" s="1093">
        <f t="shared" si="10"/>
        <v>0</v>
      </c>
    </row>
    <row r="200" spans="2:7">
      <c r="B200" s="188"/>
      <c r="C200" s="716" t="s">
        <v>1858</v>
      </c>
      <c r="D200" s="140" t="s">
        <v>252</v>
      </c>
      <c r="E200" s="719">
        <v>2</v>
      </c>
      <c r="F200" s="1558">
        <v>0</v>
      </c>
      <c r="G200" s="1093">
        <f t="shared" si="10"/>
        <v>0</v>
      </c>
    </row>
    <row r="201" spans="2:7" ht="24">
      <c r="B201" s="188"/>
      <c r="C201" s="716" t="s">
        <v>1859</v>
      </c>
      <c r="D201" s="140" t="s">
        <v>252</v>
      </c>
      <c r="E201" s="719">
        <v>1</v>
      </c>
      <c r="F201" s="1558">
        <v>0</v>
      </c>
      <c r="G201" s="1093">
        <f t="shared" si="10"/>
        <v>0</v>
      </c>
    </row>
    <row r="202" spans="2:7">
      <c r="B202" s="188">
        <v>7</v>
      </c>
      <c r="C202" s="159" t="s">
        <v>1860</v>
      </c>
      <c r="D202" s="140"/>
      <c r="E202" s="719"/>
      <c r="F202" s="1092"/>
      <c r="G202" s="1093"/>
    </row>
    <row r="203" spans="2:7">
      <c r="B203" s="125"/>
      <c r="C203" s="126" t="s">
        <v>1325</v>
      </c>
      <c r="D203" s="140" t="s">
        <v>397</v>
      </c>
      <c r="E203" s="719">
        <v>60</v>
      </c>
      <c r="F203" s="1107">
        <v>0</v>
      </c>
      <c r="G203" s="1093">
        <f t="shared" ref="G203:G209" si="11">E203*F203</f>
        <v>0</v>
      </c>
    </row>
    <row r="204" spans="2:7" ht="36">
      <c r="B204" s="125"/>
      <c r="C204" s="126" t="s">
        <v>1326</v>
      </c>
      <c r="D204" s="140" t="s">
        <v>60</v>
      </c>
      <c r="E204" s="719">
        <v>2</v>
      </c>
      <c r="F204" s="1558">
        <v>0</v>
      </c>
      <c r="G204" s="1093">
        <f t="shared" si="11"/>
        <v>0</v>
      </c>
    </row>
    <row r="205" spans="2:7" ht="36">
      <c r="B205" s="125"/>
      <c r="C205" s="126" t="s">
        <v>1327</v>
      </c>
      <c r="D205" s="140" t="s">
        <v>60</v>
      </c>
      <c r="E205" s="719">
        <v>1</v>
      </c>
      <c r="F205" s="1558">
        <v>0</v>
      </c>
      <c r="G205" s="1093">
        <f t="shared" si="11"/>
        <v>0</v>
      </c>
    </row>
    <row r="206" spans="2:7" ht="24">
      <c r="B206" s="125"/>
      <c r="C206" s="126" t="s">
        <v>1955</v>
      </c>
      <c r="D206" s="140" t="s">
        <v>397</v>
      </c>
      <c r="E206" s="719">
        <v>160</v>
      </c>
      <c r="F206" s="1558">
        <v>0</v>
      </c>
      <c r="G206" s="1093">
        <f t="shared" si="11"/>
        <v>0</v>
      </c>
    </row>
    <row r="207" spans="2:7">
      <c r="B207" s="125"/>
      <c r="C207" s="126" t="s">
        <v>1954</v>
      </c>
      <c r="D207" s="140" t="s">
        <v>252</v>
      </c>
      <c r="E207" s="719">
        <v>15</v>
      </c>
      <c r="F207" s="1558">
        <v>0</v>
      </c>
      <c r="G207" s="1093">
        <f t="shared" si="11"/>
        <v>0</v>
      </c>
    </row>
    <row r="208" spans="2:7" ht="24">
      <c r="B208" s="125"/>
      <c r="C208" s="126" t="s">
        <v>1332</v>
      </c>
      <c r="D208" s="140" t="s">
        <v>60</v>
      </c>
      <c r="E208" s="719">
        <v>15</v>
      </c>
      <c r="F208" s="1558">
        <v>0</v>
      </c>
      <c r="G208" s="1093">
        <f t="shared" si="11"/>
        <v>0</v>
      </c>
    </row>
    <row r="209" spans="2:7">
      <c r="B209" s="125"/>
      <c r="C209" s="126" t="s">
        <v>1333</v>
      </c>
      <c r="D209" s="140" t="s">
        <v>60</v>
      </c>
      <c r="E209" s="719">
        <v>1</v>
      </c>
      <c r="F209" s="1558">
        <v>0</v>
      </c>
      <c r="G209" s="1093">
        <f t="shared" si="11"/>
        <v>0</v>
      </c>
    </row>
    <row r="210" spans="2:7">
      <c r="B210" s="188">
        <v>8</v>
      </c>
      <c r="C210" s="159" t="s">
        <v>1357</v>
      </c>
      <c r="D210" s="140"/>
      <c r="E210" s="719"/>
      <c r="F210" s="1093"/>
      <c r="G210" s="1093"/>
    </row>
    <row r="211" spans="2:7">
      <c r="B211" s="188"/>
      <c r="C211" s="716" t="s">
        <v>1358</v>
      </c>
      <c r="D211" s="140" t="s">
        <v>60</v>
      </c>
      <c r="E211" s="719">
        <v>16</v>
      </c>
      <c r="F211" s="1558">
        <v>0</v>
      </c>
      <c r="G211" s="1093">
        <f>E211*F211</f>
        <v>0</v>
      </c>
    </row>
    <row r="212" spans="2:7" ht="60">
      <c r="B212" s="188"/>
      <c r="C212" s="716" t="s">
        <v>1872</v>
      </c>
      <c r="D212" s="140" t="s">
        <v>60</v>
      </c>
      <c r="E212" s="719">
        <v>1</v>
      </c>
      <c r="F212" s="1558">
        <v>0</v>
      </c>
      <c r="G212" s="1093">
        <f>E212*F212</f>
        <v>0</v>
      </c>
    </row>
    <row r="213" spans="2:7" ht="36">
      <c r="B213" s="125"/>
      <c r="C213" s="126" t="s">
        <v>1862</v>
      </c>
      <c r="D213" s="140" t="s">
        <v>60</v>
      </c>
      <c r="E213" s="719">
        <v>1</v>
      </c>
      <c r="F213" s="1558">
        <v>0</v>
      </c>
      <c r="G213" s="1093">
        <f>E213*F213</f>
        <v>0</v>
      </c>
    </row>
    <row r="214" spans="2:7" ht="48">
      <c r="B214" s="188"/>
      <c r="C214" s="716" t="s">
        <v>1863</v>
      </c>
      <c r="D214" s="140" t="s">
        <v>60</v>
      </c>
      <c r="E214" s="719">
        <v>1</v>
      </c>
      <c r="F214" s="1558">
        <v>0</v>
      </c>
      <c r="G214" s="1093">
        <f>E214*F214</f>
        <v>0</v>
      </c>
    </row>
    <row r="215" spans="2:7" ht="48">
      <c r="B215" s="188"/>
      <c r="C215" s="716" t="s">
        <v>1864</v>
      </c>
      <c r="D215" s="140" t="s">
        <v>60</v>
      </c>
      <c r="E215" s="719">
        <v>1</v>
      </c>
      <c r="F215" s="1558">
        <v>0</v>
      </c>
      <c r="G215" s="1093">
        <f>E215*F215</f>
        <v>0</v>
      </c>
    </row>
    <row r="216" spans="2:7">
      <c r="B216" s="188">
        <v>9</v>
      </c>
      <c r="C216" s="159" t="s">
        <v>1953</v>
      </c>
      <c r="D216" s="140"/>
      <c r="E216" s="719"/>
      <c r="F216" s="1092"/>
      <c r="G216" s="1093"/>
    </row>
    <row r="217" spans="2:7" ht="137.25" customHeight="1">
      <c r="B217" s="1481"/>
      <c r="C217" s="1480" t="s">
        <v>1952</v>
      </c>
      <c r="D217" s="140" t="s">
        <v>60</v>
      </c>
      <c r="E217" s="719">
        <v>1</v>
      </c>
      <c r="F217" s="1092">
        <v>0</v>
      </c>
      <c r="G217" s="1093">
        <f t="shared" ref="G217:G226" si="12">E217*F217</f>
        <v>0</v>
      </c>
    </row>
    <row r="218" spans="2:7" ht="24">
      <c r="B218" s="188"/>
      <c r="C218" s="1479" t="s">
        <v>1951</v>
      </c>
      <c r="D218" s="140" t="s">
        <v>397</v>
      </c>
      <c r="E218" s="719">
        <v>180</v>
      </c>
      <c r="F218" s="1092">
        <v>0</v>
      </c>
      <c r="G218" s="1093">
        <f t="shared" si="12"/>
        <v>0</v>
      </c>
    </row>
    <row r="219" spans="2:7" ht="108">
      <c r="B219" s="188"/>
      <c r="C219" s="1478" t="s">
        <v>1950</v>
      </c>
      <c r="D219" s="140" t="s">
        <v>397</v>
      </c>
      <c r="E219" s="719">
        <v>150</v>
      </c>
      <c r="F219" s="1092">
        <v>0</v>
      </c>
      <c r="G219" s="1093">
        <f t="shared" si="12"/>
        <v>0</v>
      </c>
    </row>
    <row r="220" spans="2:7" ht="36">
      <c r="B220" s="188"/>
      <c r="C220" s="1477" t="s">
        <v>1949</v>
      </c>
      <c r="D220" s="140" t="s">
        <v>60</v>
      </c>
      <c r="E220" s="719">
        <v>1</v>
      </c>
      <c r="F220" s="1092">
        <v>0</v>
      </c>
      <c r="G220" s="1093">
        <f t="shared" si="12"/>
        <v>0</v>
      </c>
    </row>
    <row r="221" spans="2:7" ht="36">
      <c r="B221" s="188"/>
      <c r="C221" s="1477" t="s">
        <v>1948</v>
      </c>
      <c r="D221" s="140" t="s">
        <v>60</v>
      </c>
      <c r="E221" s="719">
        <v>1</v>
      </c>
      <c r="F221" s="1092">
        <v>0</v>
      </c>
      <c r="G221" s="1093">
        <f t="shared" si="12"/>
        <v>0</v>
      </c>
    </row>
    <row r="222" spans="2:7" ht="24">
      <c r="B222" s="188"/>
      <c r="C222" s="1477" t="s">
        <v>1947</v>
      </c>
      <c r="D222" s="140" t="s">
        <v>60</v>
      </c>
      <c r="E222" s="719">
        <v>1</v>
      </c>
      <c r="F222" s="1092">
        <v>0</v>
      </c>
      <c r="G222" s="1093">
        <f t="shared" si="12"/>
        <v>0</v>
      </c>
    </row>
    <row r="223" spans="2:7">
      <c r="B223" s="188"/>
      <c r="C223" s="1477" t="s">
        <v>1370</v>
      </c>
      <c r="D223" s="140" t="s">
        <v>397</v>
      </c>
      <c r="E223" s="719">
        <v>60</v>
      </c>
      <c r="F223" s="1092">
        <v>0</v>
      </c>
      <c r="G223" s="1093">
        <f t="shared" si="12"/>
        <v>0</v>
      </c>
    </row>
    <row r="224" spans="2:7">
      <c r="B224" s="188"/>
      <c r="C224" s="1477" t="s">
        <v>1946</v>
      </c>
      <c r="D224" s="140" t="s">
        <v>60</v>
      </c>
      <c r="E224" s="719">
        <v>1</v>
      </c>
      <c r="F224" s="1092">
        <v>0</v>
      </c>
      <c r="G224" s="1093">
        <f t="shared" si="12"/>
        <v>0</v>
      </c>
    </row>
    <row r="225" spans="2:7">
      <c r="B225" s="188"/>
      <c r="C225" s="1477" t="s">
        <v>1945</v>
      </c>
      <c r="D225" s="140" t="s">
        <v>60</v>
      </c>
      <c r="E225" s="719">
        <v>1</v>
      </c>
      <c r="F225" s="1092">
        <v>0</v>
      </c>
      <c r="G225" s="1093">
        <f t="shared" si="12"/>
        <v>0</v>
      </c>
    </row>
    <row r="226" spans="2:7" ht="24">
      <c r="B226" s="188"/>
      <c r="C226" s="1477" t="s">
        <v>1944</v>
      </c>
      <c r="D226" s="140" t="s">
        <v>60</v>
      </c>
      <c r="E226" s="719">
        <v>1</v>
      </c>
      <c r="F226" s="1092">
        <v>0</v>
      </c>
      <c r="G226" s="1093">
        <f t="shared" si="12"/>
        <v>0</v>
      </c>
    </row>
    <row r="227" spans="2:7">
      <c r="B227" s="258" t="s">
        <v>914</v>
      </c>
      <c r="C227" s="259" t="s">
        <v>1385</v>
      </c>
      <c r="D227" s="260"/>
      <c r="E227" s="261"/>
      <c r="F227" s="262"/>
      <c r="G227" s="263">
        <f>SUM(G135:G226)</f>
        <v>0</v>
      </c>
    </row>
  </sheetData>
  <mergeCells count="12">
    <mergeCell ref="B67:G67"/>
    <mergeCell ref="C6:G6"/>
    <mergeCell ref="B43:G43"/>
    <mergeCell ref="B131:G131"/>
    <mergeCell ref="B132:G132"/>
    <mergeCell ref="B133:G133"/>
    <mergeCell ref="B68:G68"/>
    <mergeCell ref="B69:G69"/>
    <mergeCell ref="B127:G127"/>
    <mergeCell ref="B128:G128"/>
    <mergeCell ref="B129:G129"/>
    <mergeCell ref="B130:G130"/>
  </mergeCells>
  <pageMargins left="0.7" right="0.7" top="0.75" bottom="0.75" header="0.3" footer="0.3"/>
  <pageSetup paperSize="9" scale="88" fitToHeight="0" orientation="portrait" horizontalDpi="4294967295" verticalDpi="4294967295" r:id="rId1"/>
  <headerFooter alignWithMargins="0">
    <oddFooter>&amp;C&amp;8&amp;P/&amp;N</oddFooter>
  </headerFooter>
  <rowBreaks count="2" manualBreakCount="2">
    <brk id="18" max="16383" man="1"/>
    <brk id="59"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E3EFE-8BAF-42AC-BD56-5B55599A7B4C}">
  <sheetPr>
    <tabColor rgb="FFFFFF00"/>
  </sheetPr>
  <dimension ref="A2:L96"/>
  <sheetViews>
    <sheetView showZeros="0" zoomScale="110" zoomScaleNormal="110" workbookViewId="0">
      <selection activeCell="F88" sqref="F88"/>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1866</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G96</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50"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12</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2:7" ht="60">
      <c r="B49" s="188"/>
      <c r="C49" s="716" t="s">
        <v>1834</v>
      </c>
      <c r="D49" s="1419" t="s">
        <v>252</v>
      </c>
      <c r="E49" s="719">
        <v>1</v>
      </c>
      <c r="F49" s="1092">
        <v>0</v>
      </c>
      <c r="G49" s="1093">
        <f t="shared" si="0"/>
        <v>0</v>
      </c>
    </row>
    <row r="50" spans="2:7" ht="84">
      <c r="B50" s="188"/>
      <c r="C50" s="716" t="s">
        <v>1835</v>
      </c>
      <c r="D50" s="1419" t="s">
        <v>252</v>
      </c>
      <c r="E50" s="719">
        <v>1</v>
      </c>
      <c r="F50" s="1092">
        <v>0</v>
      </c>
      <c r="G50" s="1093">
        <f t="shared" si="0"/>
        <v>0</v>
      </c>
    </row>
    <row r="51" spans="2:7">
      <c r="B51" s="188">
        <v>2</v>
      </c>
      <c r="C51" s="159" t="s">
        <v>1294</v>
      </c>
      <c r="D51" s="140"/>
      <c r="E51" s="719"/>
      <c r="F51" s="1092"/>
      <c r="G51" s="1093"/>
    </row>
    <row r="52" spans="2:7" ht="387.75" customHeight="1">
      <c r="B52" s="2262"/>
      <c r="C52" s="2263"/>
      <c r="D52" s="2264"/>
      <c r="E52" s="2265"/>
      <c r="F52" s="2266"/>
      <c r="G52" s="2254"/>
    </row>
    <row r="53" spans="2:7" ht="24.75" customHeight="1">
      <c r="B53" s="2262"/>
      <c r="C53" s="2263" t="s">
        <v>2262</v>
      </c>
      <c r="D53" s="2267" t="s">
        <v>60</v>
      </c>
      <c r="E53" s="2265">
        <v>1</v>
      </c>
      <c r="F53" s="2266">
        <v>0</v>
      </c>
      <c r="G53" s="2254">
        <f t="shared" ref="G53" si="1">E53*F53</f>
        <v>0</v>
      </c>
    </row>
    <row r="54" spans="2:7" ht="48">
      <c r="B54" s="188"/>
      <c r="C54" s="716" t="s">
        <v>1836</v>
      </c>
      <c r="D54" s="1419" t="s">
        <v>252</v>
      </c>
      <c r="E54" s="719">
        <v>1</v>
      </c>
      <c r="F54" s="1092">
        <v>0</v>
      </c>
      <c r="G54" s="1093">
        <f t="shared" ref="G54:G59" si="2">E54*F54</f>
        <v>0</v>
      </c>
    </row>
    <row r="55" spans="2:7" ht="60">
      <c r="B55" s="188"/>
      <c r="C55" s="716" t="s">
        <v>1837</v>
      </c>
      <c r="D55" s="1419" t="s">
        <v>252</v>
      </c>
      <c r="E55" s="719">
        <v>1</v>
      </c>
      <c r="F55" s="1092">
        <v>0</v>
      </c>
      <c r="G55" s="1093">
        <f t="shared" si="2"/>
        <v>0</v>
      </c>
    </row>
    <row r="56" spans="2:7" ht="180">
      <c r="B56" s="188"/>
      <c r="C56" s="716" t="s">
        <v>654</v>
      </c>
      <c r="D56" s="1419" t="s">
        <v>252</v>
      </c>
      <c r="E56" s="719">
        <v>1</v>
      </c>
      <c r="F56" s="1092">
        <v>0</v>
      </c>
      <c r="G56" s="1093">
        <f t="shared" si="2"/>
        <v>0</v>
      </c>
    </row>
    <row r="57" spans="2:7" ht="60">
      <c r="B57" s="188"/>
      <c r="C57" s="716" t="s">
        <v>655</v>
      </c>
      <c r="D57" s="1419" t="s">
        <v>60</v>
      </c>
      <c r="E57" s="719">
        <v>1</v>
      </c>
      <c r="F57" s="1092">
        <v>0</v>
      </c>
      <c r="G57" s="1093">
        <f t="shared" si="2"/>
        <v>0</v>
      </c>
    </row>
    <row r="58" spans="2:7" ht="36">
      <c r="B58" s="188"/>
      <c r="C58" s="716" t="s">
        <v>1838</v>
      </c>
      <c r="D58" s="1419" t="s">
        <v>252</v>
      </c>
      <c r="E58" s="719">
        <v>1</v>
      </c>
      <c r="F58" s="1092">
        <v>0</v>
      </c>
      <c r="G58" s="1093">
        <f t="shared" si="2"/>
        <v>0</v>
      </c>
    </row>
    <row r="59" spans="2:7" ht="288">
      <c r="B59" s="188"/>
      <c r="C59" s="716" t="s">
        <v>1839</v>
      </c>
      <c r="D59" s="1419" t="s">
        <v>60</v>
      </c>
      <c r="E59" s="719">
        <v>2</v>
      </c>
      <c r="F59" s="1092">
        <v>0</v>
      </c>
      <c r="G59" s="1093">
        <f t="shared" si="2"/>
        <v>0</v>
      </c>
    </row>
    <row r="60" spans="2:7">
      <c r="B60" s="188">
        <v>3</v>
      </c>
      <c r="C60" s="159" t="s">
        <v>1840</v>
      </c>
      <c r="D60" s="140"/>
      <c r="E60" s="719"/>
      <c r="F60" s="1092"/>
      <c r="G60" s="1093"/>
    </row>
    <row r="61" spans="2:7" ht="276">
      <c r="B61" s="188"/>
      <c r="C61" s="716" t="s">
        <v>1841</v>
      </c>
      <c r="D61" s="1419" t="s">
        <v>60</v>
      </c>
      <c r="E61" s="719">
        <v>1</v>
      </c>
      <c r="F61" s="1092">
        <v>0</v>
      </c>
      <c r="G61" s="1093">
        <f>E61*F61</f>
        <v>0</v>
      </c>
    </row>
    <row r="62" spans="2:7" ht="72">
      <c r="B62" s="188"/>
      <c r="C62" s="716" t="s">
        <v>1842</v>
      </c>
      <c r="D62" s="1419" t="s">
        <v>60</v>
      </c>
      <c r="E62" s="719">
        <v>1</v>
      </c>
      <c r="F62" s="1092">
        <v>0</v>
      </c>
      <c r="G62" s="1093">
        <f>E62*F62</f>
        <v>0</v>
      </c>
    </row>
    <row r="63" spans="2:7" ht="84">
      <c r="B63" s="188"/>
      <c r="C63" s="716" t="s">
        <v>1843</v>
      </c>
      <c r="D63" s="1419" t="s">
        <v>60</v>
      </c>
      <c r="E63" s="719">
        <v>1</v>
      </c>
      <c r="F63" s="1092">
        <v>0</v>
      </c>
      <c r="G63" s="1093">
        <f>E63*F63</f>
        <v>0</v>
      </c>
    </row>
    <row r="64" spans="2:7">
      <c r="B64" s="188">
        <v>4</v>
      </c>
      <c r="C64" s="159" t="s">
        <v>1844</v>
      </c>
      <c r="D64" s="140"/>
      <c r="E64" s="719"/>
      <c r="F64" s="1092"/>
      <c r="G64" s="1093"/>
    </row>
    <row r="65" spans="2:8" ht="60">
      <c r="B65" s="188"/>
      <c r="C65" s="716" t="s">
        <v>1845</v>
      </c>
      <c r="D65" s="1419" t="s">
        <v>60</v>
      </c>
      <c r="E65" s="719">
        <v>2</v>
      </c>
      <c r="F65" s="1092">
        <v>0</v>
      </c>
      <c r="G65" s="1093">
        <f>E65*F65</f>
        <v>0</v>
      </c>
    </row>
    <row r="66" spans="2:8" ht="60">
      <c r="B66" s="188"/>
      <c r="C66" s="716" t="s">
        <v>1846</v>
      </c>
      <c r="D66" s="1419" t="s">
        <v>60</v>
      </c>
      <c r="E66" s="719">
        <v>2</v>
      </c>
      <c r="F66" s="1092">
        <v>0</v>
      </c>
      <c r="G66" s="1093">
        <f>E66*F66</f>
        <v>0</v>
      </c>
    </row>
    <row r="67" spans="2:8" ht="36">
      <c r="B67" s="188"/>
      <c r="C67" s="716" t="s">
        <v>1847</v>
      </c>
      <c r="D67" s="1419" t="s">
        <v>252</v>
      </c>
      <c r="E67" s="719">
        <v>1</v>
      </c>
      <c r="F67" s="1092">
        <v>0</v>
      </c>
      <c r="G67" s="1093">
        <f>E67*F67</f>
        <v>0</v>
      </c>
    </row>
    <row r="68" spans="2:8" ht="96">
      <c r="B68" s="188"/>
      <c r="C68" s="716" t="s">
        <v>1848</v>
      </c>
      <c r="D68" s="1419" t="s">
        <v>252</v>
      </c>
      <c r="E68" s="719">
        <v>1</v>
      </c>
      <c r="F68" s="1092">
        <v>0</v>
      </c>
      <c r="G68" s="1093">
        <f>E68*F68</f>
        <v>0</v>
      </c>
    </row>
    <row r="69" spans="2:8">
      <c r="B69" s="188">
        <v>5</v>
      </c>
      <c r="C69" s="159" t="s">
        <v>1849</v>
      </c>
      <c r="D69" s="140"/>
      <c r="E69" s="719"/>
      <c r="F69" s="1092"/>
      <c r="G69" s="1093"/>
    </row>
    <row r="70" spans="2:8">
      <c r="B70" s="188"/>
      <c r="C70" s="716" t="s">
        <v>1850</v>
      </c>
      <c r="D70" s="140" t="s">
        <v>397</v>
      </c>
      <c r="E70" s="719">
        <v>15</v>
      </c>
      <c r="F70" s="1092">
        <v>0</v>
      </c>
      <c r="G70" s="1093">
        <f t="shared" ref="G70:G77" si="3">E70*F70</f>
        <v>0</v>
      </c>
    </row>
    <row r="71" spans="2:8">
      <c r="B71" s="188"/>
      <c r="C71" s="716" t="s">
        <v>1851</v>
      </c>
      <c r="D71" s="140" t="s">
        <v>397</v>
      </c>
      <c r="E71" s="719">
        <v>50</v>
      </c>
      <c r="F71" s="1092">
        <v>0</v>
      </c>
      <c r="G71" s="1093">
        <f t="shared" si="3"/>
        <v>0</v>
      </c>
    </row>
    <row r="72" spans="2:8">
      <c r="B72" s="188"/>
      <c r="C72" s="716" t="s">
        <v>1852</v>
      </c>
      <c r="D72" s="140" t="s">
        <v>397</v>
      </c>
      <c r="E72" s="719">
        <v>25</v>
      </c>
      <c r="F72" s="1092">
        <v>0</v>
      </c>
      <c r="G72" s="1093">
        <f t="shared" si="3"/>
        <v>0</v>
      </c>
    </row>
    <row r="73" spans="2:8">
      <c r="B73" s="188"/>
      <c r="C73" s="716" t="s">
        <v>1315</v>
      </c>
      <c r="D73" s="140" t="s">
        <v>397</v>
      </c>
      <c r="E73" s="719">
        <v>15</v>
      </c>
      <c r="F73" s="1092">
        <v>0</v>
      </c>
      <c r="G73" s="1093">
        <f t="shared" si="3"/>
        <v>0</v>
      </c>
    </row>
    <row r="74" spans="2:8">
      <c r="B74" s="188"/>
      <c r="C74" s="716" t="s">
        <v>1853</v>
      </c>
      <c r="D74" s="140" t="s">
        <v>252</v>
      </c>
      <c r="E74" s="719">
        <v>2</v>
      </c>
      <c r="F74" s="1092">
        <v>0</v>
      </c>
      <c r="G74" s="1093">
        <f t="shared" si="3"/>
        <v>0</v>
      </c>
    </row>
    <row r="75" spans="2:8">
      <c r="B75" s="188"/>
      <c r="C75" s="716" t="s">
        <v>1854</v>
      </c>
      <c r="D75" s="140" t="s">
        <v>397</v>
      </c>
      <c r="E75" s="719">
        <v>20</v>
      </c>
      <c r="F75" s="1092">
        <v>0</v>
      </c>
      <c r="G75" s="1093">
        <f t="shared" si="3"/>
        <v>0</v>
      </c>
    </row>
    <row r="76" spans="2:8">
      <c r="B76" s="188"/>
      <c r="C76" s="716" t="s">
        <v>1855</v>
      </c>
      <c r="D76" s="140" t="s">
        <v>397</v>
      </c>
      <c r="E76" s="719">
        <v>15</v>
      </c>
      <c r="F76" s="1092">
        <v>0</v>
      </c>
      <c r="G76" s="1093">
        <f t="shared" si="3"/>
        <v>0</v>
      </c>
    </row>
    <row r="77" spans="2:8">
      <c r="B77" s="188"/>
      <c r="C77" s="716" t="s">
        <v>1293</v>
      </c>
      <c r="D77" s="140" t="s">
        <v>60</v>
      </c>
      <c r="E77" s="719">
        <v>1</v>
      </c>
      <c r="F77" s="1092">
        <v>0</v>
      </c>
      <c r="G77" s="1093">
        <f t="shared" si="3"/>
        <v>0</v>
      </c>
    </row>
    <row r="78" spans="2:8" s="1425" customFormat="1">
      <c r="B78" s="188">
        <v>6</v>
      </c>
      <c r="C78" s="159" t="s">
        <v>1856</v>
      </c>
      <c r="D78" s="1420"/>
      <c r="E78" s="1421"/>
      <c r="F78" s="1422"/>
      <c r="G78" s="1423"/>
      <c r="H78" s="1424"/>
    </row>
    <row r="79" spans="2:8" s="1425" customFormat="1" ht="24">
      <c r="B79" s="188"/>
      <c r="C79" s="716" t="s">
        <v>1345</v>
      </c>
      <c r="D79" s="140" t="s">
        <v>397</v>
      </c>
      <c r="E79" s="719">
        <v>8</v>
      </c>
      <c r="F79" s="1092">
        <v>0</v>
      </c>
      <c r="G79" s="1093">
        <f t="shared" ref="G79:G85" si="4">E79*F79</f>
        <v>0</v>
      </c>
      <c r="H79" s="1424"/>
    </row>
    <row r="80" spans="2:8" s="1425" customFormat="1">
      <c r="B80" s="188"/>
      <c r="C80" s="716" t="s">
        <v>1347</v>
      </c>
      <c r="D80" s="140" t="s">
        <v>397</v>
      </c>
      <c r="E80" s="719">
        <v>50</v>
      </c>
      <c r="F80" s="1092">
        <v>0</v>
      </c>
      <c r="G80" s="1093">
        <f t="shared" si="4"/>
        <v>0</v>
      </c>
      <c r="H80" s="1424"/>
    </row>
    <row r="81" spans="2:8" s="1425" customFormat="1">
      <c r="B81" s="188"/>
      <c r="C81" s="716" t="s">
        <v>1348</v>
      </c>
      <c r="D81" s="140" t="s">
        <v>397</v>
      </c>
      <c r="E81" s="719">
        <v>20</v>
      </c>
      <c r="F81" s="1092">
        <v>0</v>
      </c>
      <c r="G81" s="1093">
        <f t="shared" si="4"/>
        <v>0</v>
      </c>
      <c r="H81" s="1424"/>
    </row>
    <row r="82" spans="2:8" s="1425" customFormat="1">
      <c r="B82" s="188"/>
      <c r="C82" s="716" t="s">
        <v>1353</v>
      </c>
      <c r="D82" s="140" t="s">
        <v>252</v>
      </c>
      <c r="E82" s="719">
        <v>1</v>
      </c>
      <c r="F82" s="1092">
        <v>0</v>
      </c>
      <c r="G82" s="1093">
        <f t="shared" si="4"/>
        <v>0</v>
      </c>
      <c r="H82" s="1424"/>
    </row>
    <row r="83" spans="2:8" s="1425" customFormat="1">
      <c r="B83" s="188"/>
      <c r="C83" s="716" t="s">
        <v>1857</v>
      </c>
      <c r="D83" s="140" t="s">
        <v>252</v>
      </c>
      <c r="E83" s="719">
        <v>3</v>
      </c>
      <c r="F83" s="1092">
        <v>0</v>
      </c>
      <c r="G83" s="1093">
        <f t="shared" si="4"/>
        <v>0</v>
      </c>
      <c r="H83" s="1424"/>
    </row>
    <row r="84" spans="2:8" s="1425" customFormat="1">
      <c r="B84" s="188"/>
      <c r="C84" s="716" t="s">
        <v>1858</v>
      </c>
      <c r="D84" s="140" t="s">
        <v>252</v>
      </c>
      <c r="E84" s="719">
        <v>2</v>
      </c>
      <c r="F84" s="1092">
        <v>0</v>
      </c>
      <c r="G84" s="1093">
        <f t="shared" si="4"/>
        <v>0</v>
      </c>
      <c r="H84" s="1424"/>
    </row>
    <row r="85" spans="2:8" s="1425" customFormat="1" ht="24">
      <c r="B85" s="188"/>
      <c r="C85" s="716" t="s">
        <v>1859</v>
      </c>
      <c r="D85" s="140" t="s">
        <v>252</v>
      </c>
      <c r="E85" s="719">
        <v>1</v>
      </c>
      <c r="F85" s="1092">
        <v>0</v>
      </c>
      <c r="G85" s="1093">
        <f t="shared" si="4"/>
        <v>0</v>
      </c>
      <c r="H85" s="1424"/>
    </row>
    <row r="86" spans="2:8">
      <c r="B86" s="188">
        <v>7</v>
      </c>
      <c r="C86" s="159" t="s">
        <v>1860</v>
      </c>
      <c r="D86" s="140"/>
      <c r="E86" s="719"/>
      <c r="F86" s="1092"/>
      <c r="G86" s="1093"/>
    </row>
    <row r="87" spans="2:8">
      <c r="B87" s="188"/>
      <c r="C87" s="126" t="s">
        <v>1325</v>
      </c>
      <c r="D87" s="140" t="s">
        <v>397</v>
      </c>
      <c r="E87" s="719">
        <v>10</v>
      </c>
      <c r="F87" s="1092">
        <v>0</v>
      </c>
      <c r="G87" s="1093">
        <f t="shared" ref="G87:G90" si="5">E87*F87</f>
        <v>0</v>
      </c>
    </row>
    <row r="88" spans="2:8" ht="36">
      <c r="B88" s="188"/>
      <c r="C88" s="126" t="s">
        <v>1326</v>
      </c>
      <c r="D88" s="140" t="s">
        <v>60</v>
      </c>
      <c r="E88" s="719">
        <v>1</v>
      </c>
      <c r="F88" s="1092">
        <v>0</v>
      </c>
      <c r="G88" s="1093">
        <f t="shared" si="5"/>
        <v>0</v>
      </c>
    </row>
    <row r="89" spans="2:8" ht="24">
      <c r="B89" s="188"/>
      <c r="C89" s="126" t="s">
        <v>1327</v>
      </c>
      <c r="D89" s="140" t="s">
        <v>60</v>
      </c>
      <c r="E89" s="719">
        <v>1</v>
      </c>
      <c r="F89" s="1092">
        <v>0</v>
      </c>
      <c r="G89" s="1093">
        <f t="shared" si="5"/>
        <v>0</v>
      </c>
    </row>
    <row r="90" spans="2:8">
      <c r="B90" s="188"/>
      <c r="C90" s="126" t="s">
        <v>1333</v>
      </c>
      <c r="D90" s="140" t="s">
        <v>60</v>
      </c>
      <c r="E90" s="719">
        <v>1</v>
      </c>
      <c r="F90" s="1092">
        <v>0</v>
      </c>
      <c r="G90" s="1093">
        <f t="shared" si="5"/>
        <v>0</v>
      </c>
    </row>
    <row r="91" spans="2:8">
      <c r="B91" s="188">
        <v>8</v>
      </c>
      <c r="C91" s="159" t="s">
        <v>1357</v>
      </c>
      <c r="D91" s="140"/>
      <c r="E91" s="719"/>
      <c r="F91" s="1092"/>
      <c r="G91" s="1093"/>
    </row>
    <row r="92" spans="2:8" ht="48">
      <c r="B92" s="188"/>
      <c r="C92" s="716" t="s">
        <v>1861</v>
      </c>
      <c r="D92" s="1419" t="s">
        <v>60</v>
      </c>
      <c r="E92" s="719">
        <v>1</v>
      </c>
      <c r="F92" s="1092">
        <v>0</v>
      </c>
      <c r="G92" s="1093">
        <f t="shared" ref="G92:G95" si="6">E92*F92</f>
        <v>0</v>
      </c>
    </row>
    <row r="93" spans="2:8" ht="36">
      <c r="B93" s="188"/>
      <c r="C93" s="716" t="s">
        <v>1862</v>
      </c>
      <c r="D93" s="1419" t="s">
        <v>60</v>
      </c>
      <c r="E93" s="719">
        <v>1</v>
      </c>
      <c r="F93" s="1092">
        <v>0</v>
      </c>
      <c r="G93" s="1093">
        <f t="shared" si="6"/>
        <v>0</v>
      </c>
    </row>
    <row r="94" spans="2:8" ht="36">
      <c r="B94" s="188"/>
      <c r="C94" s="716" t="s">
        <v>1863</v>
      </c>
      <c r="D94" s="1419" t="s">
        <v>60</v>
      </c>
      <c r="E94" s="719">
        <v>1</v>
      </c>
      <c r="F94" s="1092">
        <v>0</v>
      </c>
      <c r="G94" s="1093">
        <f t="shared" si="6"/>
        <v>0</v>
      </c>
    </row>
    <row r="95" spans="2:8" ht="36">
      <c r="B95" s="188"/>
      <c r="C95" s="716" t="s">
        <v>1864</v>
      </c>
      <c r="D95" s="1419" t="s">
        <v>60</v>
      </c>
      <c r="E95" s="719">
        <v>1</v>
      </c>
      <c r="F95" s="1092">
        <v>0</v>
      </c>
      <c r="G95" s="1093">
        <f t="shared" si="6"/>
        <v>0</v>
      </c>
    </row>
    <row r="96" spans="2:8" s="179" customFormat="1" ht="23.25" customHeight="1">
      <c r="B96" s="713" t="s">
        <v>914</v>
      </c>
      <c r="C96" s="153" t="s">
        <v>1865</v>
      </c>
      <c r="D96" s="153"/>
      <c r="E96" s="154"/>
      <c r="F96" s="155"/>
      <c r="G96" s="263">
        <f>SUM(G30:G95)</f>
        <v>0</v>
      </c>
      <c r="H96"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E0B7-9EE4-4F85-9477-47AB3E2EF9A5}">
  <sheetPr>
    <tabColor rgb="FFFFFF00"/>
  </sheetPr>
  <dimension ref="A2:L99"/>
  <sheetViews>
    <sheetView showZeros="0" topLeftCell="A7" zoomScale="110" zoomScaleNormal="110" workbookViewId="0">
      <selection activeCell="F90" sqref="F90"/>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1867</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8"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10</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1:12" ht="60">
      <c r="B49" s="188"/>
      <c r="C49" s="716" t="s">
        <v>1834</v>
      </c>
      <c r="D49" s="1419" t="s">
        <v>252</v>
      </c>
      <c r="E49" s="719">
        <v>1</v>
      </c>
      <c r="F49" s="1092">
        <v>0</v>
      </c>
      <c r="G49" s="1093">
        <f t="shared" si="0"/>
        <v>0</v>
      </c>
    </row>
    <row r="50" spans="1:12" s="938" customFormat="1" ht="84">
      <c r="A50" s="1"/>
      <c r="B50" s="188"/>
      <c r="C50" s="716" t="s">
        <v>1835</v>
      </c>
      <c r="D50" s="1419" t="s">
        <v>252</v>
      </c>
      <c r="E50" s="719">
        <v>1</v>
      </c>
      <c r="F50" s="1092">
        <v>0</v>
      </c>
      <c r="G50" s="1093">
        <f t="shared" si="0"/>
        <v>0</v>
      </c>
      <c r="I50" s="1"/>
      <c r="J50" s="1"/>
      <c r="K50" s="1"/>
      <c r="L50" s="1"/>
    </row>
    <row r="51" spans="1:12" s="938" customFormat="1">
      <c r="A51" s="1"/>
      <c r="B51" s="188">
        <v>2</v>
      </c>
      <c r="C51" s="159" t="s">
        <v>1294</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2262</v>
      </c>
      <c r="D53" s="2267" t="s">
        <v>60</v>
      </c>
      <c r="E53" s="2265">
        <v>1</v>
      </c>
      <c r="F53" s="2266">
        <v>0</v>
      </c>
      <c r="G53" s="2254">
        <f t="shared" ref="G53" si="1">E53*F53</f>
        <v>0</v>
      </c>
    </row>
    <row r="54" spans="1:12" s="938" customFormat="1" ht="48">
      <c r="A54" s="1"/>
      <c r="B54" s="188"/>
      <c r="C54" s="716" t="s">
        <v>1836</v>
      </c>
      <c r="D54" s="1419" t="s">
        <v>252</v>
      </c>
      <c r="E54" s="719">
        <v>1</v>
      </c>
      <c r="F54" s="1092">
        <v>0</v>
      </c>
      <c r="G54" s="1093">
        <f t="shared" si="0"/>
        <v>0</v>
      </c>
      <c r="I54" s="1"/>
      <c r="J54" s="1"/>
      <c r="K54" s="1"/>
      <c r="L54" s="1"/>
    </row>
    <row r="55" spans="1:12" s="938" customFormat="1" ht="60">
      <c r="A55" s="1"/>
      <c r="B55" s="188"/>
      <c r="C55" s="716" t="s">
        <v>1837</v>
      </c>
      <c r="D55" s="1419" t="s">
        <v>252</v>
      </c>
      <c r="E55" s="719">
        <v>1</v>
      </c>
      <c r="F55" s="1092">
        <v>0</v>
      </c>
      <c r="G55" s="1093">
        <f t="shared" si="0"/>
        <v>0</v>
      </c>
      <c r="I55" s="1"/>
      <c r="J55" s="1"/>
      <c r="K55" s="1"/>
      <c r="L55" s="1"/>
    </row>
    <row r="56" spans="1:12" s="938" customFormat="1" ht="180">
      <c r="A56" s="1"/>
      <c r="B56" s="188"/>
      <c r="C56" s="716" t="s">
        <v>654</v>
      </c>
      <c r="D56" s="1419" t="s">
        <v>252</v>
      </c>
      <c r="E56" s="719">
        <v>1</v>
      </c>
      <c r="F56" s="1092">
        <v>0</v>
      </c>
      <c r="G56" s="1093">
        <f t="shared" si="0"/>
        <v>0</v>
      </c>
      <c r="I56" s="1"/>
      <c r="J56" s="1"/>
      <c r="K56" s="1"/>
      <c r="L56" s="1"/>
    </row>
    <row r="57" spans="1:12" s="938" customFormat="1" ht="60">
      <c r="A57" s="1"/>
      <c r="B57" s="188"/>
      <c r="C57" s="716" t="s">
        <v>1868</v>
      </c>
      <c r="D57" s="1419" t="s">
        <v>60</v>
      </c>
      <c r="E57" s="719">
        <v>1</v>
      </c>
      <c r="F57" s="1092">
        <v>0</v>
      </c>
      <c r="G57" s="1093">
        <f t="shared" si="0"/>
        <v>0</v>
      </c>
      <c r="I57" s="1"/>
      <c r="J57" s="1"/>
      <c r="K57" s="1"/>
      <c r="L57" s="1"/>
    </row>
    <row r="58" spans="1:12" s="938" customFormat="1" ht="36">
      <c r="A58" s="1"/>
      <c r="B58" s="188"/>
      <c r="C58" s="716" t="s">
        <v>1838</v>
      </c>
      <c r="D58" s="1419" t="s">
        <v>252</v>
      </c>
      <c r="E58" s="719">
        <v>1</v>
      </c>
      <c r="F58" s="1092">
        <v>0</v>
      </c>
      <c r="G58" s="1093">
        <f t="shared" si="0"/>
        <v>0</v>
      </c>
      <c r="I58" s="1"/>
      <c r="J58" s="1"/>
      <c r="K58" s="1"/>
      <c r="L58" s="1"/>
    </row>
    <row r="59" spans="1:12" s="938" customFormat="1" ht="288">
      <c r="A59" s="1"/>
      <c r="B59" s="188"/>
      <c r="C59" s="716" t="s">
        <v>1839</v>
      </c>
      <c r="D59" s="1419" t="s">
        <v>60</v>
      </c>
      <c r="E59" s="719">
        <v>2</v>
      </c>
      <c r="F59" s="1092">
        <v>0</v>
      </c>
      <c r="G59" s="1093">
        <f t="shared" si="0"/>
        <v>0</v>
      </c>
      <c r="I59" s="1"/>
      <c r="J59" s="1"/>
      <c r="K59" s="1"/>
      <c r="L59" s="1"/>
    </row>
    <row r="60" spans="1:12" s="938" customFormat="1">
      <c r="A60" s="1"/>
      <c r="B60" s="188">
        <v>3</v>
      </c>
      <c r="C60" s="159" t="s">
        <v>1840</v>
      </c>
      <c r="D60" s="140"/>
      <c r="E60" s="719"/>
      <c r="F60" s="1092"/>
      <c r="G60" s="1093"/>
      <c r="I60" s="1"/>
      <c r="J60" s="1"/>
      <c r="K60" s="1"/>
      <c r="L60" s="1"/>
    </row>
    <row r="61" spans="1:12" s="938" customFormat="1" ht="276">
      <c r="A61" s="1"/>
      <c r="B61" s="188"/>
      <c r="C61" s="716" t="s">
        <v>1869</v>
      </c>
      <c r="D61" s="140" t="s">
        <v>60</v>
      </c>
      <c r="E61" s="719">
        <v>1</v>
      </c>
      <c r="F61" s="1092">
        <v>0</v>
      </c>
      <c r="G61" s="1093">
        <f t="shared" si="0"/>
        <v>0</v>
      </c>
      <c r="I61" s="1"/>
      <c r="J61" s="1"/>
      <c r="K61" s="1"/>
      <c r="L61" s="1"/>
    </row>
    <row r="62" spans="1:12" s="938" customFormat="1" ht="72">
      <c r="A62" s="1"/>
      <c r="B62" s="188"/>
      <c r="C62" s="716" t="s">
        <v>1842</v>
      </c>
      <c r="D62" s="1419" t="s">
        <v>60</v>
      </c>
      <c r="E62" s="719">
        <v>1</v>
      </c>
      <c r="F62" s="1092">
        <v>0</v>
      </c>
      <c r="G62" s="1093">
        <f t="shared" si="0"/>
        <v>0</v>
      </c>
      <c r="I62" s="1"/>
      <c r="J62" s="1"/>
      <c r="K62" s="1"/>
      <c r="L62" s="1"/>
    </row>
    <row r="63" spans="1:12" s="938" customFormat="1" ht="84">
      <c r="A63" s="1"/>
      <c r="B63" s="188"/>
      <c r="C63" s="716" t="s">
        <v>1843</v>
      </c>
      <c r="D63" s="1419" t="s">
        <v>60</v>
      </c>
      <c r="E63" s="719">
        <v>1</v>
      </c>
      <c r="F63" s="1092">
        <v>0</v>
      </c>
      <c r="G63" s="1093">
        <f t="shared" si="0"/>
        <v>0</v>
      </c>
      <c r="I63" s="1"/>
      <c r="J63" s="1"/>
      <c r="K63" s="1"/>
      <c r="L63" s="1"/>
    </row>
    <row r="64" spans="1:12" s="938" customFormat="1">
      <c r="A64" s="1"/>
      <c r="B64" s="188">
        <v>4</v>
      </c>
      <c r="C64" s="159" t="s">
        <v>1844</v>
      </c>
      <c r="D64" s="140"/>
      <c r="E64" s="719"/>
      <c r="F64" s="1092"/>
      <c r="G64" s="1093"/>
      <c r="I64" s="1"/>
      <c r="J64" s="1"/>
      <c r="K64" s="1"/>
      <c r="L64" s="1"/>
    </row>
    <row r="65" spans="1:12" s="938" customFormat="1" ht="60">
      <c r="A65" s="1"/>
      <c r="B65" s="188"/>
      <c r="C65" s="716" t="s">
        <v>1845</v>
      </c>
      <c r="D65" s="1419" t="s">
        <v>60</v>
      </c>
      <c r="E65" s="719">
        <v>2</v>
      </c>
      <c r="F65" s="1092">
        <v>0</v>
      </c>
      <c r="G65" s="1093">
        <f t="shared" si="0"/>
        <v>0</v>
      </c>
      <c r="I65" s="1"/>
      <c r="J65" s="1"/>
      <c r="K65" s="1"/>
      <c r="L65" s="1"/>
    </row>
    <row r="66" spans="1:12" s="938" customFormat="1" ht="60">
      <c r="A66" s="1"/>
      <c r="B66" s="188"/>
      <c r="C66" s="716" t="s">
        <v>1846</v>
      </c>
      <c r="D66" s="140" t="s">
        <v>60</v>
      </c>
      <c r="E66" s="719">
        <v>2</v>
      </c>
      <c r="F66" s="1092">
        <v>0</v>
      </c>
      <c r="G66" s="1093">
        <f t="shared" si="0"/>
        <v>0</v>
      </c>
      <c r="I66" s="1"/>
      <c r="J66" s="1"/>
      <c r="K66" s="1"/>
      <c r="L66" s="1"/>
    </row>
    <row r="67" spans="1:12" s="938" customFormat="1" ht="36">
      <c r="A67" s="1"/>
      <c r="B67" s="188"/>
      <c r="C67" s="716" t="s">
        <v>1847</v>
      </c>
      <c r="D67" s="1419" t="s">
        <v>252</v>
      </c>
      <c r="E67" s="719">
        <v>1</v>
      </c>
      <c r="F67" s="1092">
        <v>0</v>
      </c>
      <c r="G67" s="1093">
        <f t="shared" si="0"/>
        <v>0</v>
      </c>
      <c r="I67" s="1"/>
      <c r="J67" s="1"/>
      <c r="K67" s="1"/>
      <c r="L67" s="1"/>
    </row>
    <row r="68" spans="1:12" s="938" customFormat="1" ht="132">
      <c r="A68" s="1"/>
      <c r="B68" s="188"/>
      <c r="C68" s="716" t="s">
        <v>1190</v>
      </c>
      <c r="D68" s="1419" t="s">
        <v>252</v>
      </c>
      <c r="E68" s="719">
        <v>1</v>
      </c>
      <c r="F68" s="1092">
        <v>0</v>
      </c>
      <c r="G68" s="1093">
        <f t="shared" si="0"/>
        <v>0</v>
      </c>
      <c r="I68" s="1"/>
      <c r="J68" s="1"/>
      <c r="K68" s="1"/>
      <c r="L68" s="1"/>
    </row>
    <row r="69" spans="1:12" ht="132">
      <c r="B69" s="188"/>
      <c r="C69" s="716" t="s">
        <v>724</v>
      </c>
      <c r="D69" s="1419" t="s">
        <v>252</v>
      </c>
      <c r="E69" s="719">
        <v>1</v>
      </c>
      <c r="F69" s="1092">
        <v>0</v>
      </c>
      <c r="G69" s="1093">
        <f t="shared" si="0"/>
        <v>0</v>
      </c>
    </row>
    <row r="70" spans="1:12">
      <c r="B70" s="188">
        <v>5</v>
      </c>
      <c r="C70" s="159" t="s">
        <v>1849</v>
      </c>
      <c r="D70" s="140"/>
      <c r="E70" s="719"/>
      <c r="F70" s="1092"/>
      <c r="G70" s="1093"/>
    </row>
    <row r="71" spans="1:12">
      <c r="B71" s="188"/>
      <c r="C71" s="716" t="s">
        <v>1870</v>
      </c>
      <c r="D71" s="140" t="s">
        <v>397</v>
      </c>
      <c r="E71" s="719">
        <v>20</v>
      </c>
      <c r="F71" s="1092">
        <v>0</v>
      </c>
      <c r="G71" s="1093">
        <f t="shared" ref="G71:G79" si="2">E71*F71</f>
        <v>0</v>
      </c>
    </row>
    <row r="72" spans="1:12">
      <c r="B72" s="188"/>
      <c r="C72" s="716" t="s">
        <v>1850</v>
      </c>
      <c r="D72" s="140" t="s">
        <v>397</v>
      </c>
      <c r="E72" s="719">
        <v>30</v>
      </c>
      <c r="F72" s="1092">
        <v>0</v>
      </c>
      <c r="G72" s="1093">
        <f t="shared" si="2"/>
        <v>0</v>
      </c>
    </row>
    <row r="73" spans="1:12">
      <c r="B73" s="188"/>
      <c r="C73" s="716" t="s">
        <v>1851</v>
      </c>
      <c r="D73" s="140" t="s">
        <v>397</v>
      </c>
      <c r="E73" s="719">
        <v>100</v>
      </c>
      <c r="F73" s="1092">
        <v>0</v>
      </c>
      <c r="G73" s="1093">
        <f t="shared" si="2"/>
        <v>0</v>
      </c>
    </row>
    <row r="74" spans="1:12">
      <c r="B74" s="188"/>
      <c r="C74" s="716" t="s">
        <v>1852</v>
      </c>
      <c r="D74" s="140" t="s">
        <v>397</v>
      </c>
      <c r="E74" s="719">
        <v>50</v>
      </c>
      <c r="F74" s="1092">
        <v>0</v>
      </c>
      <c r="G74" s="1093">
        <f t="shared" si="2"/>
        <v>0</v>
      </c>
    </row>
    <row r="75" spans="1:12">
      <c r="B75" s="188"/>
      <c r="C75" s="716" t="s">
        <v>1315</v>
      </c>
      <c r="D75" s="140" t="s">
        <v>397</v>
      </c>
      <c r="E75" s="719">
        <v>30</v>
      </c>
      <c r="F75" s="1092">
        <v>0</v>
      </c>
      <c r="G75" s="1093">
        <f t="shared" si="2"/>
        <v>0</v>
      </c>
    </row>
    <row r="76" spans="1:12">
      <c r="B76" s="188"/>
      <c r="C76" s="716" t="s">
        <v>1853</v>
      </c>
      <c r="D76" s="140" t="s">
        <v>252</v>
      </c>
      <c r="E76" s="719">
        <v>2</v>
      </c>
      <c r="F76" s="1092">
        <v>0</v>
      </c>
      <c r="G76" s="1093">
        <f t="shared" si="2"/>
        <v>0</v>
      </c>
    </row>
    <row r="77" spans="1:12">
      <c r="B77" s="188"/>
      <c r="C77" s="716" t="s">
        <v>1854</v>
      </c>
      <c r="D77" s="140" t="s">
        <v>397</v>
      </c>
      <c r="E77" s="719">
        <v>50</v>
      </c>
      <c r="F77" s="1092">
        <v>0</v>
      </c>
      <c r="G77" s="1093">
        <f t="shared" si="2"/>
        <v>0</v>
      </c>
    </row>
    <row r="78" spans="1:12">
      <c r="B78" s="188"/>
      <c r="C78" s="716" t="s">
        <v>1855</v>
      </c>
      <c r="D78" s="140" t="s">
        <v>397</v>
      </c>
      <c r="E78" s="719">
        <v>30</v>
      </c>
      <c r="F78" s="1092">
        <v>0</v>
      </c>
      <c r="G78" s="1093">
        <f t="shared" si="2"/>
        <v>0</v>
      </c>
    </row>
    <row r="79" spans="1:12">
      <c r="B79" s="188"/>
      <c r="C79" s="716" t="s">
        <v>1293</v>
      </c>
      <c r="D79" s="140" t="s">
        <v>60</v>
      </c>
      <c r="E79" s="719">
        <v>1</v>
      </c>
      <c r="F79" s="1092">
        <v>0</v>
      </c>
      <c r="G79" s="1093">
        <f t="shared" si="2"/>
        <v>0</v>
      </c>
    </row>
    <row r="80" spans="1:12" s="1425" customFormat="1">
      <c r="B80" s="188">
        <v>6</v>
      </c>
      <c r="C80" s="159" t="s">
        <v>1856</v>
      </c>
      <c r="D80" s="1420"/>
      <c r="E80" s="1421"/>
      <c r="F80" s="1422"/>
      <c r="G80" s="1423"/>
      <c r="H80" s="1424"/>
    </row>
    <row r="81" spans="2:8" s="1425" customFormat="1" ht="24">
      <c r="B81" s="188"/>
      <c r="C81" s="716" t="s">
        <v>1345</v>
      </c>
      <c r="D81" s="140" t="s">
        <v>397</v>
      </c>
      <c r="E81" s="719">
        <v>20</v>
      </c>
      <c r="F81" s="1092">
        <v>0</v>
      </c>
      <c r="G81" s="1093">
        <f t="shared" ref="G81:G88" si="3">E81*F81</f>
        <v>0</v>
      </c>
      <c r="H81" s="1424"/>
    </row>
    <row r="82" spans="2:8" s="1425" customFormat="1">
      <c r="B82" s="188"/>
      <c r="C82" s="716" t="s">
        <v>1347</v>
      </c>
      <c r="D82" s="140" t="s">
        <v>397</v>
      </c>
      <c r="E82" s="719">
        <v>50</v>
      </c>
      <c r="F82" s="1092">
        <v>0</v>
      </c>
      <c r="G82" s="1093">
        <f t="shared" si="3"/>
        <v>0</v>
      </c>
      <c r="H82" s="1424"/>
    </row>
    <row r="83" spans="2:8" s="1425" customFormat="1">
      <c r="B83" s="188"/>
      <c r="C83" s="716" t="s">
        <v>1348</v>
      </c>
      <c r="D83" s="140" t="s">
        <v>397</v>
      </c>
      <c r="E83" s="719">
        <v>20</v>
      </c>
      <c r="F83" s="1092">
        <v>0</v>
      </c>
      <c r="G83" s="1093">
        <f t="shared" si="3"/>
        <v>0</v>
      </c>
      <c r="H83" s="1424"/>
    </row>
    <row r="84" spans="2:8" s="1425" customFormat="1">
      <c r="B84" s="188"/>
      <c r="C84" s="716" t="s">
        <v>1353</v>
      </c>
      <c r="D84" s="140" t="s">
        <v>252</v>
      </c>
      <c r="E84" s="719">
        <v>2</v>
      </c>
      <c r="F84" s="1092">
        <v>0</v>
      </c>
      <c r="G84" s="1093">
        <f t="shared" si="3"/>
        <v>0</v>
      </c>
      <c r="H84" s="1424"/>
    </row>
    <row r="85" spans="2:8" s="1425" customFormat="1">
      <c r="B85" s="188"/>
      <c r="C85" s="716" t="s">
        <v>1871</v>
      </c>
      <c r="D85" s="140" t="s">
        <v>252</v>
      </c>
      <c r="E85" s="719">
        <v>1</v>
      </c>
      <c r="F85" s="1092">
        <v>0</v>
      </c>
      <c r="G85" s="1093">
        <f t="shared" si="3"/>
        <v>0</v>
      </c>
      <c r="H85" s="1424"/>
    </row>
    <row r="86" spans="2:8" s="1425" customFormat="1">
      <c r="B86" s="188"/>
      <c r="C86" s="716" t="s">
        <v>1857</v>
      </c>
      <c r="D86" s="140" t="s">
        <v>252</v>
      </c>
      <c r="E86" s="719">
        <v>3</v>
      </c>
      <c r="F86" s="1092">
        <v>0</v>
      </c>
      <c r="G86" s="1093">
        <f t="shared" si="3"/>
        <v>0</v>
      </c>
      <c r="H86" s="1424"/>
    </row>
    <row r="87" spans="2:8" s="1425" customFormat="1">
      <c r="B87" s="188"/>
      <c r="C87" s="716" t="s">
        <v>1858</v>
      </c>
      <c r="D87" s="140" t="s">
        <v>252</v>
      </c>
      <c r="E87" s="719">
        <v>2</v>
      </c>
      <c r="F87" s="1092">
        <v>0</v>
      </c>
      <c r="G87" s="1093">
        <f t="shared" si="3"/>
        <v>0</v>
      </c>
      <c r="H87" s="1424"/>
    </row>
    <row r="88" spans="2:8" s="1425" customFormat="1" ht="24">
      <c r="B88" s="188"/>
      <c r="C88" s="716" t="s">
        <v>1859</v>
      </c>
      <c r="D88" s="140" t="s">
        <v>252</v>
      </c>
      <c r="E88" s="719">
        <v>1</v>
      </c>
      <c r="F88" s="1092">
        <v>0</v>
      </c>
      <c r="G88" s="1093">
        <f t="shared" si="3"/>
        <v>0</v>
      </c>
      <c r="H88" s="1424"/>
    </row>
    <row r="89" spans="2:8">
      <c r="B89" s="188">
        <v>7</v>
      </c>
      <c r="C89" s="159" t="s">
        <v>1860</v>
      </c>
      <c r="D89" s="140"/>
      <c r="E89" s="719"/>
      <c r="F89" s="1092"/>
      <c r="G89" s="1093"/>
    </row>
    <row r="90" spans="2:8">
      <c r="B90" s="188"/>
      <c r="C90" s="126" t="s">
        <v>1325</v>
      </c>
      <c r="D90" s="140" t="s">
        <v>397</v>
      </c>
      <c r="E90" s="719">
        <v>40</v>
      </c>
      <c r="F90" s="1092">
        <v>0</v>
      </c>
      <c r="G90" s="1093">
        <f t="shared" ref="G90:G93" si="4">E90*F90</f>
        <v>0</v>
      </c>
    </row>
    <row r="91" spans="2:8" ht="36">
      <c r="B91" s="188"/>
      <c r="C91" s="126" t="s">
        <v>1326</v>
      </c>
      <c r="D91" s="140" t="s">
        <v>60</v>
      </c>
      <c r="E91" s="719">
        <v>2</v>
      </c>
      <c r="F91" s="1092">
        <v>0</v>
      </c>
      <c r="G91" s="1093">
        <f t="shared" si="4"/>
        <v>0</v>
      </c>
    </row>
    <row r="92" spans="2:8" ht="24">
      <c r="B92" s="188"/>
      <c r="C92" s="126" t="s">
        <v>1327</v>
      </c>
      <c r="D92" s="140" t="s">
        <v>60</v>
      </c>
      <c r="E92" s="719">
        <v>1</v>
      </c>
      <c r="F92" s="1092">
        <v>0</v>
      </c>
      <c r="G92" s="1093">
        <f t="shared" si="4"/>
        <v>0</v>
      </c>
    </row>
    <row r="93" spans="2:8">
      <c r="B93" s="188"/>
      <c r="C93" s="126" t="s">
        <v>1333</v>
      </c>
      <c r="D93" s="140" t="s">
        <v>60</v>
      </c>
      <c r="E93" s="719">
        <v>1</v>
      </c>
      <c r="F93" s="1092">
        <v>0</v>
      </c>
      <c r="G93" s="1093">
        <f t="shared" si="4"/>
        <v>0</v>
      </c>
    </row>
    <row r="94" spans="2:8">
      <c r="B94" s="188">
        <v>8</v>
      </c>
      <c r="C94" s="159" t="s">
        <v>1357</v>
      </c>
      <c r="D94" s="140"/>
      <c r="E94" s="719"/>
      <c r="F94" s="1092"/>
      <c r="G94" s="1093"/>
    </row>
    <row r="95" spans="2:8" ht="48">
      <c r="B95" s="188"/>
      <c r="C95" s="716" t="s">
        <v>1872</v>
      </c>
      <c r="D95" s="1419" t="s">
        <v>60</v>
      </c>
      <c r="E95" s="719">
        <v>1</v>
      </c>
      <c r="F95" s="1092">
        <v>0</v>
      </c>
      <c r="G95" s="1093">
        <f t="shared" si="0"/>
        <v>0</v>
      </c>
    </row>
    <row r="96" spans="2:8" ht="36">
      <c r="B96" s="188"/>
      <c r="C96" s="716" t="s">
        <v>1862</v>
      </c>
      <c r="D96" s="140" t="s">
        <v>60</v>
      </c>
      <c r="E96" s="719">
        <v>1</v>
      </c>
      <c r="F96" s="1092">
        <v>0</v>
      </c>
      <c r="G96" s="1093">
        <f t="shared" si="0"/>
        <v>0</v>
      </c>
    </row>
    <row r="97" spans="2:8" ht="36">
      <c r="B97" s="188"/>
      <c r="C97" s="716" t="s">
        <v>1863</v>
      </c>
      <c r="D97" s="1419" t="s">
        <v>60</v>
      </c>
      <c r="E97" s="719">
        <v>1</v>
      </c>
      <c r="F97" s="1092">
        <v>0</v>
      </c>
      <c r="G97" s="1093">
        <f t="shared" si="0"/>
        <v>0</v>
      </c>
    </row>
    <row r="98" spans="2:8" ht="36">
      <c r="B98" s="188"/>
      <c r="C98" s="716" t="s">
        <v>1864</v>
      </c>
      <c r="D98" s="140" t="s">
        <v>60</v>
      </c>
      <c r="E98" s="719">
        <v>1</v>
      </c>
      <c r="F98" s="1092">
        <v>0</v>
      </c>
      <c r="G98" s="1093">
        <f t="shared" si="0"/>
        <v>0</v>
      </c>
    </row>
    <row r="99" spans="2:8" s="179" customFormat="1" ht="23.25" customHeight="1">
      <c r="B99" s="713" t="s">
        <v>914</v>
      </c>
      <c r="C99" s="153" t="s">
        <v>1865</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56BE-4F92-4D23-B31F-760C96EAB491}">
  <sheetPr>
    <tabColor rgb="FFFFFF00"/>
  </sheetPr>
  <dimension ref="A2:L99"/>
  <sheetViews>
    <sheetView showZeros="0" zoomScale="110" zoomScaleNormal="110" workbookViewId="0">
      <selection activeCell="F90" sqref="F90"/>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1873</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8"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10</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1:12" ht="60">
      <c r="B49" s="188"/>
      <c r="C49" s="716" t="s">
        <v>1834</v>
      </c>
      <c r="D49" s="1419" t="s">
        <v>252</v>
      </c>
      <c r="E49" s="719">
        <v>1</v>
      </c>
      <c r="F49" s="1092">
        <v>0</v>
      </c>
      <c r="G49" s="1093">
        <f t="shared" si="0"/>
        <v>0</v>
      </c>
    </row>
    <row r="50" spans="1:12" s="938" customFormat="1" ht="84">
      <c r="A50" s="1"/>
      <c r="B50" s="188"/>
      <c r="C50" s="716" t="s">
        <v>1835</v>
      </c>
      <c r="D50" s="1419" t="s">
        <v>252</v>
      </c>
      <c r="E50" s="719">
        <v>1</v>
      </c>
      <c r="F50" s="1092">
        <v>0</v>
      </c>
      <c r="G50" s="1093">
        <f t="shared" si="0"/>
        <v>0</v>
      </c>
      <c r="I50" s="1"/>
      <c r="J50" s="1"/>
      <c r="K50" s="1"/>
      <c r="L50" s="1"/>
    </row>
    <row r="51" spans="1:12" s="938" customFormat="1">
      <c r="A51" s="1"/>
      <c r="B51" s="188">
        <v>2</v>
      </c>
      <c r="C51" s="159" t="s">
        <v>1294</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2262</v>
      </c>
      <c r="D53" s="2267" t="s">
        <v>60</v>
      </c>
      <c r="E53" s="2265">
        <v>1</v>
      </c>
      <c r="F53" s="2266">
        <v>0</v>
      </c>
      <c r="G53" s="2254">
        <f t="shared" ref="G53" si="1">E53*F53</f>
        <v>0</v>
      </c>
    </row>
    <row r="54" spans="1:12" s="938" customFormat="1" ht="48">
      <c r="A54" s="1"/>
      <c r="B54" s="188"/>
      <c r="C54" s="716" t="s">
        <v>1836</v>
      </c>
      <c r="D54" s="140" t="s">
        <v>252</v>
      </c>
      <c r="E54" s="719">
        <v>1</v>
      </c>
      <c r="F54" s="1092">
        <v>0</v>
      </c>
      <c r="G54" s="1093">
        <f t="shared" si="0"/>
        <v>0</v>
      </c>
      <c r="I54" s="1"/>
      <c r="J54" s="1"/>
      <c r="K54" s="1"/>
      <c r="L54" s="1"/>
    </row>
    <row r="55" spans="1:12" s="938" customFormat="1" ht="60">
      <c r="A55" s="1"/>
      <c r="B55" s="188"/>
      <c r="C55" s="716" t="s">
        <v>1837</v>
      </c>
      <c r="D55" s="1419" t="s">
        <v>252</v>
      </c>
      <c r="E55" s="719">
        <v>1</v>
      </c>
      <c r="F55" s="1092">
        <v>0</v>
      </c>
      <c r="G55" s="1093">
        <f t="shared" si="0"/>
        <v>0</v>
      </c>
      <c r="I55" s="1"/>
      <c r="J55" s="1"/>
      <c r="K55" s="1"/>
      <c r="L55" s="1"/>
    </row>
    <row r="56" spans="1:12" s="938" customFormat="1" ht="180">
      <c r="A56" s="1"/>
      <c r="B56" s="188"/>
      <c r="C56" s="716" t="s">
        <v>654</v>
      </c>
      <c r="D56" s="1419" t="s">
        <v>252</v>
      </c>
      <c r="E56" s="719">
        <v>1</v>
      </c>
      <c r="F56" s="1092">
        <v>0</v>
      </c>
      <c r="G56" s="1093">
        <f t="shared" si="0"/>
        <v>0</v>
      </c>
      <c r="I56" s="1"/>
      <c r="J56" s="1"/>
      <c r="K56" s="1"/>
      <c r="L56" s="1"/>
    </row>
    <row r="57" spans="1:12" s="938" customFormat="1" ht="60">
      <c r="A57" s="1"/>
      <c r="B57" s="188"/>
      <c r="C57" s="716" t="s">
        <v>1868</v>
      </c>
      <c r="D57" s="1419" t="s">
        <v>60</v>
      </c>
      <c r="E57" s="719">
        <v>1</v>
      </c>
      <c r="F57" s="1092">
        <v>0</v>
      </c>
      <c r="G57" s="1093">
        <f t="shared" si="0"/>
        <v>0</v>
      </c>
      <c r="I57" s="1"/>
      <c r="J57" s="1"/>
      <c r="K57" s="1"/>
      <c r="L57" s="1"/>
    </row>
    <row r="58" spans="1:12" s="938" customFormat="1" ht="36">
      <c r="A58" s="1"/>
      <c r="B58" s="188"/>
      <c r="C58" s="716" t="s">
        <v>1838</v>
      </c>
      <c r="D58" s="1419" t="s">
        <v>252</v>
      </c>
      <c r="E58" s="719">
        <v>1</v>
      </c>
      <c r="F58" s="1092">
        <v>0</v>
      </c>
      <c r="G58" s="1093">
        <f t="shared" si="0"/>
        <v>0</v>
      </c>
      <c r="I58" s="1"/>
      <c r="J58" s="1"/>
      <c r="K58" s="1"/>
      <c r="L58" s="1"/>
    </row>
    <row r="59" spans="1:12" s="938" customFormat="1" ht="288">
      <c r="A59" s="1"/>
      <c r="B59" s="188"/>
      <c r="C59" s="716" t="s">
        <v>1839</v>
      </c>
      <c r="D59" s="1419" t="s">
        <v>60</v>
      </c>
      <c r="E59" s="719">
        <v>2</v>
      </c>
      <c r="F59" s="1092">
        <v>0</v>
      </c>
      <c r="G59" s="1093">
        <f t="shared" si="0"/>
        <v>0</v>
      </c>
      <c r="I59" s="1"/>
      <c r="J59" s="1"/>
      <c r="K59" s="1"/>
      <c r="L59" s="1"/>
    </row>
    <row r="60" spans="1:12" s="938" customFormat="1">
      <c r="A60" s="1"/>
      <c r="B60" s="188">
        <v>3</v>
      </c>
      <c r="C60" s="159" t="s">
        <v>1840</v>
      </c>
      <c r="D60" s="140"/>
      <c r="E60" s="719"/>
      <c r="F60" s="1092"/>
      <c r="G60" s="1093"/>
      <c r="I60" s="1"/>
      <c r="J60" s="1"/>
      <c r="K60" s="1"/>
      <c r="L60" s="1"/>
    </row>
    <row r="61" spans="1:12" s="938" customFormat="1" ht="276">
      <c r="A61" s="1"/>
      <c r="B61" s="188"/>
      <c r="C61" s="716" t="s">
        <v>1869</v>
      </c>
      <c r="D61" s="1419" t="s">
        <v>60</v>
      </c>
      <c r="E61" s="719">
        <v>1</v>
      </c>
      <c r="F61" s="1092">
        <v>0</v>
      </c>
      <c r="G61" s="1093">
        <f t="shared" si="0"/>
        <v>0</v>
      </c>
      <c r="I61" s="1"/>
      <c r="J61" s="1"/>
      <c r="K61" s="1"/>
      <c r="L61" s="1"/>
    </row>
    <row r="62" spans="1:12" s="938" customFormat="1" ht="72">
      <c r="A62" s="1"/>
      <c r="B62" s="188"/>
      <c r="C62" s="716" t="s">
        <v>1842</v>
      </c>
      <c r="D62" s="140" t="s">
        <v>60</v>
      </c>
      <c r="E62" s="719">
        <v>1</v>
      </c>
      <c r="F62" s="1092">
        <v>0</v>
      </c>
      <c r="G62" s="1093">
        <f t="shared" si="0"/>
        <v>0</v>
      </c>
      <c r="I62" s="1"/>
      <c r="J62" s="1"/>
      <c r="K62" s="1"/>
      <c r="L62" s="1"/>
    </row>
    <row r="63" spans="1:12" s="938" customFormat="1" ht="84">
      <c r="A63" s="1"/>
      <c r="B63" s="188"/>
      <c r="C63" s="716" t="s">
        <v>1843</v>
      </c>
      <c r="D63" s="140" t="s">
        <v>60</v>
      </c>
      <c r="E63" s="719">
        <v>1</v>
      </c>
      <c r="F63" s="1092">
        <v>0</v>
      </c>
      <c r="G63" s="1093">
        <f t="shared" si="0"/>
        <v>0</v>
      </c>
      <c r="I63" s="1"/>
      <c r="J63" s="1"/>
      <c r="K63" s="1"/>
      <c r="L63" s="1"/>
    </row>
    <row r="64" spans="1:12" s="938" customFormat="1">
      <c r="A64" s="1"/>
      <c r="B64" s="188">
        <v>4</v>
      </c>
      <c r="C64" s="159" t="s">
        <v>1844</v>
      </c>
      <c r="D64" s="140"/>
      <c r="E64" s="719"/>
      <c r="F64" s="1092"/>
      <c r="G64" s="1093"/>
      <c r="I64" s="1"/>
      <c r="J64" s="1"/>
      <c r="K64" s="1"/>
      <c r="L64" s="1"/>
    </row>
    <row r="65" spans="1:12" s="938" customFormat="1" ht="60">
      <c r="A65" s="1"/>
      <c r="B65" s="188"/>
      <c r="C65" s="716" t="s">
        <v>1845</v>
      </c>
      <c r="D65" s="1419" t="s">
        <v>60</v>
      </c>
      <c r="E65" s="719">
        <v>2</v>
      </c>
      <c r="F65" s="1092">
        <v>0</v>
      </c>
      <c r="G65" s="1093">
        <f t="shared" si="0"/>
        <v>0</v>
      </c>
      <c r="I65" s="1"/>
      <c r="J65" s="1"/>
      <c r="K65" s="1"/>
      <c r="L65" s="1"/>
    </row>
    <row r="66" spans="1:12" s="938" customFormat="1" ht="60">
      <c r="A66" s="1"/>
      <c r="B66" s="188"/>
      <c r="C66" s="716" t="s">
        <v>1846</v>
      </c>
      <c r="D66" s="1419" t="s">
        <v>60</v>
      </c>
      <c r="E66" s="719">
        <v>2</v>
      </c>
      <c r="F66" s="1092">
        <v>0</v>
      </c>
      <c r="G66" s="1093">
        <f t="shared" si="0"/>
        <v>0</v>
      </c>
      <c r="I66" s="1"/>
      <c r="J66" s="1"/>
      <c r="K66" s="1"/>
      <c r="L66" s="1"/>
    </row>
    <row r="67" spans="1:12" s="938" customFormat="1" ht="36">
      <c r="A67" s="1"/>
      <c r="B67" s="188"/>
      <c r="C67" s="716" t="s">
        <v>1847</v>
      </c>
      <c r="D67" s="1419" t="s">
        <v>252</v>
      </c>
      <c r="E67" s="719">
        <v>1</v>
      </c>
      <c r="F67" s="1092">
        <v>0</v>
      </c>
      <c r="G67" s="1093">
        <f t="shared" si="0"/>
        <v>0</v>
      </c>
      <c r="I67" s="1"/>
      <c r="J67" s="1"/>
      <c r="K67" s="1"/>
      <c r="L67" s="1"/>
    </row>
    <row r="68" spans="1:12" s="938" customFormat="1" ht="132">
      <c r="A68" s="1"/>
      <c r="B68" s="188"/>
      <c r="C68" s="716" t="s">
        <v>1190</v>
      </c>
      <c r="D68" s="140" t="s">
        <v>252</v>
      </c>
      <c r="E68" s="719">
        <v>1</v>
      </c>
      <c r="F68" s="1092">
        <v>0</v>
      </c>
      <c r="G68" s="1093">
        <f t="shared" si="0"/>
        <v>0</v>
      </c>
      <c r="I68" s="1"/>
      <c r="J68" s="1"/>
      <c r="K68" s="1"/>
      <c r="L68" s="1"/>
    </row>
    <row r="69" spans="1:12" s="938" customFormat="1" ht="132">
      <c r="A69" s="1"/>
      <c r="B69" s="188"/>
      <c r="C69" s="716" t="s">
        <v>724</v>
      </c>
      <c r="D69" s="1419" t="s">
        <v>252</v>
      </c>
      <c r="E69" s="719">
        <v>1</v>
      </c>
      <c r="F69" s="1092">
        <v>0</v>
      </c>
      <c r="G69" s="1093">
        <f t="shared" si="0"/>
        <v>0</v>
      </c>
      <c r="I69" s="1"/>
      <c r="J69" s="1"/>
      <c r="K69" s="1"/>
      <c r="L69" s="1"/>
    </row>
    <row r="70" spans="1:12" s="938" customFormat="1">
      <c r="A70" s="1"/>
      <c r="B70" s="188">
        <v>5</v>
      </c>
      <c r="C70" s="159" t="s">
        <v>1849</v>
      </c>
      <c r="D70" s="140"/>
      <c r="E70" s="719"/>
      <c r="F70" s="1092"/>
      <c r="G70" s="1093"/>
      <c r="I70" s="1"/>
      <c r="J70" s="1"/>
      <c r="K70" s="1"/>
      <c r="L70" s="1"/>
    </row>
    <row r="71" spans="1:12" s="938" customFormat="1">
      <c r="A71" s="1"/>
      <c r="B71" s="188"/>
      <c r="C71" s="716" t="s">
        <v>1870</v>
      </c>
      <c r="D71" s="140" t="s">
        <v>397</v>
      </c>
      <c r="E71" s="719">
        <v>20</v>
      </c>
      <c r="F71" s="1092">
        <v>0</v>
      </c>
      <c r="G71" s="1093">
        <f t="shared" ref="G71:G79" si="2">E71*F71</f>
        <v>0</v>
      </c>
      <c r="I71" s="1"/>
      <c r="J71" s="1"/>
      <c r="K71" s="1"/>
      <c r="L71" s="1"/>
    </row>
    <row r="72" spans="1:12" s="938" customFormat="1">
      <c r="A72" s="1"/>
      <c r="B72" s="188"/>
      <c r="C72" s="716" t="s">
        <v>1850</v>
      </c>
      <c r="D72" s="140" t="s">
        <v>397</v>
      </c>
      <c r="E72" s="719">
        <v>30</v>
      </c>
      <c r="F72" s="1092">
        <v>0</v>
      </c>
      <c r="G72" s="1093">
        <f t="shared" si="2"/>
        <v>0</v>
      </c>
      <c r="I72" s="1"/>
      <c r="J72" s="1"/>
      <c r="K72" s="1"/>
      <c r="L72" s="1"/>
    </row>
    <row r="73" spans="1:12" s="938" customFormat="1">
      <c r="A73" s="1"/>
      <c r="B73" s="188"/>
      <c r="C73" s="716" t="s">
        <v>1851</v>
      </c>
      <c r="D73" s="140" t="s">
        <v>397</v>
      </c>
      <c r="E73" s="719">
        <v>100</v>
      </c>
      <c r="F73" s="1092">
        <v>0</v>
      </c>
      <c r="G73" s="1093">
        <f t="shared" si="2"/>
        <v>0</v>
      </c>
      <c r="I73" s="1"/>
      <c r="J73" s="1"/>
      <c r="K73" s="1"/>
      <c r="L73" s="1"/>
    </row>
    <row r="74" spans="1:12" s="938" customFormat="1">
      <c r="A74" s="1"/>
      <c r="B74" s="188"/>
      <c r="C74" s="716" t="s">
        <v>1852</v>
      </c>
      <c r="D74" s="140" t="s">
        <v>397</v>
      </c>
      <c r="E74" s="719">
        <v>50</v>
      </c>
      <c r="F74" s="1092">
        <v>0</v>
      </c>
      <c r="G74" s="1093">
        <f t="shared" si="2"/>
        <v>0</v>
      </c>
      <c r="I74" s="1"/>
      <c r="J74" s="1"/>
      <c r="K74" s="1"/>
      <c r="L74" s="1"/>
    </row>
    <row r="75" spans="1:12" s="938" customFormat="1">
      <c r="A75" s="1"/>
      <c r="B75" s="188"/>
      <c r="C75" s="716" t="s">
        <v>1315</v>
      </c>
      <c r="D75" s="140" t="s">
        <v>397</v>
      </c>
      <c r="E75" s="719">
        <v>30</v>
      </c>
      <c r="F75" s="1092">
        <v>0</v>
      </c>
      <c r="G75" s="1093">
        <f t="shared" si="2"/>
        <v>0</v>
      </c>
      <c r="I75" s="1"/>
      <c r="J75" s="1"/>
      <c r="K75" s="1"/>
      <c r="L75" s="1"/>
    </row>
    <row r="76" spans="1:12" s="938" customFormat="1">
      <c r="A76" s="1"/>
      <c r="B76" s="188"/>
      <c r="C76" s="716" t="s">
        <v>1853</v>
      </c>
      <c r="D76" s="140" t="s">
        <v>252</v>
      </c>
      <c r="E76" s="719">
        <v>2</v>
      </c>
      <c r="F76" s="1092">
        <v>0</v>
      </c>
      <c r="G76" s="1093">
        <f t="shared" si="2"/>
        <v>0</v>
      </c>
      <c r="I76" s="1"/>
      <c r="J76" s="1"/>
      <c r="K76" s="1"/>
      <c r="L76" s="1"/>
    </row>
    <row r="77" spans="1:12" s="938" customFormat="1">
      <c r="A77" s="1"/>
      <c r="B77" s="188"/>
      <c r="C77" s="716" t="s">
        <v>1854</v>
      </c>
      <c r="D77" s="140" t="s">
        <v>397</v>
      </c>
      <c r="E77" s="719">
        <v>50</v>
      </c>
      <c r="F77" s="1092">
        <v>0</v>
      </c>
      <c r="G77" s="1093">
        <f t="shared" si="2"/>
        <v>0</v>
      </c>
      <c r="I77" s="1"/>
      <c r="J77" s="1"/>
      <c r="K77" s="1"/>
      <c r="L77" s="1"/>
    </row>
    <row r="78" spans="1:12" s="938" customFormat="1">
      <c r="A78" s="1"/>
      <c r="B78" s="188"/>
      <c r="C78" s="716" t="s">
        <v>1855</v>
      </c>
      <c r="D78" s="140" t="s">
        <v>397</v>
      </c>
      <c r="E78" s="719">
        <v>30</v>
      </c>
      <c r="F78" s="1092">
        <v>0</v>
      </c>
      <c r="G78" s="1093">
        <f t="shared" si="2"/>
        <v>0</v>
      </c>
      <c r="I78" s="1"/>
      <c r="J78" s="1"/>
      <c r="K78" s="1"/>
      <c r="L78" s="1"/>
    </row>
    <row r="79" spans="1:12" s="938" customFormat="1">
      <c r="A79" s="1"/>
      <c r="B79" s="188"/>
      <c r="C79" s="716" t="s">
        <v>1293</v>
      </c>
      <c r="D79" s="140" t="s">
        <v>60</v>
      </c>
      <c r="E79" s="719">
        <v>1</v>
      </c>
      <c r="F79" s="1092">
        <v>0</v>
      </c>
      <c r="G79" s="1093">
        <f t="shared" si="2"/>
        <v>0</v>
      </c>
      <c r="I79" s="1"/>
      <c r="J79" s="1"/>
      <c r="K79" s="1"/>
      <c r="L79" s="1"/>
    </row>
    <row r="80" spans="1:12" s="1424" customFormat="1">
      <c r="A80" s="1425"/>
      <c r="B80" s="188">
        <v>6</v>
      </c>
      <c r="C80" s="159" t="s">
        <v>1856</v>
      </c>
      <c r="D80" s="1420"/>
      <c r="E80" s="1421"/>
      <c r="F80" s="1422"/>
      <c r="G80" s="1423"/>
      <c r="I80" s="1425"/>
      <c r="J80" s="1425"/>
      <c r="K80" s="1425"/>
      <c r="L80" s="1425"/>
    </row>
    <row r="81" spans="1:12" s="1424" customFormat="1" ht="24">
      <c r="A81" s="1425"/>
      <c r="B81" s="188"/>
      <c r="C81" s="716" t="s">
        <v>1345</v>
      </c>
      <c r="D81" s="140" t="s">
        <v>397</v>
      </c>
      <c r="E81" s="719">
        <v>20</v>
      </c>
      <c r="F81" s="1092">
        <v>0</v>
      </c>
      <c r="G81" s="1093">
        <f t="shared" ref="G81:G88" si="3">E81*F81</f>
        <v>0</v>
      </c>
      <c r="I81" s="1425"/>
      <c r="J81" s="1425"/>
      <c r="K81" s="1425"/>
      <c r="L81" s="1425"/>
    </row>
    <row r="82" spans="1:12" s="1424" customFormat="1">
      <c r="A82" s="1425"/>
      <c r="B82" s="188"/>
      <c r="C82" s="716" t="s">
        <v>1347</v>
      </c>
      <c r="D82" s="140" t="s">
        <v>397</v>
      </c>
      <c r="E82" s="719">
        <v>50</v>
      </c>
      <c r="F82" s="1092">
        <v>0</v>
      </c>
      <c r="G82" s="1093">
        <f t="shared" si="3"/>
        <v>0</v>
      </c>
      <c r="I82" s="1425"/>
      <c r="J82" s="1425"/>
      <c r="K82" s="1425"/>
      <c r="L82" s="1425"/>
    </row>
    <row r="83" spans="1:12" s="1424" customFormat="1">
      <c r="A83" s="1425"/>
      <c r="B83" s="188"/>
      <c r="C83" s="716" t="s">
        <v>1348</v>
      </c>
      <c r="D83" s="140" t="s">
        <v>397</v>
      </c>
      <c r="E83" s="719">
        <v>20</v>
      </c>
      <c r="F83" s="1092">
        <v>0</v>
      </c>
      <c r="G83" s="1093">
        <f t="shared" si="3"/>
        <v>0</v>
      </c>
      <c r="I83" s="1425"/>
      <c r="J83" s="1425"/>
      <c r="K83" s="1425"/>
      <c r="L83" s="1425"/>
    </row>
    <row r="84" spans="1:12" s="1424" customFormat="1">
      <c r="A84" s="1425"/>
      <c r="B84" s="188"/>
      <c r="C84" s="716" t="s">
        <v>1353</v>
      </c>
      <c r="D84" s="140" t="s">
        <v>252</v>
      </c>
      <c r="E84" s="719">
        <v>2</v>
      </c>
      <c r="F84" s="1092">
        <v>0</v>
      </c>
      <c r="G84" s="1093">
        <f t="shared" si="3"/>
        <v>0</v>
      </c>
      <c r="I84" s="1425"/>
      <c r="J84" s="1425"/>
      <c r="K84" s="1425"/>
      <c r="L84" s="1425"/>
    </row>
    <row r="85" spans="1:12" s="1424" customFormat="1">
      <c r="A85" s="1425"/>
      <c r="B85" s="188"/>
      <c r="C85" s="716" t="s">
        <v>1871</v>
      </c>
      <c r="D85" s="140" t="s">
        <v>252</v>
      </c>
      <c r="E85" s="719">
        <v>1</v>
      </c>
      <c r="F85" s="1092">
        <v>0</v>
      </c>
      <c r="G85" s="1093">
        <f t="shared" si="3"/>
        <v>0</v>
      </c>
      <c r="I85" s="1425"/>
      <c r="J85" s="1425"/>
      <c r="K85" s="1425"/>
      <c r="L85" s="1425"/>
    </row>
    <row r="86" spans="1:12" s="1424" customFormat="1">
      <c r="A86" s="1425"/>
      <c r="B86" s="188"/>
      <c r="C86" s="716" t="s">
        <v>1857</v>
      </c>
      <c r="D86" s="140" t="s">
        <v>252</v>
      </c>
      <c r="E86" s="719">
        <v>3</v>
      </c>
      <c r="F86" s="1092">
        <v>0</v>
      </c>
      <c r="G86" s="1093">
        <f t="shared" si="3"/>
        <v>0</v>
      </c>
      <c r="I86" s="1425"/>
      <c r="J86" s="1425"/>
      <c r="K86" s="1425"/>
      <c r="L86" s="1425"/>
    </row>
    <row r="87" spans="1:12" s="1424" customFormat="1">
      <c r="A87" s="1425"/>
      <c r="B87" s="188"/>
      <c r="C87" s="716" t="s">
        <v>1858</v>
      </c>
      <c r="D87" s="140" t="s">
        <v>252</v>
      </c>
      <c r="E87" s="719">
        <v>2</v>
      </c>
      <c r="F87" s="1092">
        <v>0</v>
      </c>
      <c r="G87" s="1093">
        <f t="shared" si="3"/>
        <v>0</v>
      </c>
      <c r="I87" s="1425"/>
      <c r="J87" s="1425"/>
      <c r="K87" s="1425"/>
      <c r="L87" s="1425"/>
    </row>
    <row r="88" spans="1:12" s="1424" customFormat="1" ht="24">
      <c r="A88" s="1425"/>
      <c r="B88" s="188"/>
      <c r="C88" s="716" t="s">
        <v>1859</v>
      </c>
      <c r="D88" s="140" t="s">
        <v>252</v>
      </c>
      <c r="E88" s="719">
        <v>1</v>
      </c>
      <c r="F88" s="1092">
        <v>0</v>
      </c>
      <c r="G88" s="1093">
        <f t="shared" si="3"/>
        <v>0</v>
      </c>
      <c r="I88" s="1425"/>
      <c r="J88" s="1425"/>
      <c r="K88" s="1425"/>
      <c r="L88" s="1425"/>
    </row>
    <row r="89" spans="1:12" s="938" customFormat="1">
      <c r="A89" s="1"/>
      <c r="B89" s="188">
        <v>7</v>
      </c>
      <c r="C89" s="159" t="s">
        <v>1860</v>
      </c>
      <c r="D89" s="140"/>
      <c r="E89" s="719"/>
      <c r="F89" s="1092"/>
      <c r="G89" s="1093"/>
      <c r="I89" s="1"/>
      <c r="J89" s="1"/>
      <c r="K89" s="1"/>
      <c r="L89" s="1"/>
    </row>
    <row r="90" spans="1:12" s="938" customFormat="1">
      <c r="A90" s="1"/>
      <c r="B90" s="188"/>
      <c r="C90" s="126" t="s">
        <v>1325</v>
      </c>
      <c r="D90" s="140" t="s">
        <v>397</v>
      </c>
      <c r="E90" s="719">
        <v>40</v>
      </c>
      <c r="F90" s="1092">
        <v>0</v>
      </c>
      <c r="G90" s="1093">
        <f t="shared" ref="G90:G93" si="4">E90*F90</f>
        <v>0</v>
      </c>
      <c r="I90" s="1"/>
      <c r="J90" s="1"/>
      <c r="K90" s="1"/>
      <c r="L90" s="1"/>
    </row>
    <row r="91" spans="1:12" s="938" customFormat="1" ht="36">
      <c r="A91" s="1"/>
      <c r="B91" s="188"/>
      <c r="C91" s="126" t="s">
        <v>1326</v>
      </c>
      <c r="D91" s="140" t="s">
        <v>60</v>
      </c>
      <c r="E91" s="719">
        <v>2</v>
      </c>
      <c r="F91" s="1092">
        <v>0</v>
      </c>
      <c r="G91" s="1093">
        <f t="shared" si="4"/>
        <v>0</v>
      </c>
      <c r="I91" s="1"/>
      <c r="J91" s="1"/>
      <c r="K91" s="1"/>
      <c r="L91" s="1"/>
    </row>
    <row r="92" spans="1:12" s="938" customFormat="1" ht="24">
      <c r="A92" s="1"/>
      <c r="B92" s="188"/>
      <c r="C92" s="126" t="s">
        <v>1327</v>
      </c>
      <c r="D92" s="140" t="s">
        <v>60</v>
      </c>
      <c r="E92" s="719">
        <v>1</v>
      </c>
      <c r="F92" s="1092">
        <v>0</v>
      </c>
      <c r="G92" s="1093">
        <f t="shared" si="4"/>
        <v>0</v>
      </c>
      <c r="I92" s="1"/>
      <c r="J92" s="1"/>
      <c r="K92" s="1"/>
      <c r="L92" s="1"/>
    </row>
    <row r="93" spans="1:12" s="938" customFormat="1">
      <c r="A93" s="1"/>
      <c r="B93" s="188"/>
      <c r="C93" s="126" t="s">
        <v>1333</v>
      </c>
      <c r="D93" s="140" t="s">
        <v>60</v>
      </c>
      <c r="E93" s="719">
        <v>1</v>
      </c>
      <c r="F93" s="1092">
        <v>0</v>
      </c>
      <c r="G93" s="1093">
        <f t="shared" si="4"/>
        <v>0</v>
      </c>
      <c r="I93" s="1"/>
      <c r="J93" s="1"/>
      <c r="K93" s="1"/>
      <c r="L93" s="1"/>
    </row>
    <row r="94" spans="1:12" s="938" customFormat="1">
      <c r="A94" s="1"/>
      <c r="B94" s="188">
        <v>8</v>
      </c>
      <c r="C94" s="159" t="s">
        <v>1357</v>
      </c>
      <c r="D94" s="140"/>
      <c r="E94" s="719"/>
      <c r="F94" s="1092"/>
      <c r="G94" s="1093"/>
      <c r="I94" s="1"/>
      <c r="J94" s="1"/>
      <c r="K94" s="1"/>
      <c r="L94" s="1"/>
    </row>
    <row r="95" spans="1:12" ht="48">
      <c r="B95" s="188"/>
      <c r="C95" s="716" t="s">
        <v>1872</v>
      </c>
      <c r="D95" s="1419" t="s">
        <v>60</v>
      </c>
      <c r="E95" s="719">
        <v>1</v>
      </c>
      <c r="F95" s="1092">
        <v>0</v>
      </c>
      <c r="G95" s="1093">
        <f t="shared" si="0"/>
        <v>0</v>
      </c>
    </row>
    <row r="96" spans="1:12" ht="36">
      <c r="B96" s="188"/>
      <c r="C96" s="716" t="s">
        <v>1862</v>
      </c>
      <c r="D96" s="140" t="s">
        <v>60</v>
      </c>
      <c r="E96" s="719">
        <v>1</v>
      </c>
      <c r="F96" s="1092">
        <v>0</v>
      </c>
      <c r="G96" s="1093">
        <f t="shared" si="0"/>
        <v>0</v>
      </c>
    </row>
    <row r="97" spans="2:8" ht="36">
      <c r="B97" s="188"/>
      <c r="C97" s="716" t="s">
        <v>1863</v>
      </c>
      <c r="D97" s="1419" t="s">
        <v>60</v>
      </c>
      <c r="E97" s="719">
        <v>1</v>
      </c>
      <c r="F97" s="1092">
        <v>0</v>
      </c>
      <c r="G97" s="1093">
        <f t="shared" si="0"/>
        <v>0</v>
      </c>
    </row>
    <row r="98" spans="2:8" ht="36">
      <c r="B98" s="188"/>
      <c r="C98" s="716" t="s">
        <v>1864</v>
      </c>
      <c r="D98" s="140" t="s">
        <v>60</v>
      </c>
      <c r="E98" s="719">
        <v>1</v>
      </c>
      <c r="F98" s="1092">
        <v>0</v>
      </c>
      <c r="G98" s="1093">
        <f t="shared" si="0"/>
        <v>0</v>
      </c>
    </row>
    <row r="99" spans="2:8" s="179" customFormat="1" ht="23.25" customHeight="1">
      <c r="B99" s="713" t="s">
        <v>914</v>
      </c>
      <c r="C99" s="153" t="s">
        <v>1865</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6B9D-B82C-4A6B-9801-FE305E65F987}">
  <sheetPr>
    <tabColor rgb="FFFFFF00"/>
  </sheetPr>
  <dimension ref="A2:L96"/>
  <sheetViews>
    <sheetView showZeros="0" topLeftCell="A25" zoomScale="110" zoomScaleNormal="110" workbookViewId="0">
      <selection activeCell="C33" sqref="C33"/>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1874</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G96</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5"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10</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1:12" ht="60">
      <c r="B49" s="188"/>
      <c r="C49" s="716" t="s">
        <v>1834</v>
      </c>
      <c r="D49" s="1419" t="s">
        <v>252</v>
      </c>
      <c r="E49" s="719">
        <v>1</v>
      </c>
      <c r="F49" s="1092">
        <v>0</v>
      </c>
      <c r="G49" s="1093">
        <f t="shared" si="0"/>
        <v>0</v>
      </c>
    </row>
    <row r="50" spans="1:12" s="938" customFormat="1" ht="84">
      <c r="A50" s="1"/>
      <c r="B50" s="188"/>
      <c r="C50" s="716" t="s">
        <v>1835</v>
      </c>
      <c r="D50" s="1419" t="s">
        <v>252</v>
      </c>
      <c r="E50" s="719">
        <v>1</v>
      </c>
      <c r="F50" s="1092">
        <v>0</v>
      </c>
      <c r="G50" s="1093">
        <f t="shared" si="0"/>
        <v>0</v>
      </c>
      <c r="I50" s="1"/>
      <c r="J50" s="1"/>
      <c r="K50" s="1"/>
      <c r="L50" s="1"/>
    </row>
    <row r="51" spans="1:12" s="938" customFormat="1">
      <c r="A51" s="1"/>
      <c r="B51" s="188">
        <v>2</v>
      </c>
      <c r="C51" s="159" t="s">
        <v>1294</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2262</v>
      </c>
      <c r="D53" s="2267" t="s">
        <v>60</v>
      </c>
      <c r="E53" s="2265">
        <v>1</v>
      </c>
      <c r="F53" s="2266">
        <v>0</v>
      </c>
      <c r="G53" s="2254">
        <f t="shared" ref="G53" si="1">E53*F53</f>
        <v>0</v>
      </c>
    </row>
    <row r="54" spans="1:12" s="938" customFormat="1" ht="48">
      <c r="A54" s="1"/>
      <c r="B54" s="188"/>
      <c r="C54" s="716" t="s">
        <v>1836</v>
      </c>
      <c r="D54" s="140" t="s">
        <v>252</v>
      </c>
      <c r="E54" s="719">
        <v>1</v>
      </c>
      <c r="F54" s="1092">
        <v>0</v>
      </c>
      <c r="G54" s="1093">
        <f t="shared" si="0"/>
        <v>0</v>
      </c>
      <c r="I54" s="1"/>
      <c r="J54" s="1"/>
      <c r="K54" s="1"/>
      <c r="L54" s="1"/>
    </row>
    <row r="55" spans="1:12" s="938" customFormat="1" ht="60">
      <c r="A55" s="1"/>
      <c r="B55" s="188"/>
      <c r="C55" s="716" t="s">
        <v>1837</v>
      </c>
      <c r="D55" s="140" t="s">
        <v>252</v>
      </c>
      <c r="E55" s="719">
        <v>1</v>
      </c>
      <c r="F55" s="1092">
        <v>0</v>
      </c>
      <c r="G55" s="1093">
        <f t="shared" si="0"/>
        <v>0</v>
      </c>
      <c r="I55" s="1"/>
      <c r="J55" s="1"/>
      <c r="K55" s="1"/>
      <c r="L55" s="1"/>
    </row>
    <row r="56" spans="1:12" s="938" customFormat="1" ht="180">
      <c r="A56" s="1"/>
      <c r="B56" s="188"/>
      <c r="C56" s="716" t="s">
        <v>654</v>
      </c>
      <c r="D56" s="140" t="s">
        <v>252</v>
      </c>
      <c r="E56" s="719">
        <v>1</v>
      </c>
      <c r="F56" s="1092">
        <v>0</v>
      </c>
      <c r="G56" s="1093">
        <f t="shared" si="0"/>
        <v>0</v>
      </c>
      <c r="I56" s="1"/>
      <c r="J56" s="1"/>
      <c r="K56" s="1"/>
      <c r="L56" s="1"/>
    </row>
    <row r="57" spans="1:12" s="938" customFormat="1" ht="60">
      <c r="A57" s="1"/>
      <c r="B57" s="188"/>
      <c r="C57" s="716" t="s">
        <v>655</v>
      </c>
      <c r="D57" s="1419" t="s">
        <v>60</v>
      </c>
      <c r="E57" s="719">
        <v>1</v>
      </c>
      <c r="F57" s="1092">
        <v>0</v>
      </c>
      <c r="G57" s="1093">
        <f t="shared" si="0"/>
        <v>0</v>
      </c>
      <c r="I57" s="1"/>
      <c r="J57" s="1"/>
      <c r="K57" s="1"/>
      <c r="L57" s="1"/>
    </row>
    <row r="58" spans="1:12" s="938" customFormat="1" ht="36">
      <c r="A58" s="1"/>
      <c r="B58" s="188"/>
      <c r="C58" s="716" t="s">
        <v>1838</v>
      </c>
      <c r="D58" s="1419" t="s">
        <v>252</v>
      </c>
      <c r="E58" s="719">
        <v>1</v>
      </c>
      <c r="F58" s="1092">
        <v>0</v>
      </c>
      <c r="G58" s="1093">
        <f t="shared" si="0"/>
        <v>0</v>
      </c>
      <c r="I58" s="1"/>
      <c r="J58" s="1"/>
      <c r="K58" s="1"/>
      <c r="L58" s="1"/>
    </row>
    <row r="59" spans="1:12" s="938" customFormat="1" ht="288">
      <c r="A59" s="1"/>
      <c r="B59" s="188"/>
      <c r="C59" s="716" t="s">
        <v>1839</v>
      </c>
      <c r="D59" s="1419" t="s">
        <v>60</v>
      </c>
      <c r="E59" s="719">
        <v>2</v>
      </c>
      <c r="F59" s="1092">
        <v>0</v>
      </c>
      <c r="G59" s="1093">
        <f t="shared" si="0"/>
        <v>0</v>
      </c>
      <c r="I59" s="1"/>
      <c r="J59" s="1"/>
      <c r="K59" s="1"/>
      <c r="L59" s="1"/>
    </row>
    <row r="60" spans="1:12" s="938" customFormat="1">
      <c r="A60" s="1"/>
      <c r="B60" s="188">
        <v>3</v>
      </c>
      <c r="C60" s="159" t="s">
        <v>1840</v>
      </c>
      <c r="D60" s="140"/>
      <c r="E60" s="719"/>
      <c r="F60" s="1092"/>
      <c r="G60" s="1093"/>
      <c r="I60" s="1"/>
      <c r="J60" s="1"/>
      <c r="K60" s="1"/>
      <c r="L60" s="1"/>
    </row>
    <row r="61" spans="1:12" s="938" customFormat="1" ht="276">
      <c r="A61" s="1"/>
      <c r="B61" s="188"/>
      <c r="C61" s="716" t="s">
        <v>1869</v>
      </c>
      <c r="D61" s="1419" t="s">
        <v>60</v>
      </c>
      <c r="E61" s="719">
        <v>1</v>
      </c>
      <c r="F61" s="1092">
        <v>0</v>
      </c>
      <c r="G61" s="1093">
        <f t="shared" si="0"/>
        <v>0</v>
      </c>
      <c r="I61" s="1"/>
      <c r="J61" s="1"/>
      <c r="K61" s="1"/>
      <c r="L61" s="1"/>
    </row>
    <row r="62" spans="1:12" s="938" customFormat="1" ht="72">
      <c r="A62" s="1"/>
      <c r="B62" s="188"/>
      <c r="C62" s="716" t="s">
        <v>1842</v>
      </c>
      <c r="D62" s="1419" t="s">
        <v>60</v>
      </c>
      <c r="E62" s="719">
        <v>1</v>
      </c>
      <c r="F62" s="1092">
        <v>0</v>
      </c>
      <c r="G62" s="1093">
        <f t="shared" si="0"/>
        <v>0</v>
      </c>
      <c r="I62" s="1"/>
      <c r="J62" s="1"/>
      <c r="K62" s="1"/>
      <c r="L62" s="1"/>
    </row>
    <row r="63" spans="1:12" s="938" customFormat="1" ht="84">
      <c r="A63" s="1"/>
      <c r="B63" s="188"/>
      <c r="C63" s="716" t="s">
        <v>1843</v>
      </c>
      <c r="D63" s="140" t="s">
        <v>60</v>
      </c>
      <c r="E63" s="719">
        <v>1</v>
      </c>
      <c r="F63" s="1092">
        <v>0</v>
      </c>
      <c r="G63" s="1093">
        <f t="shared" si="0"/>
        <v>0</v>
      </c>
      <c r="I63" s="1"/>
      <c r="J63" s="1"/>
      <c r="K63" s="1"/>
      <c r="L63" s="1"/>
    </row>
    <row r="64" spans="1:12" s="938" customFormat="1">
      <c r="A64" s="1"/>
      <c r="B64" s="188">
        <v>4</v>
      </c>
      <c r="C64" s="159" t="s">
        <v>1844</v>
      </c>
      <c r="D64" s="140"/>
      <c r="E64" s="719"/>
      <c r="F64" s="1092"/>
      <c r="G64" s="1093"/>
      <c r="I64" s="1"/>
      <c r="J64" s="1"/>
      <c r="K64" s="1"/>
      <c r="L64" s="1"/>
    </row>
    <row r="65" spans="1:12" s="938" customFormat="1" ht="60">
      <c r="A65" s="1"/>
      <c r="B65" s="188"/>
      <c r="C65" s="716" t="s">
        <v>1845</v>
      </c>
      <c r="D65" s="1419" t="s">
        <v>60</v>
      </c>
      <c r="E65" s="719">
        <v>2</v>
      </c>
      <c r="F65" s="1092">
        <v>0</v>
      </c>
      <c r="G65" s="1093">
        <f t="shared" si="0"/>
        <v>0</v>
      </c>
      <c r="I65" s="1"/>
      <c r="J65" s="1"/>
      <c r="K65" s="1"/>
      <c r="L65" s="1"/>
    </row>
    <row r="66" spans="1:12" s="938" customFormat="1" ht="60">
      <c r="A66" s="1"/>
      <c r="B66" s="188"/>
      <c r="C66" s="716" t="s">
        <v>1846</v>
      </c>
      <c r="D66" s="140" t="s">
        <v>60</v>
      </c>
      <c r="E66" s="719">
        <v>2</v>
      </c>
      <c r="F66" s="1092">
        <v>0</v>
      </c>
      <c r="G66" s="1093">
        <f t="shared" si="0"/>
        <v>0</v>
      </c>
      <c r="I66" s="1"/>
      <c r="J66" s="1"/>
      <c r="K66" s="1"/>
      <c r="L66" s="1"/>
    </row>
    <row r="67" spans="1:12" s="938" customFormat="1" ht="36">
      <c r="A67" s="1"/>
      <c r="B67" s="188"/>
      <c r="C67" s="716" t="s">
        <v>1847</v>
      </c>
      <c r="D67" s="140" t="s">
        <v>252</v>
      </c>
      <c r="E67" s="719">
        <v>1</v>
      </c>
      <c r="F67" s="1092">
        <v>0</v>
      </c>
      <c r="G67" s="1093">
        <f t="shared" si="0"/>
        <v>0</v>
      </c>
      <c r="I67" s="1"/>
      <c r="J67" s="1"/>
      <c r="K67" s="1"/>
      <c r="L67" s="1"/>
    </row>
    <row r="68" spans="1:12" s="938" customFormat="1" ht="96">
      <c r="A68" s="1"/>
      <c r="B68" s="188"/>
      <c r="C68" s="716" t="s">
        <v>1848</v>
      </c>
      <c r="D68" s="1419" t="s">
        <v>252</v>
      </c>
      <c r="E68" s="719">
        <v>1</v>
      </c>
      <c r="F68" s="1092">
        <v>0</v>
      </c>
      <c r="G68" s="1093">
        <f t="shared" si="0"/>
        <v>0</v>
      </c>
      <c r="I68" s="1"/>
      <c r="J68" s="1"/>
      <c r="K68" s="1"/>
      <c r="L68" s="1"/>
    </row>
    <row r="69" spans="1:12" s="938" customFormat="1">
      <c r="A69" s="1"/>
      <c r="B69" s="188">
        <v>5</v>
      </c>
      <c r="C69" s="159" t="s">
        <v>1849</v>
      </c>
      <c r="D69" s="140"/>
      <c r="E69" s="719"/>
      <c r="F69" s="1092"/>
      <c r="G69" s="1093"/>
      <c r="I69" s="1"/>
      <c r="J69" s="1"/>
      <c r="K69" s="1"/>
      <c r="L69" s="1"/>
    </row>
    <row r="70" spans="1:12" s="938" customFormat="1">
      <c r="A70" s="1"/>
      <c r="B70" s="188"/>
      <c r="C70" s="716" t="s">
        <v>1850</v>
      </c>
      <c r="D70" s="140" t="s">
        <v>397</v>
      </c>
      <c r="E70" s="719">
        <v>15</v>
      </c>
      <c r="F70" s="1092">
        <v>0</v>
      </c>
      <c r="G70" s="1093">
        <f t="shared" ref="G70:G77" si="2">E70*F70</f>
        <v>0</v>
      </c>
      <c r="I70" s="1"/>
      <c r="J70" s="1"/>
      <c r="K70" s="1"/>
      <c r="L70" s="1"/>
    </row>
    <row r="71" spans="1:12" s="938" customFormat="1">
      <c r="A71" s="1"/>
      <c r="B71" s="188"/>
      <c r="C71" s="716" t="s">
        <v>1851</v>
      </c>
      <c r="D71" s="140" t="s">
        <v>397</v>
      </c>
      <c r="E71" s="719">
        <v>50</v>
      </c>
      <c r="F71" s="1092">
        <v>0</v>
      </c>
      <c r="G71" s="1093">
        <f t="shared" si="2"/>
        <v>0</v>
      </c>
      <c r="I71" s="1"/>
      <c r="J71" s="1"/>
      <c r="K71" s="1"/>
      <c r="L71" s="1"/>
    </row>
    <row r="72" spans="1:12" s="938" customFormat="1">
      <c r="A72" s="1"/>
      <c r="B72" s="188"/>
      <c r="C72" s="716" t="s">
        <v>1852</v>
      </c>
      <c r="D72" s="140" t="s">
        <v>397</v>
      </c>
      <c r="E72" s="719">
        <v>25</v>
      </c>
      <c r="F72" s="1092">
        <v>0</v>
      </c>
      <c r="G72" s="1093">
        <f t="shared" si="2"/>
        <v>0</v>
      </c>
      <c r="I72" s="1"/>
      <c r="J72" s="1"/>
      <c r="K72" s="1"/>
      <c r="L72" s="1"/>
    </row>
    <row r="73" spans="1:12" s="938" customFormat="1">
      <c r="A73" s="1"/>
      <c r="B73" s="188"/>
      <c r="C73" s="716" t="s">
        <v>1315</v>
      </c>
      <c r="D73" s="140" t="s">
        <v>397</v>
      </c>
      <c r="E73" s="719">
        <v>15</v>
      </c>
      <c r="F73" s="1092">
        <v>0</v>
      </c>
      <c r="G73" s="1093">
        <f t="shared" si="2"/>
        <v>0</v>
      </c>
      <c r="I73" s="1"/>
      <c r="J73" s="1"/>
      <c r="K73" s="1"/>
      <c r="L73" s="1"/>
    </row>
    <row r="74" spans="1:12" s="938" customFormat="1">
      <c r="A74" s="1"/>
      <c r="B74" s="188"/>
      <c r="C74" s="716" t="s">
        <v>1853</v>
      </c>
      <c r="D74" s="140" t="s">
        <v>252</v>
      </c>
      <c r="E74" s="719">
        <v>2</v>
      </c>
      <c r="F74" s="1092">
        <v>0</v>
      </c>
      <c r="G74" s="1093">
        <f t="shared" si="2"/>
        <v>0</v>
      </c>
      <c r="I74" s="1"/>
      <c r="J74" s="1"/>
      <c r="K74" s="1"/>
      <c r="L74" s="1"/>
    </row>
    <row r="75" spans="1:12" s="938" customFormat="1">
      <c r="A75" s="1"/>
      <c r="B75" s="188"/>
      <c r="C75" s="716" t="s">
        <v>1854</v>
      </c>
      <c r="D75" s="140" t="s">
        <v>397</v>
      </c>
      <c r="E75" s="719">
        <v>20</v>
      </c>
      <c r="F75" s="1092">
        <v>0</v>
      </c>
      <c r="G75" s="1093">
        <f t="shared" si="2"/>
        <v>0</v>
      </c>
      <c r="I75" s="1"/>
      <c r="J75" s="1"/>
      <c r="K75" s="1"/>
      <c r="L75" s="1"/>
    </row>
    <row r="76" spans="1:12" s="938" customFormat="1">
      <c r="A76" s="1"/>
      <c r="B76" s="188"/>
      <c r="C76" s="716" t="s">
        <v>1855</v>
      </c>
      <c r="D76" s="140" t="s">
        <v>397</v>
      </c>
      <c r="E76" s="719">
        <v>15</v>
      </c>
      <c r="F76" s="1092">
        <v>0</v>
      </c>
      <c r="G76" s="1093">
        <f t="shared" si="2"/>
        <v>0</v>
      </c>
      <c r="I76" s="1"/>
      <c r="J76" s="1"/>
      <c r="K76" s="1"/>
      <c r="L76" s="1"/>
    </row>
    <row r="77" spans="1:12" s="938" customFormat="1">
      <c r="A77" s="1"/>
      <c r="B77" s="188"/>
      <c r="C77" s="716" t="s">
        <v>1293</v>
      </c>
      <c r="D77" s="140" t="s">
        <v>60</v>
      </c>
      <c r="E77" s="719">
        <v>1</v>
      </c>
      <c r="F77" s="1092">
        <v>0</v>
      </c>
      <c r="G77" s="1093">
        <f t="shared" si="2"/>
        <v>0</v>
      </c>
      <c r="I77" s="1"/>
      <c r="J77" s="1"/>
      <c r="K77" s="1"/>
      <c r="L77" s="1"/>
    </row>
    <row r="78" spans="1:12" s="1424" customFormat="1">
      <c r="A78" s="1425"/>
      <c r="B78" s="188">
        <v>6</v>
      </c>
      <c r="C78" s="159" t="s">
        <v>1856</v>
      </c>
      <c r="D78" s="1420"/>
      <c r="E78" s="1421"/>
      <c r="F78" s="1422"/>
      <c r="G78" s="1423"/>
      <c r="I78" s="1425"/>
      <c r="J78" s="1425"/>
      <c r="K78" s="1425"/>
      <c r="L78" s="1425"/>
    </row>
    <row r="79" spans="1:12" s="1424" customFormat="1" ht="24">
      <c r="A79" s="1425"/>
      <c r="B79" s="188"/>
      <c r="C79" s="716" t="s">
        <v>1345</v>
      </c>
      <c r="D79" s="140" t="s">
        <v>397</v>
      </c>
      <c r="E79" s="719">
        <v>8</v>
      </c>
      <c r="F79" s="1092">
        <v>0</v>
      </c>
      <c r="G79" s="1093">
        <f t="shared" ref="G79:G85" si="3">E79*F79</f>
        <v>0</v>
      </c>
      <c r="I79" s="1425"/>
      <c r="J79" s="1425"/>
      <c r="K79" s="1425"/>
      <c r="L79" s="1425"/>
    </row>
    <row r="80" spans="1:12" s="1424" customFormat="1">
      <c r="A80" s="1425"/>
      <c r="B80" s="188"/>
      <c r="C80" s="716" t="s">
        <v>1347</v>
      </c>
      <c r="D80" s="140" t="s">
        <v>397</v>
      </c>
      <c r="E80" s="719">
        <v>50</v>
      </c>
      <c r="F80" s="1092">
        <v>0</v>
      </c>
      <c r="G80" s="1093">
        <f t="shared" si="3"/>
        <v>0</v>
      </c>
      <c r="I80" s="1425"/>
      <c r="J80" s="1425"/>
      <c r="K80" s="1425"/>
      <c r="L80" s="1425"/>
    </row>
    <row r="81" spans="1:12" s="1424" customFormat="1">
      <c r="A81" s="1425"/>
      <c r="B81" s="188"/>
      <c r="C81" s="716" t="s">
        <v>1348</v>
      </c>
      <c r="D81" s="140" t="s">
        <v>397</v>
      </c>
      <c r="E81" s="719">
        <v>20</v>
      </c>
      <c r="F81" s="1092">
        <v>0</v>
      </c>
      <c r="G81" s="1093">
        <f t="shared" si="3"/>
        <v>0</v>
      </c>
      <c r="I81" s="1425"/>
      <c r="J81" s="1425"/>
      <c r="K81" s="1425"/>
      <c r="L81" s="1425"/>
    </row>
    <row r="82" spans="1:12" s="1424" customFormat="1">
      <c r="A82" s="1425"/>
      <c r="B82" s="188"/>
      <c r="C82" s="716" t="s">
        <v>1353</v>
      </c>
      <c r="D82" s="140" t="s">
        <v>252</v>
      </c>
      <c r="E82" s="719">
        <v>1</v>
      </c>
      <c r="F82" s="1092">
        <v>0</v>
      </c>
      <c r="G82" s="1093">
        <f t="shared" si="3"/>
        <v>0</v>
      </c>
      <c r="I82" s="1425"/>
      <c r="J82" s="1425"/>
      <c r="K82" s="1425"/>
      <c r="L82" s="1425"/>
    </row>
    <row r="83" spans="1:12" s="1424" customFormat="1">
      <c r="A83" s="1425"/>
      <c r="B83" s="188"/>
      <c r="C83" s="716" t="s">
        <v>1857</v>
      </c>
      <c r="D83" s="140" t="s">
        <v>252</v>
      </c>
      <c r="E83" s="719">
        <v>3</v>
      </c>
      <c r="F83" s="1092">
        <v>0</v>
      </c>
      <c r="G83" s="1093">
        <f t="shared" si="3"/>
        <v>0</v>
      </c>
      <c r="I83" s="1425"/>
      <c r="J83" s="1425"/>
      <c r="K83" s="1425"/>
      <c r="L83" s="1425"/>
    </row>
    <row r="84" spans="1:12" s="1424" customFormat="1">
      <c r="A84" s="1425"/>
      <c r="B84" s="188"/>
      <c r="C84" s="716" t="s">
        <v>1858</v>
      </c>
      <c r="D84" s="140" t="s">
        <v>252</v>
      </c>
      <c r="E84" s="719">
        <v>2</v>
      </c>
      <c r="F84" s="1092">
        <v>0</v>
      </c>
      <c r="G84" s="1093">
        <f t="shared" si="3"/>
        <v>0</v>
      </c>
      <c r="I84" s="1425"/>
      <c r="J84" s="1425"/>
      <c r="K84" s="1425"/>
      <c r="L84" s="1425"/>
    </row>
    <row r="85" spans="1:12" s="1424" customFormat="1" ht="24">
      <c r="A85" s="1425"/>
      <c r="B85" s="188"/>
      <c r="C85" s="716" t="s">
        <v>1859</v>
      </c>
      <c r="D85" s="140" t="s">
        <v>252</v>
      </c>
      <c r="E85" s="719">
        <v>1</v>
      </c>
      <c r="F85" s="1092">
        <v>0</v>
      </c>
      <c r="G85" s="1093">
        <f t="shared" si="3"/>
        <v>0</v>
      </c>
      <c r="I85" s="1425"/>
      <c r="J85" s="1425"/>
      <c r="K85" s="1425"/>
      <c r="L85" s="1425"/>
    </row>
    <row r="86" spans="1:12" s="938" customFormat="1">
      <c r="A86" s="1"/>
      <c r="B86" s="188">
        <v>7</v>
      </c>
      <c r="C86" s="159" t="s">
        <v>1860</v>
      </c>
      <c r="D86" s="140"/>
      <c r="E86" s="719"/>
      <c r="F86" s="1092"/>
      <c r="G86" s="1093"/>
      <c r="I86" s="1"/>
      <c r="J86" s="1"/>
      <c r="K86" s="1"/>
      <c r="L86" s="1"/>
    </row>
    <row r="87" spans="1:12" s="938" customFormat="1">
      <c r="A87" s="1"/>
      <c r="B87" s="188"/>
      <c r="C87" s="126" t="s">
        <v>1325</v>
      </c>
      <c r="D87" s="140" t="s">
        <v>397</v>
      </c>
      <c r="E87" s="719">
        <v>10</v>
      </c>
      <c r="F87" s="1092">
        <v>0</v>
      </c>
      <c r="G87" s="1093">
        <f t="shared" ref="G87:G90" si="4">E87*F87</f>
        <v>0</v>
      </c>
      <c r="I87" s="1"/>
      <c r="J87" s="1"/>
      <c r="K87" s="1"/>
      <c r="L87" s="1"/>
    </row>
    <row r="88" spans="1:12" s="938" customFormat="1" ht="36">
      <c r="A88" s="1"/>
      <c r="B88" s="188"/>
      <c r="C88" s="126" t="s">
        <v>1326</v>
      </c>
      <c r="D88" s="140" t="s">
        <v>60</v>
      </c>
      <c r="E88" s="719">
        <v>1</v>
      </c>
      <c r="F88" s="1092">
        <v>0</v>
      </c>
      <c r="G88" s="1093">
        <f t="shared" si="4"/>
        <v>0</v>
      </c>
      <c r="I88" s="1"/>
      <c r="J88" s="1"/>
      <c r="K88" s="1"/>
      <c r="L88" s="1"/>
    </row>
    <row r="89" spans="1:12" s="938" customFormat="1" ht="24">
      <c r="A89" s="1"/>
      <c r="B89" s="188"/>
      <c r="C89" s="126" t="s">
        <v>1327</v>
      </c>
      <c r="D89" s="140" t="s">
        <v>60</v>
      </c>
      <c r="E89" s="719">
        <v>1</v>
      </c>
      <c r="F89" s="1092">
        <v>0</v>
      </c>
      <c r="G89" s="1093">
        <f t="shared" si="4"/>
        <v>0</v>
      </c>
      <c r="I89" s="1"/>
      <c r="J89" s="1"/>
      <c r="K89" s="1"/>
      <c r="L89" s="1"/>
    </row>
    <row r="90" spans="1:12" s="938" customFormat="1">
      <c r="A90" s="1"/>
      <c r="B90" s="188"/>
      <c r="C90" s="126" t="s">
        <v>1333</v>
      </c>
      <c r="D90" s="140" t="s">
        <v>60</v>
      </c>
      <c r="E90" s="719">
        <v>1</v>
      </c>
      <c r="F90" s="1092">
        <v>0</v>
      </c>
      <c r="G90" s="1093">
        <f t="shared" si="4"/>
        <v>0</v>
      </c>
      <c r="I90" s="1"/>
      <c r="J90" s="1"/>
      <c r="K90" s="1"/>
      <c r="L90" s="1"/>
    </row>
    <row r="91" spans="1:12" s="938" customFormat="1">
      <c r="A91" s="1"/>
      <c r="B91" s="188">
        <v>8</v>
      </c>
      <c r="C91" s="159" t="s">
        <v>1357</v>
      </c>
      <c r="D91" s="140"/>
      <c r="E91" s="719"/>
      <c r="F91" s="1092"/>
      <c r="G91" s="1093"/>
      <c r="I91" s="1"/>
      <c r="J91" s="1"/>
      <c r="K91" s="1"/>
      <c r="L91" s="1"/>
    </row>
    <row r="92" spans="1:12" s="938" customFormat="1" ht="48">
      <c r="A92" s="1"/>
      <c r="B92" s="188"/>
      <c r="C92" s="716" t="s">
        <v>1872</v>
      </c>
      <c r="D92" s="1419" t="s">
        <v>60</v>
      </c>
      <c r="E92" s="719">
        <v>1</v>
      </c>
      <c r="F92" s="1092">
        <v>0</v>
      </c>
      <c r="G92" s="1093">
        <f t="shared" si="0"/>
        <v>0</v>
      </c>
      <c r="I92" s="1"/>
      <c r="J92" s="1"/>
      <c r="K92" s="1"/>
      <c r="L92" s="1"/>
    </row>
    <row r="93" spans="1:12" s="938" customFormat="1" ht="36">
      <c r="A93" s="1"/>
      <c r="B93" s="188"/>
      <c r="C93" s="716" t="s">
        <v>1862</v>
      </c>
      <c r="D93" s="140" t="s">
        <v>60</v>
      </c>
      <c r="E93" s="719">
        <v>1</v>
      </c>
      <c r="F93" s="1092">
        <v>0</v>
      </c>
      <c r="G93" s="1093">
        <f t="shared" si="0"/>
        <v>0</v>
      </c>
      <c r="I93" s="1"/>
      <c r="J93" s="1"/>
      <c r="K93" s="1"/>
      <c r="L93" s="1"/>
    </row>
    <row r="94" spans="1:12" s="938" customFormat="1" ht="36">
      <c r="A94" s="1"/>
      <c r="B94" s="188"/>
      <c r="C94" s="716" t="s">
        <v>1863</v>
      </c>
      <c r="D94" s="1419" t="s">
        <v>60</v>
      </c>
      <c r="E94" s="719">
        <v>1</v>
      </c>
      <c r="F94" s="1092">
        <v>0</v>
      </c>
      <c r="G94" s="1093">
        <f t="shared" si="0"/>
        <v>0</v>
      </c>
      <c r="I94" s="1"/>
      <c r="J94" s="1"/>
      <c r="K94" s="1"/>
      <c r="L94" s="1"/>
    </row>
    <row r="95" spans="1:12" s="938" customFormat="1" ht="36">
      <c r="A95" s="1"/>
      <c r="B95" s="188"/>
      <c r="C95" s="716" t="s">
        <v>1864</v>
      </c>
      <c r="D95" s="140" t="s">
        <v>60</v>
      </c>
      <c r="E95" s="719">
        <v>1</v>
      </c>
      <c r="F95" s="1092">
        <v>0</v>
      </c>
      <c r="G95" s="1093">
        <f t="shared" si="0"/>
        <v>0</v>
      </c>
      <c r="I95" s="1"/>
      <c r="J95" s="1"/>
      <c r="K95" s="1"/>
      <c r="L95" s="1"/>
    </row>
    <row r="96" spans="1:12" s="179" customFormat="1" ht="23.25" customHeight="1">
      <c r="B96" s="713" t="s">
        <v>914</v>
      </c>
      <c r="C96" s="153" t="s">
        <v>1865</v>
      </c>
      <c r="D96" s="153"/>
      <c r="E96" s="154"/>
      <c r="F96" s="155"/>
      <c r="G96" s="263">
        <f>SUM(G30:G95)</f>
        <v>0</v>
      </c>
      <c r="H96"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666AF-6AC1-4BCE-9C2F-CA75D656336F}">
  <sheetPr>
    <tabColor rgb="FFFFFF00"/>
  </sheetPr>
  <dimension ref="A2:L100"/>
  <sheetViews>
    <sheetView showZeros="0" topLeftCell="A37" zoomScale="110" zoomScaleNormal="110" workbookViewId="0">
      <selection activeCell="D41" sqref="D41"/>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1875</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G100</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9" si="0">E30*F30</f>
        <v>0</v>
      </c>
    </row>
    <row r="31" spans="2:8" ht="36">
      <c r="B31" s="188"/>
      <c r="C31" s="716" t="s">
        <v>1876</v>
      </c>
      <c r="D31" s="1419" t="s">
        <v>252</v>
      </c>
      <c r="E31" s="719">
        <v>3</v>
      </c>
      <c r="F31" s="1092">
        <v>0</v>
      </c>
      <c r="G31" s="1093">
        <f t="shared" si="0"/>
        <v>0</v>
      </c>
    </row>
    <row r="32" spans="2:8" ht="96">
      <c r="B32" s="188"/>
      <c r="C32" s="716" t="s">
        <v>1877</v>
      </c>
      <c r="D32" s="1419" t="s">
        <v>60</v>
      </c>
      <c r="E32" s="719">
        <v>1</v>
      </c>
      <c r="F32" s="1092">
        <v>0</v>
      </c>
      <c r="G32" s="1093">
        <f t="shared" si="0"/>
        <v>0</v>
      </c>
    </row>
    <row r="33" spans="1:12" ht="60">
      <c r="B33" s="188"/>
      <c r="C33" s="716" t="s">
        <v>1817</v>
      </c>
      <c r="D33" s="1419" t="s">
        <v>252</v>
      </c>
      <c r="E33" s="719">
        <v>1</v>
      </c>
      <c r="F33" s="1092">
        <v>0</v>
      </c>
      <c r="G33" s="1093">
        <f t="shared" si="0"/>
        <v>0</v>
      </c>
    </row>
    <row r="34" spans="1:12" ht="60">
      <c r="B34" s="188"/>
      <c r="C34" s="716" t="s">
        <v>1818</v>
      </c>
      <c r="D34" s="1419" t="s">
        <v>252</v>
      </c>
      <c r="E34" s="719">
        <v>1</v>
      </c>
      <c r="F34" s="1092">
        <v>0</v>
      </c>
      <c r="G34" s="1093">
        <f t="shared" si="0"/>
        <v>0</v>
      </c>
    </row>
    <row r="35" spans="1:12" ht="60">
      <c r="B35" s="188"/>
      <c r="C35" s="716" t="s">
        <v>1819</v>
      </c>
      <c r="D35" s="1419" t="s">
        <v>252</v>
      </c>
      <c r="E35" s="719">
        <v>2</v>
      </c>
      <c r="F35" s="1092">
        <v>0</v>
      </c>
      <c r="G35" s="1093">
        <f t="shared" si="0"/>
        <v>0</v>
      </c>
    </row>
    <row r="36" spans="1:12" ht="60">
      <c r="B36" s="188"/>
      <c r="C36" s="716" t="s">
        <v>1820</v>
      </c>
      <c r="D36" s="1419" t="s">
        <v>252</v>
      </c>
      <c r="E36" s="719">
        <v>1</v>
      </c>
      <c r="F36" s="1092">
        <v>0</v>
      </c>
      <c r="G36" s="1093">
        <f t="shared" si="0"/>
        <v>0</v>
      </c>
    </row>
    <row r="37" spans="1:12" ht="48">
      <c r="B37" s="188"/>
      <c r="C37" s="716" t="s">
        <v>1821</v>
      </c>
      <c r="D37" s="1419" t="s">
        <v>252</v>
      </c>
      <c r="E37" s="719">
        <v>1</v>
      </c>
      <c r="F37" s="1092">
        <v>0</v>
      </c>
      <c r="G37" s="1093">
        <f t="shared" si="0"/>
        <v>0</v>
      </c>
    </row>
    <row r="38" spans="1:12" ht="60">
      <c r="B38" s="188"/>
      <c r="C38" s="716" t="s">
        <v>1822</v>
      </c>
      <c r="D38" s="1419" t="s">
        <v>60</v>
      </c>
      <c r="E38" s="719">
        <v>1</v>
      </c>
      <c r="F38" s="1092">
        <v>0</v>
      </c>
      <c r="G38" s="1093">
        <f t="shared" si="0"/>
        <v>0</v>
      </c>
    </row>
    <row r="39" spans="1:12" ht="48">
      <c r="B39" s="188"/>
      <c r="C39" s="716" t="s">
        <v>1823</v>
      </c>
      <c r="D39" s="1419" t="s">
        <v>252</v>
      </c>
      <c r="E39" s="719">
        <v>1</v>
      </c>
      <c r="F39" s="1092">
        <v>0</v>
      </c>
      <c r="G39" s="1093">
        <f t="shared" si="0"/>
        <v>0</v>
      </c>
    </row>
    <row r="40" spans="1:12" ht="108">
      <c r="B40" s="188"/>
      <c r="C40" s="716" t="s">
        <v>635</v>
      </c>
      <c r="D40" s="1419" t="s">
        <v>252</v>
      </c>
      <c r="E40" s="719">
        <v>1</v>
      </c>
      <c r="F40" s="1092">
        <v>0</v>
      </c>
      <c r="G40" s="1093">
        <f t="shared" si="0"/>
        <v>0</v>
      </c>
    </row>
    <row r="41" spans="1:12" s="938" customFormat="1" ht="36">
      <c r="A41" s="1"/>
      <c r="B41" s="188"/>
      <c r="C41" s="716" t="s">
        <v>1824</v>
      </c>
      <c r="D41" s="1419" t="s">
        <v>252</v>
      </c>
      <c r="E41" s="719">
        <v>40</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2</v>
      </c>
      <c r="F43" s="1092">
        <v>0</v>
      </c>
      <c r="G43" s="1093">
        <f t="shared" si="0"/>
        <v>0</v>
      </c>
    </row>
    <row r="44" spans="1:12" ht="36">
      <c r="B44" s="188"/>
      <c r="C44" s="716" t="s">
        <v>1827</v>
      </c>
      <c r="D44" s="1419" t="s">
        <v>252</v>
      </c>
      <c r="E44" s="719">
        <v>10</v>
      </c>
      <c r="F44" s="1092">
        <v>0</v>
      </c>
      <c r="G44" s="1093">
        <f t="shared" si="0"/>
        <v>0</v>
      </c>
    </row>
    <row r="45" spans="1:12" ht="36">
      <c r="B45" s="188"/>
      <c r="C45" s="716" t="s">
        <v>1828</v>
      </c>
      <c r="D45" s="1419" t="s">
        <v>252</v>
      </c>
      <c r="E45" s="719">
        <v>1</v>
      </c>
      <c r="F45" s="1092">
        <v>0</v>
      </c>
      <c r="G45" s="1093">
        <f t="shared" si="0"/>
        <v>0</v>
      </c>
    </row>
    <row r="46" spans="1:12" ht="48">
      <c r="B46" s="188"/>
      <c r="C46" s="716" t="s">
        <v>1829</v>
      </c>
      <c r="D46" s="1419" t="s">
        <v>252</v>
      </c>
      <c r="E46" s="719">
        <v>1</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252</v>
      </c>
      <c r="E48" s="719">
        <v>3</v>
      </c>
      <c r="F48" s="1092">
        <v>0</v>
      </c>
      <c r="G48" s="1093">
        <f t="shared" si="0"/>
        <v>0</v>
      </c>
    </row>
    <row r="49" spans="1:12" ht="48">
      <c r="B49" s="188"/>
      <c r="C49" s="716" t="s">
        <v>1832</v>
      </c>
      <c r="D49" s="1419" t="s">
        <v>252</v>
      </c>
      <c r="E49" s="719">
        <v>3</v>
      </c>
      <c r="F49" s="1092">
        <v>0</v>
      </c>
      <c r="G49" s="1093">
        <f t="shared" si="0"/>
        <v>0</v>
      </c>
    </row>
    <row r="50" spans="1:12" s="938" customFormat="1" ht="48">
      <c r="A50" s="1"/>
      <c r="B50" s="188"/>
      <c r="C50" s="716" t="s">
        <v>1833</v>
      </c>
      <c r="D50" s="1419" t="s">
        <v>60</v>
      </c>
      <c r="E50" s="719">
        <v>1</v>
      </c>
      <c r="F50" s="1092">
        <v>0</v>
      </c>
      <c r="G50" s="1093">
        <f t="shared" si="0"/>
        <v>0</v>
      </c>
      <c r="I50" s="1"/>
      <c r="J50" s="1"/>
      <c r="K50" s="1"/>
      <c r="L50" s="1"/>
    </row>
    <row r="51" spans="1:12" s="938" customFormat="1" ht="60">
      <c r="A51" s="1"/>
      <c r="B51" s="188"/>
      <c r="C51" s="716" t="s">
        <v>1834</v>
      </c>
      <c r="D51" s="140" t="s">
        <v>252</v>
      </c>
      <c r="E51" s="719">
        <v>1</v>
      </c>
      <c r="F51" s="1092">
        <v>0</v>
      </c>
      <c r="G51" s="1093">
        <f t="shared" si="0"/>
        <v>0</v>
      </c>
      <c r="I51" s="1"/>
      <c r="J51" s="1"/>
      <c r="K51" s="1"/>
      <c r="L51" s="1"/>
    </row>
    <row r="52" spans="1:12" s="938" customFormat="1" ht="84">
      <c r="A52" s="1"/>
      <c r="B52" s="188"/>
      <c r="C52" s="716" t="s">
        <v>1835</v>
      </c>
      <c r="D52" s="140" t="s">
        <v>252</v>
      </c>
      <c r="E52" s="719">
        <v>1</v>
      </c>
      <c r="F52" s="1092">
        <v>0</v>
      </c>
      <c r="G52" s="1093">
        <f t="shared" si="0"/>
        <v>0</v>
      </c>
      <c r="I52" s="1"/>
      <c r="J52" s="1"/>
      <c r="K52" s="1"/>
      <c r="L52" s="1"/>
    </row>
    <row r="53" spans="1:12" s="938" customFormat="1">
      <c r="A53" s="1"/>
      <c r="B53" s="188">
        <v>2</v>
      </c>
      <c r="C53" s="159" t="s">
        <v>1294</v>
      </c>
      <c r="D53" s="140"/>
      <c r="E53" s="719"/>
      <c r="F53" s="1092"/>
      <c r="G53" s="1093"/>
      <c r="I53" s="1"/>
      <c r="J53" s="1"/>
      <c r="K53" s="1"/>
      <c r="L53" s="1"/>
    </row>
    <row r="54" spans="1:12" ht="387.75" customHeight="1">
      <c r="B54" s="2262"/>
      <c r="C54" s="2263"/>
      <c r="D54" s="2264"/>
      <c r="E54" s="2265"/>
      <c r="F54" s="2266"/>
      <c r="G54" s="2254"/>
    </row>
    <row r="55" spans="1:12" ht="24.75" customHeight="1">
      <c r="B55" s="2262"/>
      <c r="C55" s="2263" t="s">
        <v>2262</v>
      </c>
      <c r="D55" s="2267" t="s">
        <v>60</v>
      </c>
      <c r="E55" s="2265">
        <v>1</v>
      </c>
      <c r="F55" s="2266">
        <v>0</v>
      </c>
      <c r="G55" s="2254">
        <f t="shared" ref="G55" si="1">E55*F55</f>
        <v>0</v>
      </c>
    </row>
    <row r="56" spans="1:12" s="938" customFormat="1" ht="72">
      <c r="A56" s="1"/>
      <c r="B56" s="188"/>
      <c r="C56" s="716" t="s">
        <v>649</v>
      </c>
      <c r="D56" s="140" t="s">
        <v>60</v>
      </c>
      <c r="E56" s="719">
        <v>1</v>
      </c>
      <c r="F56" s="1092">
        <v>0</v>
      </c>
      <c r="G56" s="1093">
        <f t="shared" si="0"/>
        <v>0</v>
      </c>
      <c r="I56" s="1"/>
      <c r="J56" s="1"/>
      <c r="K56" s="1"/>
      <c r="L56" s="1"/>
    </row>
    <row r="57" spans="1:12" s="938" customFormat="1" ht="48">
      <c r="A57" s="1"/>
      <c r="B57" s="188"/>
      <c r="C57" s="716" t="s">
        <v>1836</v>
      </c>
      <c r="D57" s="140" t="s">
        <v>252</v>
      </c>
      <c r="E57" s="719">
        <v>1</v>
      </c>
      <c r="F57" s="1092">
        <v>0</v>
      </c>
      <c r="G57" s="1093">
        <f t="shared" si="0"/>
        <v>0</v>
      </c>
      <c r="I57" s="1"/>
      <c r="J57" s="1"/>
      <c r="K57" s="1"/>
      <c r="L57" s="1"/>
    </row>
    <row r="58" spans="1:12" s="938" customFormat="1" ht="60">
      <c r="A58" s="1"/>
      <c r="B58" s="188"/>
      <c r="C58" s="716" t="s">
        <v>1837</v>
      </c>
      <c r="D58" s="140" t="s">
        <v>252</v>
      </c>
      <c r="E58" s="719">
        <v>1</v>
      </c>
      <c r="F58" s="1092">
        <v>0</v>
      </c>
      <c r="G58" s="1093">
        <f t="shared" si="0"/>
        <v>0</v>
      </c>
      <c r="I58" s="1"/>
      <c r="J58" s="1"/>
      <c r="K58" s="1"/>
      <c r="L58" s="1"/>
    </row>
    <row r="59" spans="1:12" s="938" customFormat="1" ht="180">
      <c r="A59" s="1"/>
      <c r="B59" s="188"/>
      <c r="C59" s="716" t="s">
        <v>654</v>
      </c>
      <c r="D59" s="1419" t="s">
        <v>252</v>
      </c>
      <c r="E59" s="719">
        <v>1</v>
      </c>
      <c r="F59" s="1092">
        <v>0</v>
      </c>
      <c r="G59" s="1093">
        <f t="shared" si="0"/>
        <v>0</v>
      </c>
      <c r="I59" s="1"/>
      <c r="J59" s="1"/>
      <c r="K59" s="1"/>
      <c r="L59" s="1"/>
    </row>
    <row r="60" spans="1:12" s="938" customFormat="1" ht="60">
      <c r="A60" s="1"/>
      <c r="B60" s="188"/>
      <c r="C60" s="716" t="s">
        <v>655</v>
      </c>
      <c r="D60" s="1419" t="s">
        <v>60</v>
      </c>
      <c r="E60" s="719">
        <v>1</v>
      </c>
      <c r="F60" s="1092">
        <v>0</v>
      </c>
      <c r="G60" s="1093">
        <f t="shared" si="0"/>
        <v>0</v>
      </c>
      <c r="I60" s="1"/>
      <c r="J60" s="1"/>
      <c r="K60" s="1"/>
      <c r="L60" s="1"/>
    </row>
    <row r="61" spans="1:12" s="938" customFormat="1" ht="36">
      <c r="A61" s="1"/>
      <c r="B61" s="188"/>
      <c r="C61" s="716" t="s">
        <v>1838</v>
      </c>
      <c r="D61" s="1419" t="s">
        <v>252</v>
      </c>
      <c r="E61" s="719">
        <v>1</v>
      </c>
      <c r="F61" s="1092">
        <v>0</v>
      </c>
      <c r="G61" s="1093">
        <f t="shared" si="0"/>
        <v>0</v>
      </c>
      <c r="I61" s="1"/>
      <c r="J61" s="1"/>
      <c r="K61" s="1"/>
      <c r="L61" s="1"/>
    </row>
    <row r="62" spans="1:12" s="938" customFormat="1" ht="288">
      <c r="A62" s="1"/>
      <c r="B62" s="188"/>
      <c r="C62" s="716" t="s">
        <v>1839</v>
      </c>
      <c r="D62" s="140" t="s">
        <v>60</v>
      </c>
      <c r="E62" s="719">
        <v>2</v>
      </c>
      <c r="F62" s="1092">
        <v>0</v>
      </c>
      <c r="G62" s="1093">
        <f t="shared" si="0"/>
        <v>0</v>
      </c>
      <c r="I62" s="1"/>
      <c r="J62" s="1"/>
      <c r="K62" s="1"/>
      <c r="L62" s="1"/>
    </row>
    <row r="63" spans="1:12" s="938" customFormat="1">
      <c r="A63" s="1"/>
      <c r="B63" s="188">
        <v>3</v>
      </c>
      <c r="C63" s="159" t="s">
        <v>1840</v>
      </c>
      <c r="D63" s="140"/>
      <c r="E63" s="719"/>
      <c r="F63" s="1092"/>
      <c r="G63" s="1093"/>
      <c r="I63" s="1"/>
      <c r="J63" s="1"/>
      <c r="K63" s="1"/>
      <c r="L63" s="1"/>
    </row>
    <row r="64" spans="1:12" s="938" customFormat="1" ht="276">
      <c r="A64" s="1"/>
      <c r="B64" s="188"/>
      <c r="C64" s="716" t="s">
        <v>1869</v>
      </c>
      <c r="D64" s="1419" t="s">
        <v>60</v>
      </c>
      <c r="E64" s="719">
        <v>1</v>
      </c>
      <c r="F64" s="1092">
        <v>0</v>
      </c>
      <c r="G64" s="1093">
        <f t="shared" si="0"/>
        <v>0</v>
      </c>
      <c r="I64" s="1"/>
      <c r="J64" s="1"/>
      <c r="K64" s="1"/>
      <c r="L64" s="1"/>
    </row>
    <row r="65" spans="1:12" s="938" customFormat="1" ht="72">
      <c r="A65" s="1"/>
      <c r="B65" s="188"/>
      <c r="C65" s="716" t="s">
        <v>1842</v>
      </c>
      <c r="D65" s="1419" t="s">
        <v>60</v>
      </c>
      <c r="E65" s="719">
        <v>1</v>
      </c>
      <c r="F65" s="1092">
        <v>0</v>
      </c>
      <c r="G65" s="1093">
        <f t="shared" si="0"/>
        <v>0</v>
      </c>
      <c r="I65" s="1"/>
      <c r="J65" s="1"/>
      <c r="K65" s="1"/>
      <c r="L65" s="1"/>
    </row>
    <row r="66" spans="1:12" s="938" customFormat="1" ht="84">
      <c r="A66" s="1"/>
      <c r="B66" s="188"/>
      <c r="C66" s="716" t="s">
        <v>1843</v>
      </c>
      <c r="D66" s="140" t="s">
        <v>60</v>
      </c>
      <c r="E66" s="719">
        <v>1</v>
      </c>
      <c r="F66" s="1092">
        <v>0</v>
      </c>
      <c r="G66" s="1093">
        <f t="shared" si="0"/>
        <v>0</v>
      </c>
      <c r="I66" s="1"/>
      <c r="J66" s="1"/>
      <c r="K66" s="1"/>
      <c r="L66" s="1"/>
    </row>
    <row r="67" spans="1:12" s="938" customFormat="1">
      <c r="A67" s="1"/>
      <c r="B67" s="188">
        <v>4</v>
      </c>
      <c r="C67" s="159" t="s">
        <v>1844</v>
      </c>
      <c r="D67" s="140"/>
      <c r="E67" s="719"/>
      <c r="F67" s="1092"/>
      <c r="G67" s="1093"/>
      <c r="I67" s="1"/>
      <c r="J67" s="1"/>
      <c r="K67" s="1"/>
      <c r="L67" s="1"/>
    </row>
    <row r="68" spans="1:12" s="938" customFormat="1" ht="60">
      <c r="A68" s="1"/>
      <c r="B68" s="188"/>
      <c r="C68" s="716" t="s">
        <v>1845</v>
      </c>
      <c r="D68" s="140" t="s">
        <v>60</v>
      </c>
      <c r="E68" s="719">
        <v>2</v>
      </c>
      <c r="F68" s="1092">
        <v>0</v>
      </c>
      <c r="G68" s="1093">
        <f t="shared" si="0"/>
        <v>0</v>
      </c>
      <c r="I68" s="1"/>
      <c r="J68" s="1"/>
      <c r="K68" s="1"/>
      <c r="L68" s="1"/>
    </row>
    <row r="69" spans="1:12" s="938" customFormat="1" ht="60">
      <c r="A69" s="1"/>
      <c r="B69" s="188"/>
      <c r="C69" s="716" t="s">
        <v>1846</v>
      </c>
      <c r="D69" s="1419" t="s">
        <v>60</v>
      </c>
      <c r="E69" s="719">
        <v>2</v>
      </c>
      <c r="F69" s="1092">
        <v>0</v>
      </c>
      <c r="G69" s="1093">
        <f t="shared" si="0"/>
        <v>0</v>
      </c>
      <c r="I69" s="1"/>
      <c r="J69" s="1"/>
      <c r="K69" s="1"/>
      <c r="L69" s="1"/>
    </row>
    <row r="70" spans="1:12" s="938" customFormat="1" ht="36">
      <c r="A70" s="1"/>
      <c r="B70" s="188"/>
      <c r="C70" s="716" t="s">
        <v>1847</v>
      </c>
      <c r="D70" s="140" t="s">
        <v>252</v>
      </c>
      <c r="E70" s="719">
        <v>1</v>
      </c>
      <c r="F70" s="1092">
        <v>0</v>
      </c>
      <c r="G70" s="1093">
        <f t="shared" si="0"/>
        <v>0</v>
      </c>
      <c r="I70" s="1"/>
      <c r="J70" s="1"/>
      <c r="K70" s="1"/>
      <c r="L70" s="1"/>
    </row>
    <row r="71" spans="1:12" s="938" customFormat="1" ht="132">
      <c r="A71" s="1"/>
      <c r="B71" s="188"/>
      <c r="C71" s="716" t="s">
        <v>1190</v>
      </c>
      <c r="D71" s="140" t="s">
        <v>252</v>
      </c>
      <c r="E71" s="719">
        <v>1</v>
      </c>
      <c r="F71" s="1092">
        <v>0</v>
      </c>
      <c r="G71" s="1093">
        <f t="shared" si="0"/>
        <v>0</v>
      </c>
      <c r="I71" s="1"/>
      <c r="J71" s="1"/>
      <c r="K71" s="1"/>
      <c r="L71" s="1"/>
    </row>
    <row r="72" spans="1:12" s="938" customFormat="1" ht="96">
      <c r="A72" s="1"/>
      <c r="B72" s="188"/>
      <c r="C72" s="716" t="s">
        <v>1848</v>
      </c>
      <c r="D72" s="1419" t="s">
        <v>252</v>
      </c>
      <c r="E72" s="719">
        <v>1</v>
      </c>
      <c r="F72" s="1092">
        <v>0</v>
      </c>
      <c r="G72" s="1093">
        <f t="shared" si="0"/>
        <v>0</v>
      </c>
      <c r="I72" s="1"/>
      <c r="J72" s="1"/>
      <c r="K72" s="1"/>
      <c r="L72" s="1"/>
    </row>
    <row r="73" spans="1:12" s="938" customFormat="1">
      <c r="A73" s="1"/>
      <c r="B73" s="188">
        <v>5</v>
      </c>
      <c r="C73" s="159" t="s">
        <v>1849</v>
      </c>
      <c r="D73" s="140"/>
      <c r="E73" s="719"/>
      <c r="F73" s="1092"/>
      <c r="G73" s="1093"/>
      <c r="I73" s="1"/>
      <c r="J73" s="1"/>
      <c r="K73" s="1"/>
      <c r="L73" s="1"/>
    </row>
    <row r="74" spans="1:12" s="938" customFormat="1">
      <c r="A74" s="1"/>
      <c r="B74" s="188"/>
      <c r="C74" s="716" t="s">
        <v>1850</v>
      </c>
      <c r="D74" s="140" t="s">
        <v>397</v>
      </c>
      <c r="E74" s="719">
        <v>15</v>
      </c>
      <c r="F74" s="1092">
        <v>0</v>
      </c>
      <c r="G74" s="1093">
        <f t="shared" ref="G74:G81" si="2">E74*F74</f>
        <v>0</v>
      </c>
      <c r="I74" s="1"/>
      <c r="J74" s="1"/>
      <c r="K74" s="1"/>
      <c r="L74" s="1"/>
    </row>
    <row r="75" spans="1:12" s="938" customFormat="1">
      <c r="A75" s="1"/>
      <c r="B75" s="188"/>
      <c r="C75" s="716" t="s">
        <v>1851</v>
      </c>
      <c r="D75" s="140" t="s">
        <v>397</v>
      </c>
      <c r="E75" s="719">
        <v>50</v>
      </c>
      <c r="F75" s="1092">
        <v>0</v>
      </c>
      <c r="G75" s="1093">
        <f t="shared" si="2"/>
        <v>0</v>
      </c>
      <c r="I75" s="1"/>
      <c r="J75" s="1"/>
      <c r="K75" s="1"/>
      <c r="L75" s="1"/>
    </row>
    <row r="76" spans="1:12" s="938" customFormat="1">
      <c r="A76" s="1"/>
      <c r="B76" s="188"/>
      <c r="C76" s="716" t="s">
        <v>1852</v>
      </c>
      <c r="D76" s="140" t="s">
        <v>397</v>
      </c>
      <c r="E76" s="719">
        <v>25</v>
      </c>
      <c r="F76" s="1092">
        <v>0</v>
      </c>
      <c r="G76" s="1093">
        <f t="shared" si="2"/>
        <v>0</v>
      </c>
      <c r="I76" s="1"/>
      <c r="J76" s="1"/>
      <c r="K76" s="1"/>
      <c r="L76" s="1"/>
    </row>
    <row r="77" spans="1:12" s="938" customFormat="1">
      <c r="A77" s="1"/>
      <c r="B77" s="188"/>
      <c r="C77" s="716" t="s">
        <v>1315</v>
      </c>
      <c r="D77" s="140" t="s">
        <v>397</v>
      </c>
      <c r="E77" s="719">
        <v>15</v>
      </c>
      <c r="F77" s="1092">
        <v>0</v>
      </c>
      <c r="G77" s="1093">
        <f t="shared" si="2"/>
        <v>0</v>
      </c>
      <c r="I77" s="1"/>
      <c r="J77" s="1"/>
      <c r="K77" s="1"/>
      <c r="L77" s="1"/>
    </row>
    <row r="78" spans="1:12" s="938" customFormat="1">
      <c r="A78" s="1"/>
      <c r="B78" s="188"/>
      <c r="C78" s="716" t="s">
        <v>1853</v>
      </c>
      <c r="D78" s="140" t="s">
        <v>252</v>
      </c>
      <c r="E78" s="719">
        <v>2</v>
      </c>
      <c r="F78" s="1092">
        <v>0</v>
      </c>
      <c r="G78" s="1093">
        <f t="shared" si="2"/>
        <v>0</v>
      </c>
      <c r="I78" s="1"/>
      <c r="J78" s="1"/>
      <c r="K78" s="1"/>
      <c r="L78" s="1"/>
    </row>
    <row r="79" spans="1:12" s="938" customFormat="1">
      <c r="A79" s="1"/>
      <c r="B79" s="188"/>
      <c r="C79" s="716" t="s">
        <v>1854</v>
      </c>
      <c r="D79" s="140" t="s">
        <v>397</v>
      </c>
      <c r="E79" s="719">
        <v>20</v>
      </c>
      <c r="F79" s="1092">
        <v>0</v>
      </c>
      <c r="G79" s="1093">
        <f t="shared" si="2"/>
        <v>0</v>
      </c>
      <c r="I79" s="1"/>
      <c r="J79" s="1"/>
      <c r="K79" s="1"/>
      <c r="L79" s="1"/>
    </row>
    <row r="80" spans="1:12" s="938" customFormat="1">
      <c r="A80" s="1"/>
      <c r="B80" s="188"/>
      <c r="C80" s="716" t="s">
        <v>1855</v>
      </c>
      <c r="D80" s="140" t="s">
        <v>397</v>
      </c>
      <c r="E80" s="719">
        <v>15</v>
      </c>
      <c r="F80" s="1092">
        <v>0</v>
      </c>
      <c r="G80" s="1093">
        <f t="shared" si="2"/>
        <v>0</v>
      </c>
      <c r="I80" s="1"/>
      <c r="J80" s="1"/>
      <c r="K80" s="1"/>
      <c r="L80" s="1"/>
    </row>
    <row r="81" spans="1:12" s="938" customFormat="1">
      <c r="A81" s="1"/>
      <c r="B81" s="188"/>
      <c r="C81" s="716" t="s">
        <v>1293</v>
      </c>
      <c r="D81" s="140" t="s">
        <v>60</v>
      </c>
      <c r="E81" s="719">
        <v>1</v>
      </c>
      <c r="F81" s="1092">
        <v>0</v>
      </c>
      <c r="G81" s="1093">
        <f t="shared" si="2"/>
        <v>0</v>
      </c>
      <c r="I81" s="1"/>
      <c r="J81" s="1"/>
      <c r="K81" s="1"/>
      <c r="L81" s="1"/>
    </row>
    <row r="82" spans="1:12" s="1424" customFormat="1">
      <c r="A82" s="1425"/>
      <c r="B82" s="188">
        <v>6</v>
      </c>
      <c r="C82" s="159" t="s">
        <v>1856</v>
      </c>
      <c r="D82" s="1420"/>
      <c r="E82" s="1421"/>
      <c r="F82" s="1422"/>
      <c r="G82" s="1423"/>
      <c r="I82" s="1425"/>
      <c r="J82" s="1425"/>
      <c r="K82" s="1425"/>
      <c r="L82" s="1425"/>
    </row>
    <row r="83" spans="1:12" s="1424" customFormat="1" ht="24">
      <c r="A83" s="1425"/>
      <c r="B83" s="188"/>
      <c r="C83" s="716" t="s">
        <v>1345</v>
      </c>
      <c r="D83" s="140" t="s">
        <v>397</v>
      </c>
      <c r="E83" s="719">
        <v>8</v>
      </c>
      <c r="F83" s="1092">
        <v>0</v>
      </c>
      <c r="G83" s="1093">
        <f t="shared" ref="G83:G89" si="3">E83*F83</f>
        <v>0</v>
      </c>
      <c r="I83" s="1425"/>
      <c r="J83" s="1425"/>
      <c r="K83" s="1425"/>
      <c r="L83" s="1425"/>
    </row>
    <row r="84" spans="1:12" s="1424" customFormat="1">
      <c r="A84" s="1425"/>
      <c r="B84" s="188"/>
      <c r="C84" s="716" t="s">
        <v>1347</v>
      </c>
      <c r="D84" s="140" t="s">
        <v>397</v>
      </c>
      <c r="E84" s="719">
        <v>50</v>
      </c>
      <c r="F84" s="1092">
        <v>0</v>
      </c>
      <c r="G84" s="1093">
        <f t="shared" si="3"/>
        <v>0</v>
      </c>
      <c r="I84" s="1425"/>
      <c r="J84" s="1425"/>
      <c r="K84" s="1425"/>
      <c r="L84" s="1425"/>
    </row>
    <row r="85" spans="1:12" s="1424" customFormat="1">
      <c r="A85" s="1425"/>
      <c r="B85" s="188"/>
      <c r="C85" s="716" t="s">
        <v>1348</v>
      </c>
      <c r="D85" s="140" t="s">
        <v>397</v>
      </c>
      <c r="E85" s="719">
        <v>20</v>
      </c>
      <c r="F85" s="1092">
        <v>0</v>
      </c>
      <c r="G85" s="1093">
        <f t="shared" si="3"/>
        <v>0</v>
      </c>
      <c r="I85" s="1425"/>
      <c r="J85" s="1425"/>
      <c r="K85" s="1425"/>
      <c r="L85" s="1425"/>
    </row>
    <row r="86" spans="1:12" s="1424" customFormat="1">
      <c r="A86" s="1425"/>
      <c r="B86" s="188"/>
      <c r="C86" s="716" t="s">
        <v>1353</v>
      </c>
      <c r="D86" s="140" t="s">
        <v>252</v>
      </c>
      <c r="E86" s="719">
        <v>1</v>
      </c>
      <c r="F86" s="1092">
        <v>0</v>
      </c>
      <c r="G86" s="1093">
        <f t="shared" si="3"/>
        <v>0</v>
      </c>
      <c r="I86" s="1425"/>
      <c r="J86" s="1425"/>
      <c r="K86" s="1425"/>
      <c r="L86" s="1425"/>
    </row>
    <row r="87" spans="1:12" s="1424" customFormat="1">
      <c r="A87" s="1425"/>
      <c r="B87" s="188"/>
      <c r="C87" s="716" t="s">
        <v>1857</v>
      </c>
      <c r="D87" s="140" t="s">
        <v>252</v>
      </c>
      <c r="E87" s="719">
        <v>3</v>
      </c>
      <c r="F87" s="1092">
        <v>0</v>
      </c>
      <c r="G87" s="1093">
        <f t="shared" si="3"/>
        <v>0</v>
      </c>
      <c r="I87" s="1425"/>
      <c r="J87" s="1425"/>
      <c r="K87" s="1425"/>
      <c r="L87" s="1425"/>
    </row>
    <row r="88" spans="1:12" s="1424" customFormat="1">
      <c r="A88" s="1425"/>
      <c r="B88" s="188"/>
      <c r="C88" s="716" t="s">
        <v>1858</v>
      </c>
      <c r="D88" s="140" t="s">
        <v>252</v>
      </c>
      <c r="E88" s="719">
        <v>2</v>
      </c>
      <c r="F88" s="1092">
        <v>0</v>
      </c>
      <c r="G88" s="1093">
        <f t="shared" si="3"/>
        <v>0</v>
      </c>
      <c r="I88" s="1425"/>
      <c r="J88" s="1425"/>
      <c r="K88" s="1425"/>
      <c r="L88" s="1425"/>
    </row>
    <row r="89" spans="1:12" s="1424" customFormat="1" ht="24">
      <c r="A89" s="1425"/>
      <c r="B89" s="188"/>
      <c r="C89" s="716" t="s">
        <v>1859</v>
      </c>
      <c r="D89" s="140" t="s">
        <v>252</v>
      </c>
      <c r="E89" s="719">
        <v>1</v>
      </c>
      <c r="F89" s="1092">
        <v>0</v>
      </c>
      <c r="G89" s="1093">
        <f t="shared" si="3"/>
        <v>0</v>
      </c>
      <c r="I89" s="1425"/>
      <c r="J89" s="1425"/>
      <c r="K89" s="1425"/>
      <c r="L89" s="1425"/>
    </row>
    <row r="90" spans="1:12" s="938" customFormat="1">
      <c r="A90" s="1"/>
      <c r="B90" s="188">
        <v>7</v>
      </c>
      <c r="C90" s="159" t="s">
        <v>1860</v>
      </c>
      <c r="D90" s="140"/>
      <c r="E90" s="719"/>
      <c r="F90" s="1092"/>
      <c r="G90" s="1093"/>
      <c r="I90" s="1"/>
      <c r="J90" s="1"/>
      <c r="K90" s="1"/>
      <c r="L90" s="1"/>
    </row>
    <row r="91" spans="1:12" s="938" customFormat="1">
      <c r="A91" s="1"/>
      <c r="B91" s="188"/>
      <c r="C91" s="126" t="s">
        <v>1325</v>
      </c>
      <c r="D91" s="140" t="s">
        <v>397</v>
      </c>
      <c r="E91" s="719">
        <v>10</v>
      </c>
      <c r="F91" s="1092">
        <v>0</v>
      </c>
      <c r="G91" s="1093">
        <f t="shared" ref="G91:G94" si="4">E91*F91</f>
        <v>0</v>
      </c>
      <c r="I91" s="1"/>
      <c r="J91" s="1"/>
      <c r="K91" s="1"/>
      <c r="L91" s="1"/>
    </row>
    <row r="92" spans="1:12" s="938" customFormat="1" ht="36">
      <c r="A92" s="1"/>
      <c r="B92" s="188"/>
      <c r="C92" s="126" t="s">
        <v>1326</v>
      </c>
      <c r="D92" s="140" t="s">
        <v>60</v>
      </c>
      <c r="E92" s="719">
        <v>1</v>
      </c>
      <c r="F92" s="1092">
        <v>0</v>
      </c>
      <c r="G92" s="1093">
        <f t="shared" si="4"/>
        <v>0</v>
      </c>
      <c r="I92" s="1"/>
      <c r="J92" s="1"/>
      <c r="K92" s="1"/>
      <c r="L92" s="1"/>
    </row>
    <row r="93" spans="1:12" s="938" customFormat="1" ht="24">
      <c r="A93" s="1"/>
      <c r="B93" s="188"/>
      <c r="C93" s="126" t="s">
        <v>1327</v>
      </c>
      <c r="D93" s="140" t="s">
        <v>60</v>
      </c>
      <c r="E93" s="719">
        <v>1</v>
      </c>
      <c r="F93" s="1092">
        <v>0</v>
      </c>
      <c r="G93" s="1093">
        <f t="shared" si="4"/>
        <v>0</v>
      </c>
      <c r="I93" s="1"/>
      <c r="J93" s="1"/>
      <c r="K93" s="1"/>
      <c r="L93" s="1"/>
    </row>
    <row r="94" spans="1:12" s="938" customFormat="1">
      <c r="A94" s="1"/>
      <c r="B94" s="188"/>
      <c r="C94" s="126" t="s">
        <v>1333</v>
      </c>
      <c r="D94" s="140" t="s">
        <v>60</v>
      </c>
      <c r="E94" s="719">
        <v>1</v>
      </c>
      <c r="F94" s="1092">
        <v>0</v>
      </c>
      <c r="G94" s="1093">
        <f t="shared" si="4"/>
        <v>0</v>
      </c>
      <c r="I94" s="1"/>
      <c r="J94" s="1"/>
      <c r="K94" s="1"/>
      <c r="L94" s="1"/>
    </row>
    <row r="95" spans="1:12" s="938" customFormat="1">
      <c r="A95" s="1"/>
      <c r="B95" s="188">
        <v>8</v>
      </c>
      <c r="C95" s="159" t="s">
        <v>1357</v>
      </c>
      <c r="D95" s="140"/>
      <c r="E95" s="719"/>
      <c r="F95" s="1092"/>
      <c r="G95" s="1093"/>
      <c r="I95" s="1"/>
      <c r="J95" s="1"/>
      <c r="K95" s="1"/>
      <c r="L95" s="1"/>
    </row>
    <row r="96" spans="1:12" s="938" customFormat="1" ht="48">
      <c r="A96" s="1"/>
      <c r="B96" s="188"/>
      <c r="C96" s="716" t="s">
        <v>1872</v>
      </c>
      <c r="D96" s="140" t="s">
        <v>60</v>
      </c>
      <c r="E96" s="719">
        <v>1</v>
      </c>
      <c r="F96" s="1092">
        <v>0</v>
      </c>
      <c r="G96" s="1093">
        <f t="shared" si="0"/>
        <v>0</v>
      </c>
      <c r="I96" s="1"/>
      <c r="J96" s="1"/>
      <c r="K96" s="1"/>
      <c r="L96" s="1"/>
    </row>
    <row r="97" spans="1:12" s="938" customFormat="1" ht="36">
      <c r="A97" s="1"/>
      <c r="B97" s="188"/>
      <c r="C97" s="716" t="s">
        <v>1862</v>
      </c>
      <c r="D97" s="140" t="s">
        <v>60</v>
      </c>
      <c r="E97" s="719">
        <v>1</v>
      </c>
      <c r="F97" s="1092">
        <v>0</v>
      </c>
      <c r="G97" s="1093">
        <f t="shared" si="0"/>
        <v>0</v>
      </c>
      <c r="I97" s="1"/>
      <c r="J97" s="1"/>
      <c r="K97" s="1"/>
      <c r="L97" s="1"/>
    </row>
    <row r="98" spans="1:12" s="938" customFormat="1" ht="36">
      <c r="A98" s="1"/>
      <c r="B98" s="188"/>
      <c r="C98" s="716" t="s">
        <v>1863</v>
      </c>
      <c r="D98" s="140" t="s">
        <v>60</v>
      </c>
      <c r="E98" s="719">
        <v>1</v>
      </c>
      <c r="F98" s="1092">
        <v>0</v>
      </c>
      <c r="G98" s="1093">
        <f t="shared" si="0"/>
        <v>0</v>
      </c>
      <c r="I98" s="1"/>
      <c r="J98" s="1"/>
      <c r="K98" s="1"/>
      <c r="L98" s="1"/>
    </row>
    <row r="99" spans="1:12" s="938" customFormat="1" ht="36">
      <c r="A99" s="1"/>
      <c r="B99" s="188"/>
      <c r="C99" s="716" t="s">
        <v>1864</v>
      </c>
      <c r="D99" s="1419" t="s">
        <v>60</v>
      </c>
      <c r="E99" s="719">
        <v>1</v>
      </c>
      <c r="F99" s="1092">
        <v>0</v>
      </c>
      <c r="G99" s="1093">
        <f t="shared" si="0"/>
        <v>0</v>
      </c>
      <c r="I99" s="1"/>
      <c r="J99" s="1"/>
      <c r="K99" s="1"/>
      <c r="L99" s="1"/>
    </row>
    <row r="100" spans="1:12" s="179" customFormat="1" ht="23.25" customHeight="1">
      <c r="B100" s="713" t="s">
        <v>914</v>
      </c>
      <c r="C100" s="153" t="s">
        <v>1865</v>
      </c>
      <c r="D100" s="153"/>
      <c r="E100" s="154"/>
      <c r="F100" s="155"/>
      <c r="G100" s="263">
        <f>SUM(G30:G99)</f>
        <v>0</v>
      </c>
      <c r="H100"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31987-2B5B-426C-9A79-C53C69400D6F}">
  <sheetPr>
    <tabColor rgb="FFFFFF00"/>
  </sheetPr>
  <dimension ref="A2:L99"/>
  <sheetViews>
    <sheetView showZeros="0" topLeftCell="A4" zoomScale="110" zoomScaleNormal="110" workbookViewId="0">
      <selection activeCell="F87" sqref="F87"/>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1878</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G99</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8" si="0">E30*F30</f>
        <v>0</v>
      </c>
    </row>
    <row r="31" spans="2:8" ht="36">
      <c r="B31" s="188"/>
      <c r="C31" s="716" t="s">
        <v>1876</v>
      </c>
      <c r="D31" s="1419" t="s">
        <v>252</v>
      </c>
      <c r="E31" s="719">
        <v>3</v>
      </c>
      <c r="F31" s="1092">
        <v>0</v>
      </c>
      <c r="G31" s="1093">
        <f t="shared" si="0"/>
        <v>0</v>
      </c>
    </row>
    <row r="32" spans="2:8" ht="96">
      <c r="B32" s="188"/>
      <c r="C32" s="716" t="s">
        <v>1877</v>
      </c>
      <c r="D32" s="1419" t="s">
        <v>60</v>
      </c>
      <c r="E32" s="719">
        <v>1</v>
      </c>
      <c r="F32" s="1092">
        <v>0</v>
      </c>
      <c r="G32" s="1093">
        <f t="shared" si="0"/>
        <v>0</v>
      </c>
    </row>
    <row r="33" spans="1:12" ht="60">
      <c r="B33" s="188"/>
      <c r="C33" s="716" t="s">
        <v>1817</v>
      </c>
      <c r="D33" s="1419" t="s">
        <v>252</v>
      </c>
      <c r="E33" s="719">
        <v>1</v>
      </c>
      <c r="F33" s="1092">
        <v>0</v>
      </c>
      <c r="G33" s="1093">
        <f t="shared" si="0"/>
        <v>0</v>
      </c>
    </row>
    <row r="34" spans="1:12" ht="60">
      <c r="B34" s="188"/>
      <c r="C34" s="716" t="s">
        <v>1818</v>
      </c>
      <c r="D34" s="1419" t="s">
        <v>252</v>
      </c>
      <c r="E34" s="719">
        <v>1</v>
      </c>
      <c r="F34" s="1092">
        <v>0</v>
      </c>
      <c r="G34" s="1093">
        <f t="shared" si="0"/>
        <v>0</v>
      </c>
    </row>
    <row r="35" spans="1:12" ht="60">
      <c r="B35" s="188"/>
      <c r="C35" s="716" t="s">
        <v>1819</v>
      </c>
      <c r="D35" s="1419" t="s">
        <v>252</v>
      </c>
      <c r="E35" s="719">
        <v>2</v>
      </c>
      <c r="F35" s="1092">
        <v>0</v>
      </c>
      <c r="G35" s="1093">
        <f t="shared" si="0"/>
        <v>0</v>
      </c>
    </row>
    <row r="36" spans="1:12" ht="60">
      <c r="B36" s="188"/>
      <c r="C36" s="716" t="s">
        <v>1820</v>
      </c>
      <c r="D36" s="1419" t="s">
        <v>252</v>
      </c>
      <c r="E36" s="719">
        <v>1</v>
      </c>
      <c r="F36" s="1092">
        <v>0</v>
      </c>
      <c r="G36" s="1093">
        <f t="shared" si="0"/>
        <v>0</v>
      </c>
    </row>
    <row r="37" spans="1:12" ht="48">
      <c r="B37" s="188"/>
      <c r="C37" s="716" t="s">
        <v>1821</v>
      </c>
      <c r="D37" s="1419" t="s">
        <v>252</v>
      </c>
      <c r="E37" s="719">
        <v>1</v>
      </c>
      <c r="F37" s="1092">
        <v>0</v>
      </c>
      <c r="G37" s="1093">
        <f t="shared" si="0"/>
        <v>0</v>
      </c>
    </row>
    <row r="38" spans="1:12" ht="60">
      <c r="B38" s="188"/>
      <c r="C38" s="716" t="s">
        <v>1822</v>
      </c>
      <c r="D38" s="1419" t="s">
        <v>60</v>
      </c>
      <c r="E38" s="719">
        <v>1</v>
      </c>
      <c r="F38" s="1092">
        <v>0</v>
      </c>
      <c r="G38" s="1093">
        <f t="shared" si="0"/>
        <v>0</v>
      </c>
    </row>
    <row r="39" spans="1:12" ht="48">
      <c r="B39" s="188"/>
      <c r="C39" s="716" t="s">
        <v>1823</v>
      </c>
      <c r="D39" s="1419" t="s">
        <v>252</v>
      </c>
      <c r="E39" s="719">
        <v>1</v>
      </c>
      <c r="F39" s="1092">
        <v>0</v>
      </c>
      <c r="G39" s="1093">
        <f t="shared" si="0"/>
        <v>0</v>
      </c>
    </row>
    <row r="40" spans="1:12" ht="108">
      <c r="B40" s="188"/>
      <c r="C40" s="716" t="s">
        <v>635</v>
      </c>
      <c r="D40" s="1419" t="s">
        <v>252</v>
      </c>
      <c r="E40" s="719">
        <v>1</v>
      </c>
      <c r="F40" s="1092">
        <v>0</v>
      </c>
      <c r="G40" s="1093">
        <f t="shared" si="0"/>
        <v>0</v>
      </c>
    </row>
    <row r="41" spans="1:12" s="938" customFormat="1" ht="36">
      <c r="A41" s="1"/>
      <c r="B41" s="188"/>
      <c r="C41" s="716" t="s">
        <v>1824</v>
      </c>
      <c r="D41" s="1419" t="s">
        <v>252</v>
      </c>
      <c r="E41" s="719">
        <v>40</v>
      </c>
      <c r="F41" s="1092">
        <v>0</v>
      </c>
      <c r="G41" s="1093">
        <f t="shared" si="0"/>
        <v>0</v>
      </c>
      <c r="I41" s="1"/>
      <c r="J41" s="1"/>
      <c r="K41" s="1"/>
      <c r="L41" s="1"/>
    </row>
    <row r="42" spans="1:12" ht="36">
      <c r="B42" s="188"/>
      <c r="C42" s="716" t="s">
        <v>1825</v>
      </c>
      <c r="D42" s="1419" t="s">
        <v>252</v>
      </c>
      <c r="E42" s="719">
        <v>10</v>
      </c>
      <c r="F42" s="1092">
        <v>0</v>
      </c>
      <c r="G42" s="1093">
        <f t="shared" si="0"/>
        <v>0</v>
      </c>
    </row>
    <row r="43" spans="1:12" ht="36">
      <c r="B43" s="188"/>
      <c r="C43" s="716" t="s">
        <v>1826</v>
      </c>
      <c r="D43" s="1419" t="s">
        <v>252</v>
      </c>
      <c r="E43" s="719">
        <v>2</v>
      </c>
      <c r="F43" s="1092">
        <v>0</v>
      </c>
      <c r="G43" s="1093">
        <f t="shared" si="0"/>
        <v>0</v>
      </c>
    </row>
    <row r="44" spans="1:12" ht="36">
      <c r="B44" s="188"/>
      <c r="C44" s="716" t="s">
        <v>1827</v>
      </c>
      <c r="D44" s="1419" t="s">
        <v>252</v>
      </c>
      <c r="E44" s="719">
        <v>10</v>
      </c>
      <c r="F44" s="1092">
        <v>0</v>
      </c>
      <c r="G44" s="1093">
        <f t="shared" si="0"/>
        <v>0</v>
      </c>
    </row>
    <row r="45" spans="1:12" ht="36">
      <c r="B45" s="188"/>
      <c r="C45" s="716" t="s">
        <v>1828</v>
      </c>
      <c r="D45" s="1419" t="s">
        <v>252</v>
      </c>
      <c r="E45" s="719">
        <v>1</v>
      </c>
      <c r="F45" s="1092">
        <v>0</v>
      </c>
      <c r="G45" s="1093">
        <f t="shared" si="0"/>
        <v>0</v>
      </c>
    </row>
    <row r="46" spans="1:12" ht="48">
      <c r="B46" s="188"/>
      <c r="C46" s="716" t="s">
        <v>1829</v>
      </c>
      <c r="D46" s="1419" t="s">
        <v>252</v>
      </c>
      <c r="E46" s="719">
        <v>1</v>
      </c>
      <c r="F46" s="1092">
        <v>0</v>
      </c>
      <c r="G46" s="1093">
        <f t="shared" si="0"/>
        <v>0</v>
      </c>
    </row>
    <row r="47" spans="1:12" ht="48">
      <c r="B47" s="188"/>
      <c r="C47" s="716" t="s">
        <v>1830</v>
      </c>
      <c r="D47" s="1419" t="s">
        <v>252</v>
      </c>
      <c r="E47" s="719">
        <v>3</v>
      </c>
      <c r="F47" s="1092">
        <v>0</v>
      </c>
      <c r="G47" s="1093">
        <f t="shared" si="0"/>
        <v>0</v>
      </c>
    </row>
    <row r="48" spans="1:12" ht="48">
      <c r="B48" s="188"/>
      <c r="C48" s="716" t="s">
        <v>1831</v>
      </c>
      <c r="D48" s="1419" t="s">
        <v>252</v>
      </c>
      <c r="E48" s="719">
        <v>3</v>
      </c>
      <c r="F48" s="1092">
        <v>0</v>
      </c>
      <c r="G48" s="1093">
        <f t="shared" si="0"/>
        <v>0</v>
      </c>
    </row>
    <row r="49" spans="1:12" ht="48">
      <c r="B49" s="188"/>
      <c r="C49" s="716" t="s">
        <v>1832</v>
      </c>
      <c r="D49" s="1419" t="s">
        <v>252</v>
      </c>
      <c r="E49" s="719">
        <v>3</v>
      </c>
      <c r="F49" s="1092">
        <v>0</v>
      </c>
      <c r="G49" s="1093">
        <f t="shared" si="0"/>
        <v>0</v>
      </c>
    </row>
    <row r="50" spans="1:12" s="938" customFormat="1" ht="48">
      <c r="A50" s="1"/>
      <c r="B50" s="188"/>
      <c r="C50" s="716" t="s">
        <v>1833</v>
      </c>
      <c r="D50" s="1419" t="s">
        <v>60</v>
      </c>
      <c r="E50" s="719">
        <v>1</v>
      </c>
      <c r="F50" s="1092">
        <v>0</v>
      </c>
      <c r="G50" s="1093">
        <f t="shared" si="0"/>
        <v>0</v>
      </c>
      <c r="I50" s="1"/>
      <c r="J50" s="1"/>
      <c r="K50" s="1"/>
      <c r="L50" s="1"/>
    </row>
    <row r="51" spans="1:12" s="938" customFormat="1" ht="60">
      <c r="A51" s="1"/>
      <c r="B51" s="188"/>
      <c r="C51" s="716" t="s">
        <v>1834</v>
      </c>
      <c r="D51" s="140" t="s">
        <v>252</v>
      </c>
      <c r="E51" s="719">
        <v>1</v>
      </c>
      <c r="F51" s="1092">
        <v>0</v>
      </c>
      <c r="G51" s="1093">
        <f t="shared" si="0"/>
        <v>0</v>
      </c>
      <c r="I51" s="1"/>
      <c r="J51" s="1"/>
      <c r="K51" s="1"/>
      <c r="L51" s="1"/>
    </row>
    <row r="52" spans="1:12" s="938" customFormat="1" ht="84">
      <c r="A52" s="1"/>
      <c r="B52" s="188"/>
      <c r="C52" s="716" t="s">
        <v>1835</v>
      </c>
      <c r="D52" s="140" t="s">
        <v>252</v>
      </c>
      <c r="E52" s="719">
        <v>1</v>
      </c>
      <c r="F52" s="1092">
        <v>0</v>
      </c>
      <c r="G52" s="1093">
        <f t="shared" si="0"/>
        <v>0</v>
      </c>
      <c r="I52" s="1"/>
      <c r="J52" s="1"/>
      <c r="K52" s="1"/>
      <c r="L52" s="1"/>
    </row>
    <row r="53" spans="1:12" s="938" customFormat="1">
      <c r="A53" s="1"/>
      <c r="B53" s="188">
        <v>2</v>
      </c>
      <c r="C53" s="159" t="s">
        <v>1294</v>
      </c>
      <c r="D53" s="140"/>
      <c r="E53" s="719"/>
      <c r="F53" s="1092"/>
      <c r="G53" s="1093"/>
      <c r="I53" s="1"/>
      <c r="J53" s="1"/>
      <c r="K53" s="1"/>
      <c r="L53" s="1"/>
    </row>
    <row r="54" spans="1:12" ht="387.75" customHeight="1">
      <c r="B54" s="2262"/>
      <c r="C54" s="2263"/>
      <c r="D54" s="2264"/>
      <c r="E54" s="2265"/>
      <c r="F54" s="2266"/>
      <c r="G54" s="2254"/>
    </row>
    <row r="55" spans="1:12" ht="24.75" customHeight="1">
      <c r="B55" s="2262"/>
      <c r="C55" s="2263" t="s">
        <v>2262</v>
      </c>
      <c r="D55" s="2267" t="s">
        <v>60</v>
      </c>
      <c r="E55" s="2265">
        <v>1</v>
      </c>
      <c r="F55" s="2266">
        <v>0</v>
      </c>
      <c r="G55" s="2254">
        <f t="shared" ref="G55" si="1">E55*F55</f>
        <v>0</v>
      </c>
    </row>
    <row r="56" spans="1:12" s="938" customFormat="1" ht="48">
      <c r="A56" s="1"/>
      <c r="B56" s="188"/>
      <c r="C56" s="716" t="s">
        <v>1836</v>
      </c>
      <c r="D56" s="140" t="s">
        <v>252</v>
      </c>
      <c r="E56" s="719">
        <v>1</v>
      </c>
      <c r="F56" s="1092">
        <v>0</v>
      </c>
      <c r="G56" s="1093">
        <f t="shared" si="0"/>
        <v>0</v>
      </c>
      <c r="I56" s="1"/>
      <c r="J56" s="1"/>
      <c r="K56" s="1"/>
      <c r="L56" s="1"/>
    </row>
    <row r="57" spans="1:12" s="938" customFormat="1" ht="60">
      <c r="A57" s="1"/>
      <c r="B57" s="188"/>
      <c r="C57" s="716" t="s">
        <v>1837</v>
      </c>
      <c r="D57" s="140" t="s">
        <v>252</v>
      </c>
      <c r="E57" s="719">
        <v>1</v>
      </c>
      <c r="F57" s="1092">
        <v>0</v>
      </c>
      <c r="G57" s="1093">
        <f t="shared" si="0"/>
        <v>0</v>
      </c>
      <c r="I57" s="1"/>
      <c r="J57" s="1"/>
      <c r="K57" s="1"/>
      <c r="L57" s="1"/>
    </row>
    <row r="58" spans="1:12" s="938" customFormat="1" ht="180">
      <c r="A58" s="1"/>
      <c r="B58" s="188"/>
      <c r="C58" s="716" t="s">
        <v>654</v>
      </c>
      <c r="D58" s="140" t="s">
        <v>252</v>
      </c>
      <c r="E58" s="719">
        <v>1</v>
      </c>
      <c r="F58" s="1092">
        <v>0</v>
      </c>
      <c r="G58" s="1093">
        <f t="shared" si="0"/>
        <v>0</v>
      </c>
      <c r="I58" s="1"/>
      <c r="J58" s="1"/>
      <c r="K58" s="1"/>
      <c r="L58" s="1"/>
    </row>
    <row r="59" spans="1:12" s="938" customFormat="1" ht="60">
      <c r="A59" s="1"/>
      <c r="B59" s="188"/>
      <c r="C59" s="716" t="s">
        <v>655</v>
      </c>
      <c r="D59" s="1419" t="s">
        <v>60</v>
      </c>
      <c r="E59" s="719">
        <v>1</v>
      </c>
      <c r="F59" s="1092">
        <v>0</v>
      </c>
      <c r="G59" s="1093">
        <f t="shared" si="0"/>
        <v>0</v>
      </c>
      <c r="I59" s="1"/>
      <c r="J59" s="1"/>
      <c r="K59" s="1"/>
      <c r="L59" s="1"/>
    </row>
    <row r="60" spans="1:12" s="938" customFormat="1" ht="36">
      <c r="A60" s="1"/>
      <c r="B60" s="188"/>
      <c r="C60" s="716" t="s">
        <v>1838</v>
      </c>
      <c r="D60" s="1419" t="s">
        <v>252</v>
      </c>
      <c r="E60" s="719">
        <v>1</v>
      </c>
      <c r="F60" s="1092">
        <v>0</v>
      </c>
      <c r="G60" s="1093">
        <f t="shared" si="0"/>
        <v>0</v>
      </c>
      <c r="I60" s="1"/>
      <c r="J60" s="1"/>
      <c r="K60" s="1"/>
      <c r="L60" s="1"/>
    </row>
    <row r="61" spans="1:12" s="938" customFormat="1" ht="288">
      <c r="A61" s="1"/>
      <c r="B61" s="188"/>
      <c r="C61" s="716" t="s">
        <v>1839</v>
      </c>
      <c r="D61" s="1419" t="s">
        <v>60</v>
      </c>
      <c r="E61" s="719">
        <v>2</v>
      </c>
      <c r="F61" s="1092">
        <v>0</v>
      </c>
      <c r="G61" s="1093">
        <f t="shared" si="0"/>
        <v>0</v>
      </c>
      <c r="I61" s="1"/>
      <c r="J61" s="1"/>
      <c r="K61" s="1"/>
      <c r="L61" s="1"/>
    </row>
    <row r="62" spans="1:12" s="938" customFormat="1">
      <c r="A62" s="1"/>
      <c r="B62" s="188">
        <v>3</v>
      </c>
      <c r="C62" s="159" t="s">
        <v>1840</v>
      </c>
      <c r="D62" s="140"/>
      <c r="E62" s="719"/>
      <c r="F62" s="1092"/>
      <c r="G62" s="1093"/>
      <c r="I62" s="1"/>
      <c r="J62" s="1"/>
      <c r="K62" s="1"/>
      <c r="L62" s="1"/>
    </row>
    <row r="63" spans="1:12" s="938" customFormat="1" ht="276">
      <c r="A63" s="1"/>
      <c r="B63" s="188"/>
      <c r="C63" s="716" t="s">
        <v>1869</v>
      </c>
      <c r="D63" s="140" t="s">
        <v>60</v>
      </c>
      <c r="E63" s="719">
        <v>1</v>
      </c>
      <c r="F63" s="1092">
        <v>0</v>
      </c>
      <c r="G63" s="1093">
        <f t="shared" si="0"/>
        <v>0</v>
      </c>
      <c r="I63" s="1"/>
      <c r="J63" s="1"/>
      <c r="K63" s="1"/>
      <c r="L63" s="1"/>
    </row>
    <row r="64" spans="1:12" s="938" customFormat="1" ht="72">
      <c r="A64" s="1"/>
      <c r="B64" s="188"/>
      <c r="C64" s="716" t="s">
        <v>1842</v>
      </c>
      <c r="D64" s="140" t="s">
        <v>60</v>
      </c>
      <c r="E64" s="719">
        <v>1</v>
      </c>
      <c r="F64" s="1092">
        <v>0</v>
      </c>
      <c r="G64" s="1093">
        <f t="shared" si="0"/>
        <v>0</v>
      </c>
      <c r="I64" s="1"/>
      <c r="J64" s="1"/>
      <c r="K64" s="1"/>
      <c r="L64" s="1"/>
    </row>
    <row r="65" spans="1:12" s="938" customFormat="1" ht="84">
      <c r="A65" s="1"/>
      <c r="B65" s="188"/>
      <c r="C65" s="716" t="s">
        <v>1843</v>
      </c>
      <c r="D65" s="1419" t="s">
        <v>60</v>
      </c>
      <c r="E65" s="719">
        <v>1</v>
      </c>
      <c r="F65" s="1092">
        <v>0</v>
      </c>
      <c r="G65" s="1093">
        <f t="shared" si="0"/>
        <v>0</v>
      </c>
      <c r="I65" s="1"/>
      <c r="J65" s="1"/>
      <c r="K65" s="1"/>
      <c r="L65" s="1"/>
    </row>
    <row r="66" spans="1:12" s="938" customFormat="1">
      <c r="A66" s="1"/>
      <c r="B66" s="188">
        <v>4</v>
      </c>
      <c r="C66" s="159" t="s">
        <v>1844</v>
      </c>
      <c r="D66" s="140"/>
      <c r="E66" s="719"/>
      <c r="F66" s="1092"/>
      <c r="G66" s="1093"/>
      <c r="I66" s="1"/>
      <c r="J66" s="1"/>
      <c r="K66" s="1"/>
      <c r="L66" s="1"/>
    </row>
    <row r="67" spans="1:12" s="938" customFormat="1" ht="60">
      <c r="A67" s="1"/>
      <c r="B67" s="188"/>
      <c r="C67" s="716" t="s">
        <v>1845</v>
      </c>
      <c r="D67" s="1419" t="s">
        <v>60</v>
      </c>
      <c r="E67" s="719">
        <v>2</v>
      </c>
      <c r="F67" s="1092">
        <v>0</v>
      </c>
      <c r="G67" s="1093">
        <f t="shared" si="0"/>
        <v>0</v>
      </c>
      <c r="I67" s="1"/>
      <c r="J67" s="1"/>
      <c r="K67" s="1"/>
      <c r="L67" s="1"/>
    </row>
    <row r="68" spans="1:12" s="938" customFormat="1" ht="60">
      <c r="A68" s="1"/>
      <c r="B68" s="188"/>
      <c r="C68" s="716" t="s">
        <v>1846</v>
      </c>
      <c r="D68" s="140" t="s">
        <v>60</v>
      </c>
      <c r="E68" s="719">
        <v>2</v>
      </c>
      <c r="F68" s="1092">
        <v>0</v>
      </c>
      <c r="G68" s="1093">
        <f t="shared" si="0"/>
        <v>0</v>
      </c>
      <c r="I68" s="1"/>
      <c r="J68" s="1"/>
      <c r="K68" s="1"/>
      <c r="L68" s="1"/>
    </row>
    <row r="69" spans="1:12" s="938" customFormat="1" ht="36">
      <c r="A69" s="1"/>
      <c r="B69" s="188"/>
      <c r="C69" s="716" t="s">
        <v>1847</v>
      </c>
      <c r="D69" s="140" t="s">
        <v>252</v>
      </c>
      <c r="E69" s="719">
        <v>1</v>
      </c>
      <c r="F69" s="1092">
        <v>0</v>
      </c>
      <c r="G69" s="1093">
        <f t="shared" si="0"/>
        <v>0</v>
      </c>
      <c r="I69" s="1"/>
      <c r="J69" s="1"/>
      <c r="K69" s="1"/>
      <c r="L69" s="1"/>
    </row>
    <row r="70" spans="1:12" s="938" customFormat="1" ht="132">
      <c r="A70" s="1"/>
      <c r="B70" s="188"/>
      <c r="C70" s="716" t="s">
        <v>1190</v>
      </c>
      <c r="D70" s="1419" t="s">
        <v>252</v>
      </c>
      <c r="E70" s="719">
        <v>1</v>
      </c>
      <c r="F70" s="1092">
        <v>0</v>
      </c>
      <c r="G70" s="1093">
        <f t="shared" si="0"/>
        <v>0</v>
      </c>
      <c r="I70" s="1"/>
      <c r="J70" s="1"/>
      <c r="K70" s="1"/>
      <c r="L70" s="1"/>
    </row>
    <row r="71" spans="1:12" s="938" customFormat="1" ht="96">
      <c r="A71" s="1"/>
      <c r="B71" s="188"/>
      <c r="C71" s="716" t="s">
        <v>1848</v>
      </c>
      <c r="D71" s="140" t="s">
        <v>252</v>
      </c>
      <c r="E71" s="719">
        <v>1</v>
      </c>
      <c r="F71" s="1092">
        <v>0</v>
      </c>
      <c r="G71" s="1093">
        <f t="shared" si="0"/>
        <v>0</v>
      </c>
      <c r="I71" s="1"/>
      <c r="J71" s="1"/>
      <c r="K71" s="1"/>
      <c r="L71" s="1"/>
    </row>
    <row r="72" spans="1:12" s="938" customFormat="1">
      <c r="A72" s="1"/>
      <c r="B72" s="188">
        <v>5</v>
      </c>
      <c r="C72" s="159" t="s">
        <v>1849</v>
      </c>
      <c r="D72" s="140"/>
      <c r="E72" s="719"/>
      <c r="F72" s="1092"/>
      <c r="G72" s="1093"/>
      <c r="I72" s="1"/>
      <c r="J72" s="1"/>
      <c r="K72" s="1"/>
      <c r="L72" s="1"/>
    </row>
    <row r="73" spans="1:12" s="938" customFormat="1">
      <c r="A73" s="1"/>
      <c r="B73" s="188"/>
      <c r="C73" s="716" t="s">
        <v>1850</v>
      </c>
      <c r="D73" s="140" t="s">
        <v>397</v>
      </c>
      <c r="E73" s="719">
        <v>15</v>
      </c>
      <c r="F73" s="1092">
        <v>0</v>
      </c>
      <c r="G73" s="1093">
        <f t="shared" ref="G73:G80" si="2">E73*F73</f>
        <v>0</v>
      </c>
      <c r="I73" s="1"/>
      <c r="J73" s="1"/>
      <c r="K73" s="1"/>
      <c r="L73" s="1"/>
    </row>
    <row r="74" spans="1:12" s="938" customFormat="1">
      <c r="A74" s="1"/>
      <c r="B74" s="188"/>
      <c r="C74" s="716" t="s">
        <v>1851</v>
      </c>
      <c r="D74" s="140" t="s">
        <v>397</v>
      </c>
      <c r="E74" s="719">
        <v>50</v>
      </c>
      <c r="F74" s="1092">
        <v>0</v>
      </c>
      <c r="G74" s="1093">
        <f t="shared" si="2"/>
        <v>0</v>
      </c>
      <c r="I74" s="1"/>
      <c r="J74" s="1"/>
      <c r="K74" s="1"/>
      <c r="L74" s="1"/>
    </row>
    <row r="75" spans="1:12" s="938" customFormat="1">
      <c r="A75" s="1"/>
      <c r="B75" s="188"/>
      <c r="C75" s="716" t="s">
        <v>1852</v>
      </c>
      <c r="D75" s="140" t="s">
        <v>397</v>
      </c>
      <c r="E75" s="719">
        <v>25</v>
      </c>
      <c r="F75" s="1092">
        <v>0</v>
      </c>
      <c r="G75" s="1093">
        <f t="shared" si="2"/>
        <v>0</v>
      </c>
      <c r="I75" s="1"/>
      <c r="J75" s="1"/>
      <c r="K75" s="1"/>
      <c r="L75" s="1"/>
    </row>
    <row r="76" spans="1:12" s="938" customFormat="1">
      <c r="A76" s="1"/>
      <c r="B76" s="188"/>
      <c r="C76" s="716" t="s">
        <v>1315</v>
      </c>
      <c r="D76" s="140" t="s">
        <v>397</v>
      </c>
      <c r="E76" s="719">
        <v>15</v>
      </c>
      <c r="F76" s="1092">
        <v>0</v>
      </c>
      <c r="G76" s="1093">
        <f t="shared" si="2"/>
        <v>0</v>
      </c>
      <c r="I76" s="1"/>
      <c r="J76" s="1"/>
      <c r="K76" s="1"/>
      <c r="L76" s="1"/>
    </row>
    <row r="77" spans="1:12" s="938" customFormat="1">
      <c r="A77" s="1"/>
      <c r="B77" s="188"/>
      <c r="C77" s="716" t="s">
        <v>1853</v>
      </c>
      <c r="D77" s="140" t="s">
        <v>252</v>
      </c>
      <c r="E77" s="719">
        <v>2</v>
      </c>
      <c r="F77" s="1092">
        <v>0</v>
      </c>
      <c r="G77" s="1093">
        <f t="shared" si="2"/>
        <v>0</v>
      </c>
      <c r="I77" s="1"/>
      <c r="J77" s="1"/>
      <c r="K77" s="1"/>
      <c r="L77" s="1"/>
    </row>
    <row r="78" spans="1:12" s="938" customFormat="1">
      <c r="A78" s="1"/>
      <c r="B78" s="188"/>
      <c r="C78" s="716" t="s">
        <v>1854</v>
      </c>
      <c r="D78" s="140" t="s">
        <v>397</v>
      </c>
      <c r="E78" s="719">
        <v>20</v>
      </c>
      <c r="F78" s="1092">
        <v>0</v>
      </c>
      <c r="G78" s="1093">
        <f t="shared" si="2"/>
        <v>0</v>
      </c>
      <c r="I78" s="1"/>
      <c r="J78" s="1"/>
      <c r="K78" s="1"/>
      <c r="L78" s="1"/>
    </row>
    <row r="79" spans="1:12" s="938" customFormat="1">
      <c r="A79" s="1"/>
      <c r="B79" s="188"/>
      <c r="C79" s="716" t="s">
        <v>1855</v>
      </c>
      <c r="D79" s="140" t="s">
        <v>397</v>
      </c>
      <c r="E79" s="719">
        <v>15</v>
      </c>
      <c r="F79" s="1092">
        <v>0</v>
      </c>
      <c r="G79" s="1093">
        <f t="shared" si="2"/>
        <v>0</v>
      </c>
      <c r="I79" s="1"/>
      <c r="J79" s="1"/>
      <c r="K79" s="1"/>
      <c r="L79" s="1"/>
    </row>
    <row r="80" spans="1:12" s="938" customFormat="1">
      <c r="A80" s="1"/>
      <c r="B80" s="188"/>
      <c r="C80" s="716" t="s">
        <v>1293</v>
      </c>
      <c r="D80" s="140" t="s">
        <v>60</v>
      </c>
      <c r="E80" s="719">
        <v>1</v>
      </c>
      <c r="F80" s="1092">
        <v>0</v>
      </c>
      <c r="G80" s="1093">
        <f t="shared" si="2"/>
        <v>0</v>
      </c>
      <c r="I80" s="1"/>
      <c r="J80" s="1"/>
      <c r="K80" s="1"/>
      <c r="L80" s="1"/>
    </row>
    <row r="81" spans="1:12" s="1424" customFormat="1">
      <c r="A81" s="1425"/>
      <c r="B81" s="188">
        <v>6</v>
      </c>
      <c r="C81" s="159" t="s">
        <v>1856</v>
      </c>
      <c r="D81" s="1420"/>
      <c r="E81" s="1421"/>
      <c r="F81" s="1422"/>
      <c r="G81" s="1423"/>
      <c r="I81" s="1425"/>
      <c r="J81" s="1425"/>
      <c r="K81" s="1425"/>
      <c r="L81" s="1425"/>
    </row>
    <row r="82" spans="1:12" s="1424" customFormat="1" ht="24">
      <c r="A82" s="1425"/>
      <c r="B82" s="188"/>
      <c r="C82" s="716" t="s">
        <v>1345</v>
      </c>
      <c r="D82" s="140" t="s">
        <v>397</v>
      </c>
      <c r="E82" s="719">
        <v>8</v>
      </c>
      <c r="F82" s="1092">
        <v>0</v>
      </c>
      <c r="G82" s="1093">
        <f t="shared" ref="G82:G88" si="3">E82*F82</f>
        <v>0</v>
      </c>
      <c r="I82" s="1425"/>
      <c r="J82" s="1425"/>
      <c r="K82" s="1425"/>
      <c r="L82" s="1425"/>
    </row>
    <row r="83" spans="1:12" s="1424" customFormat="1">
      <c r="A83" s="1425"/>
      <c r="B83" s="188"/>
      <c r="C83" s="716" t="s">
        <v>1347</v>
      </c>
      <c r="D83" s="140" t="s">
        <v>397</v>
      </c>
      <c r="E83" s="719">
        <v>50</v>
      </c>
      <c r="F83" s="1092">
        <v>0</v>
      </c>
      <c r="G83" s="1093">
        <f t="shared" si="3"/>
        <v>0</v>
      </c>
      <c r="I83" s="1425"/>
      <c r="J83" s="1425"/>
      <c r="K83" s="1425"/>
      <c r="L83" s="1425"/>
    </row>
    <row r="84" spans="1:12" s="1424" customFormat="1">
      <c r="A84" s="1425"/>
      <c r="B84" s="188"/>
      <c r="C84" s="716" t="s">
        <v>1348</v>
      </c>
      <c r="D84" s="140" t="s">
        <v>397</v>
      </c>
      <c r="E84" s="719">
        <v>20</v>
      </c>
      <c r="F84" s="1092">
        <v>0</v>
      </c>
      <c r="G84" s="1093">
        <f t="shared" si="3"/>
        <v>0</v>
      </c>
      <c r="I84" s="1425"/>
      <c r="J84" s="1425"/>
      <c r="K84" s="1425"/>
      <c r="L84" s="1425"/>
    </row>
    <row r="85" spans="1:12" s="1424" customFormat="1">
      <c r="A85" s="1425"/>
      <c r="B85" s="188"/>
      <c r="C85" s="716" t="s">
        <v>1353</v>
      </c>
      <c r="D85" s="140" t="s">
        <v>252</v>
      </c>
      <c r="E85" s="719">
        <v>1</v>
      </c>
      <c r="F85" s="1092">
        <v>0</v>
      </c>
      <c r="G85" s="1093">
        <f t="shared" si="3"/>
        <v>0</v>
      </c>
      <c r="I85" s="1425"/>
      <c r="J85" s="1425"/>
      <c r="K85" s="1425"/>
      <c r="L85" s="1425"/>
    </row>
    <row r="86" spans="1:12" s="1424" customFormat="1">
      <c r="A86" s="1425"/>
      <c r="B86" s="188"/>
      <c r="C86" s="716" t="s">
        <v>1857</v>
      </c>
      <c r="D86" s="140" t="s">
        <v>252</v>
      </c>
      <c r="E86" s="719">
        <v>3</v>
      </c>
      <c r="F86" s="1092">
        <v>0</v>
      </c>
      <c r="G86" s="1093">
        <f t="shared" si="3"/>
        <v>0</v>
      </c>
      <c r="I86" s="1425"/>
      <c r="J86" s="1425"/>
      <c r="K86" s="1425"/>
      <c r="L86" s="1425"/>
    </row>
    <row r="87" spans="1:12" s="1424" customFormat="1">
      <c r="A87" s="1425"/>
      <c r="B87" s="188"/>
      <c r="C87" s="716" t="s">
        <v>1858</v>
      </c>
      <c r="D87" s="140" t="s">
        <v>252</v>
      </c>
      <c r="E87" s="719">
        <v>2</v>
      </c>
      <c r="F87" s="1092">
        <v>0</v>
      </c>
      <c r="G87" s="1093">
        <f t="shared" si="3"/>
        <v>0</v>
      </c>
      <c r="I87" s="1425"/>
      <c r="J87" s="1425"/>
      <c r="K87" s="1425"/>
      <c r="L87" s="1425"/>
    </row>
    <row r="88" spans="1:12" s="1424" customFormat="1" ht="24">
      <c r="A88" s="1425"/>
      <c r="B88" s="188"/>
      <c r="C88" s="716" t="s">
        <v>1859</v>
      </c>
      <c r="D88" s="140" t="s">
        <v>252</v>
      </c>
      <c r="E88" s="719">
        <v>1</v>
      </c>
      <c r="F88" s="1092">
        <v>0</v>
      </c>
      <c r="G88" s="1093">
        <f t="shared" si="3"/>
        <v>0</v>
      </c>
      <c r="I88" s="1425"/>
      <c r="J88" s="1425"/>
      <c r="K88" s="1425"/>
      <c r="L88" s="1425"/>
    </row>
    <row r="89" spans="1:12" s="938" customFormat="1">
      <c r="A89" s="1"/>
      <c r="B89" s="188">
        <v>7</v>
      </c>
      <c r="C89" s="159" t="s">
        <v>1860</v>
      </c>
      <c r="D89" s="140"/>
      <c r="E89" s="719"/>
      <c r="F89" s="1092"/>
      <c r="G89" s="1093"/>
      <c r="I89" s="1"/>
      <c r="J89" s="1"/>
      <c r="K89" s="1"/>
      <c r="L89" s="1"/>
    </row>
    <row r="90" spans="1:12" s="938" customFormat="1">
      <c r="A90" s="1"/>
      <c r="B90" s="188"/>
      <c r="C90" s="126" t="s">
        <v>1325</v>
      </c>
      <c r="D90" s="140" t="s">
        <v>397</v>
      </c>
      <c r="E90" s="719">
        <v>10</v>
      </c>
      <c r="F90" s="1092">
        <v>0</v>
      </c>
      <c r="G90" s="1093">
        <f t="shared" ref="G90:G93" si="4">E90*F90</f>
        <v>0</v>
      </c>
      <c r="I90" s="1"/>
      <c r="J90" s="1"/>
      <c r="K90" s="1"/>
      <c r="L90" s="1"/>
    </row>
    <row r="91" spans="1:12" s="938" customFormat="1" ht="36">
      <c r="A91" s="1"/>
      <c r="B91" s="188"/>
      <c r="C91" s="126" t="s">
        <v>1326</v>
      </c>
      <c r="D91" s="140" t="s">
        <v>60</v>
      </c>
      <c r="E91" s="719">
        <v>1</v>
      </c>
      <c r="F91" s="1092">
        <v>0</v>
      </c>
      <c r="G91" s="1093">
        <f t="shared" si="4"/>
        <v>0</v>
      </c>
      <c r="I91" s="1"/>
      <c r="J91" s="1"/>
      <c r="K91" s="1"/>
      <c r="L91" s="1"/>
    </row>
    <row r="92" spans="1:12" s="938" customFormat="1" ht="24">
      <c r="A92" s="1"/>
      <c r="B92" s="188"/>
      <c r="C92" s="126" t="s">
        <v>1327</v>
      </c>
      <c r="D92" s="140" t="s">
        <v>60</v>
      </c>
      <c r="E92" s="719">
        <v>1</v>
      </c>
      <c r="F92" s="1092">
        <v>0</v>
      </c>
      <c r="G92" s="1093">
        <f t="shared" si="4"/>
        <v>0</v>
      </c>
      <c r="I92" s="1"/>
      <c r="J92" s="1"/>
      <c r="K92" s="1"/>
      <c r="L92" s="1"/>
    </row>
    <row r="93" spans="1:12" s="938" customFormat="1">
      <c r="A93" s="1"/>
      <c r="B93" s="188"/>
      <c r="C93" s="126" t="s">
        <v>1333</v>
      </c>
      <c r="D93" s="140" t="s">
        <v>60</v>
      </c>
      <c r="E93" s="719">
        <v>1</v>
      </c>
      <c r="F93" s="1092">
        <v>0</v>
      </c>
      <c r="G93" s="1093">
        <f t="shared" si="4"/>
        <v>0</v>
      </c>
      <c r="I93" s="1"/>
      <c r="J93" s="1"/>
      <c r="K93" s="1"/>
      <c r="L93" s="1"/>
    </row>
    <row r="94" spans="1:12" s="938" customFormat="1">
      <c r="A94" s="1"/>
      <c r="B94" s="188">
        <v>8</v>
      </c>
      <c r="C94" s="159" t="s">
        <v>1357</v>
      </c>
      <c r="D94" s="140"/>
      <c r="E94" s="719"/>
      <c r="F94" s="1092"/>
      <c r="G94" s="1093"/>
      <c r="I94" s="1"/>
      <c r="J94" s="1"/>
      <c r="K94" s="1"/>
      <c r="L94" s="1"/>
    </row>
    <row r="95" spans="1:12" s="938" customFormat="1" ht="48">
      <c r="A95" s="1"/>
      <c r="B95" s="188"/>
      <c r="C95" s="716" t="s">
        <v>1872</v>
      </c>
      <c r="D95" s="1419" t="s">
        <v>60</v>
      </c>
      <c r="E95" s="719">
        <v>1</v>
      </c>
      <c r="F95" s="1092">
        <v>0</v>
      </c>
      <c r="G95" s="1093">
        <f t="shared" si="0"/>
        <v>0</v>
      </c>
      <c r="I95" s="1"/>
      <c r="J95" s="1"/>
      <c r="K95" s="1"/>
      <c r="L95" s="1"/>
    </row>
    <row r="96" spans="1:12" s="938" customFormat="1" ht="36">
      <c r="A96" s="1"/>
      <c r="B96" s="188"/>
      <c r="C96" s="716" t="s">
        <v>1862</v>
      </c>
      <c r="D96" s="140" t="s">
        <v>60</v>
      </c>
      <c r="E96" s="719">
        <v>1</v>
      </c>
      <c r="F96" s="1092">
        <v>0</v>
      </c>
      <c r="G96" s="1093">
        <f t="shared" si="0"/>
        <v>0</v>
      </c>
      <c r="I96" s="1"/>
      <c r="J96" s="1"/>
      <c r="K96" s="1"/>
      <c r="L96" s="1"/>
    </row>
    <row r="97" spans="1:12" s="938" customFormat="1" ht="36">
      <c r="A97" s="1"/>
      <c r="B97" s="188"/>
      <c r="C97" s="716" t="s">
        <v>1863</v>
      </c>
      <c r="D97" s="140" t="s">
        <v>60</v>
      </c>
      <c r="E97" s="719">
        <v>1</v>
      </c>
      <c r="F97" s="1092">
        <v>0</v>
      </c>
      <c r="G97" s="1093">
        <f t="shared" si="0"/>
        <v>0</v>
      </c>
      <c r="I97" s="1"/>
      <c r="J97" s="1"/>
      <c r="K97" s="1"/>
      <c r="L97" s="1"/>
    </row>
    <row r="98" spans="1:12" s="938" customFormat="1" ht="36">
      <c r="A98" s="1"/>
      <c r="B98" s="188"/>
      <c r="C98" s="716" t="s">
        <v>1864</v>
      </c>
      <c r="D98" s="140" t="s">
        <v>60</v>
      </c>
      <c r="E98" s="719">
        <v>1</v>
      </c>
      <c r="F98" s="1092">
        <v>0</v>
      </c>
      <c r="G98" s="1093">
        <f t="shared" si="0"/>
        <v>0</v>
      </c>
      <c r="I98" s="1"/>
      <c r="J98" s="1"/>
      <c r="K98" s="1"/>
      <c r="L98" s="1"/>
    </row>
    <row r="99" spans="1:12" s="179" customFormat="1" ht="23.25" customHeight="1">
      <c r="B99" s="713" t="s">
        <v>914</v>
      </c>
      <c r="C99" s="153" t="s">
        <v>1865</v>
      </c>
      <c r="D99" s="153"/>
      <c r="E99" s="154"/>
      <c r="F99" s="155"/>
      <c r="G99" s="263">
        <f>SUM(G30:G98)</f>
        <v>0</v>
      </c>
      <c r="H99"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E93B-AD35-4A91-9EEC-0A6BBDAB63A8}">
  <sheetPr>
    <tabColor rgb="FFFFFF00"/>
  </sheetPr>
  <dimension ref="A2:L100"/>
  <sheetViews>
    <sheetView showZeros="0" zoomScale="110" zoomScaleNormal="110" workbookViewId="0">
      <selection activeCell="F84" sqref="F84"/>
    </sheetView>
  </sheetViews>
  <sheetFormatPr defaultColWidth="10.42578125" defaultRowHeight="12.75"/>
  <cols>
    <col min="1" max="1" width="4.42578125" style="1" customWidth="1"/>
    <col min="2" max="2" width="7.42578125" style="67" customWidth="1"/>
    <col min="3" max="3" width="53.28515625" style="68" customWidth="1"/>
    <col min="4" max="4" width="10.42578125" style="69" customWidth="1"/>
    <col min="5" max="5" width="9.28515625" style="1426" customWidth="1"/>
    <col min="6" max="6" width="12.140625" style="1427" customWidth="1"/>
    <col min="7" max="7" width="14.28515625" style="1418" bestFit="1" customWidth="1"/>
    <col min="8" max="8" width="16" style="938"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c r="B2" s="2"/>
      <c r="C2" s="662" t="s">
        <v>0</v>
      </c>
      <c r="D2" s="4"/>
      <c r="E2" s="5"/>
      <c r="F2" s="6"/>
      <c r="G2" s="7" t="s">
        <v>1</v>
      </c>
    </row>
    <row r="4" spans="1:12" s="73" customFormat="1" ht="15">
      <c r="B4" s="74" t="s">
        <v>35</v>
      </c>
      <c r="C4" s="673" t="s">
        <v>242</v>
      </c>
      <c r="D4" s="76"/>
      <c r="E4" s="77"/>
      <c r="F4" s="78"/>
      <c r="G4" s="79"/>
      <c r="H4" s="1392"/>
    </row>
    <row r="5" spans="1:12" s="73" customFormat="1" ht="12" customHeight="1">
      <c r="B5" s="80"/>
      <c r="C5" s="81"/>
      <c r="D5" s="82"/>
      <c r="E5" s="83"/>
      <c r="F5" s="84"/>
      <c r="G5" s="85"/>
      <c r="H5" s="1392"/>
    </row>
    <row r="6" spans="1:12" s="86" customFormat="1" ht="21" customHeight="1">
      <c r="B6" s="676" t="s">
        <v>37</v>
      </c>
      <c r="C6" s="1393" t="s">
        <v>1879</v>
      </c>
      <c r="D6" s="76"/>
      <c r="E6" s="77"/>
      <c r="F6" s="78"/>
      <c r="G6" s="79"/>
      <c r="H6" s="1394"/>
      <c r="I6" s="87"/>
      <c r="J6" s="87"/>
      <c r="K6" s="87"/>
      <c r="L6" s="87"/>
    </row>
    <row r="7" spans="1:12" s="86" customFormat="1" ht="14.25">
      <c r="B7" s="80"/>
      <c r="C7" s="81"/>
      <c r="D7" s="82"/>
      <c r="E7" s="83"/>
      <c r="F7" s="84"/>
      <c r="G7" s="88"/>
      <c r="H7" s="1394"/>
      <c r="I7" s="87"/>
      <c r="J7" s="87"/>
      <c r="K7" s="87"/>
      <c r="L7" s="87"/>
    </row>
    <row r="8" spans="1:12" s="14" customFormat="1" ht="18" customHeight="1">
      <c r="A8" s="9"/>
      <c r="B8" s="10" t="s">
        <v>2</v>
      </c>
      <c r="C8" s="11"/>
      <c r="D8" s="12"/>
      <c r="E8" s="12"/>
      <c r="F8" s="12"/>
      <c r="G8" s="13"/>
    </row>
    <row r="9" spans="1:12" s="14" customFormat="1" ht="18" customHeight="1">
      <c r="A9" s="15"/>
      <c r="B9" s="16" t="s">
        <v>3</v>
      </c>
      <c r="C9" s="17"/>
      <c r="D9" s="18"/>
      <c r="E9" s="19"/>
      <c r="F9" s="19"/>
      <c r="G9" s="18"/>
    </row>
    <row r="10" spans="1:12" s="14" customFormat="1" ht="18" customHeight="1">
      <c r="A10" s="9"/>
      <c r="B10" s="10" t="s">
        <v>4</v>
      </c>
      <c r="C10" s="11"/>
      <c r="D10" s="12"/>
      <c r="E10" s="12"/>
      <c r="F10" s="12"/>
      <c r="G10" s="13"/>
    </row>
    <row r="11" spans="1:12" s="14" customFormat="1" ht="18" customHeight="1">
      <c r="A11" s="15"/>
      <c r="B11" s="16" t="s">
        <v>5</v>
      </c>
      <c r="C11" s="17"/>
      <c r="D11" s="19"/>
      <c r="E11" s="19"/>
      <c r="F11" s="19"/>
      <c r="G11" s="18"/>
    </row>
    <row r="12" spans="1:12" s="86" customFormat="1" ht="14.25">
      <c r="B12" s="89"/>
      <c r="C12" s="90"/>
      <c r="D12" s="91"/>
      <c r="E12" s="92"/>
      <c r="F12" s="93"/>
      <c r="G12" s="94"/>
      <c r="H12" s="1394"/>
      <c r="I12" s="87"/>
      <c r="J12" s="87"/>
      <c r="K12" s="87"/>
      <c r="L12" s="87"/>
    </row>
    <row r="13" spans="1:12" s="86" customFormat="1" ht="18.75" customHeight="1">
      <c r="B13" s="95"/>
      <c r="C13" s="1395" t="s">
        <v>40</v>
      </c>
      <c r="D13" s="97"/>
      <c r="E13" s="98"/>
      <c r="F13" s="99"/>
      <c r="G13" s="100"/>
      <c r="H13" s="1394"/>
      <c r="I13" s="87"/>
      <c r="J13" s="87"/>
      <c r="K13" s="87"/>
      <c r="L13" s="87"/>
    </row>
    <row r="14" spans="1:12" s="101" customFormat="1" ht="18.75" customHeight="1">
      <c r="B14" s="1396" t="s">
        <v>41</v>
      </c>
      <c r="C14" s="1397" t="s">
        <v>42</v>
      </c>
      <c r="D14" s="1398"/>
      <c r="E14" s="1399"/>
      <c r="F14" s="1400"/>
      <c r="G14" s="1401" t="s">
        <v>10</v>
      </c>
      <c r="H14" s="1402"/>
    </row>
    <row r="15" spans="1:12" s="339" customFormat="1" ht="18.75" customHeight="1">
      <c r="B15" s="1403" t="s">
        <v>914</v>
      </c>
      <c r="C15" s="1404" t="s">
        <v>916</v>
      </c>
      <c r="D15" s="1405"/>
      <c r="E15" s="1406"/>
      <c r="F15" s="1407"/>
      <c r="G15" s="1408">
        <f>G100</f>
        <v>0</v>
      </c>
      <c r="H15" s="1409"/>
    </row>
    <row r="16" spans="1:12" s="339" customFormat="1" ht="18.75" customHeight="1">
      <c r="B16" s="1410"/>
      <c r="C16" s="1411" t="s">
        <v>49</v>
      </c>
      <c r="D16" s="1412"/>
      <c r="E16" s="1413"/>
      <c r="F16" s="1414"/>
      <c r="G16" s="1415">
        <f>SUM(G15:G15)</f>
        <v>0</v>
      </c>
      <c r="H16" s="1409"/>
    </row>
    <row r="17" spans="2:8">
      <c r="B17" s="61"/>
      <c r="C17" s="62"/>
      <c r="D17" s="63"/>
      <c r="E17" s="1416"/>
      <c r="F17" s="1417"/>
    </row>
    <row r="19" spans="2:8" ht="24">
      <c r="B19" s="119" t="s">
        <v>41</v>
      </c>
      <c r="C19" s="120" t="s">
        <v>51</v>
      </c>
      <c r="D19" s="121" t="s">
        <v>52</v>
      </c>
      <c r="E19" s="122" t="s">
        <v>53</v>
      </c>
      <c r="F19" s="123" t="s">
        <v>54</v>
      </c>
      <c r="G19" s="124" t="s">
        <v>55</v>
      </c>
    </row>
    <row r="20" spans="2:8">
      <c r="B20" s="125"/>
      <c r="C20" s="126"/>
      <c r="D20" s="127"/>
      <c r="E20" s="719"/>
      <c r="F20" s="1107"/>
      <c r="G20" s="731"/>
    </row>
    <row r="21" spans="2:8" s="138" customFormat="1" ht="20.25">
      <c r="B21" s="131" t="s">
        <v>914</v>
      </c>
      <c r="C21" s="132" t="s">
        <v>916</v>
      </c>
      <c r="D21" s="133"/>
      <c r="E21" s="134"/>
      <c r="F21" s="135"/>
      <c r="G21" s="136"/>
      <c r="H21" s="946"/>
    </row>
    <row r="22" spans="2:8" s="138" customFormat="1" ht="24" customHeight="1">
      <c r="B22" s="2475" t="s">
        <v>551</v>
      </c>
      <c r="C22" s="2476"/>
      <c r="D22" s="2476"/>
      <c r="E22" s="2476"/>
      <c r="F22" s="2476"/>
      <c r="G22" s="2477"/>
      <c r="H22" s="946"/>
    </row>
    <row r="23" spans="2:8" s="138" customFormat="1" ht="24" customHeight="1">
      <c r="B23" s="2396" t="s">
        <v>552</v>
      </c>
      <c r="C23" s="2397"/>
      <c r="D23" s="2397"/>
      <c r="E23" s="2397"/>
      <c r="F23" s="2397"/>
      <c r="G23" s="2398"/>
      <c r="H23" s="946"/>
    </row>
    <row r="24" spans="2:8" s="138" customFormat="1" ht="24" customHeight="1">
      <c r="B24" s="2396" t="s">
        <v>553</v>
      </c>
      <c r="C24" s="2397"/>
      <c r="D24" s="2397"/>
      <c r="E24" s="2397"/>
      <c r="F24" s="2397"/>
      <c r="G24" s="2398"/>
      <c r="H24" s="946"/>
    </row>
    <row r="25" spans="2:8" s="138" customFormat="1" ht="24" customHeight="1">
      <c r="B25" s="2396" t="s">
        <v>554</v>
      </c>
      <c r="C25" s="2397"/>
      <c r="D25" s="2397"/>
      <c r="E25" s="2397"/>
      <c r="F25" s="2397"/>
      <c r="G25" s="2398"/>
      <c r="H25" s="946"/>
    </row>
    <row r="26" spans="2:8" s="138" customFormat="1" ht="24" customHeight="1">
      <c r="B26" s="2396" t="s">
        <v>555</v>
      </c>
      <c r="C26" s="2397"/>
      <c r="D26" s="2397"/>
      <c r="E26" s="2397"/>
      <c r="F26" s="2397"/>
      <c r="G26" s="2398"/>
      <c r="H26" s="946"/>
    </row>
    <row r="27" spans="2:8" s="138" customFormat="1" ht="24" customHeight="1">
      <c r="B27" s="2396" t="s">
        <v>556</v>
      </c>
      <c r="C27" s="2397"/>
      <c r="D27" s="2397"/>
      <c r="E27" s="2397"/>
      <c r="F27" s="2397"/>
      <c r="G27" s="2398"/>
      <c r="H27" s="946"/>
    </row>
    <row r="28" spans="2:8" s="138" customFormat="1" ht="24" customHeight="1">
      <c r="B28" s="2396" t="s">
        <v>557</v>
      </c>
      <c r="C28" s="2397"/>
      <c r="D28" s="2397"/>
      <c r="E28" s="2397"/>
      <c r="F28" s="2397"/>
      <c r="G28" s="2398"/>
      <c r="H28" s="946"/>
    </row>
    <row r="29" spans="2:8">
      <c r="B29" s="188">
        <v>1</v>
      </c>
      <c r="C29" s="159" t="s">
        <v>1218</v>
      </c>
      <c r="D29" s="140"/>
      <c r="E29" s="719"/>
      <c r="F29" s="1092"/>
      <c r="G29" s="1093"/>
    </row>
    <row r="30" spans="2:8" ht="108">
      <c r="B30" s="188"/>
      <c r="C30" s="716" t="s">
        <v>1816</v>
      </c>
      <c r="D30" s="1419" t="s">
        <v>60</v>
      </c>
      <c r="E30" s="719">
        <v>1</v>
      </c>
      <c r="F30" s="1092">
        <v>0</v>
      </c>
      <c r="G30" s="1093">
        <f t="shared" ref="G30:G99" si="0">E30*F30</f>
        <v>0</v>
      </c>
    </row>
    <row r="31" spans="2:8" ht="60">
      <c r="B31" s="188"/>
      <c r="C31" s="716" t="s">
        <v>1817</v>
      </c>
      <c r="D31" s="1419" t="s">
        <v>252</v>
      </c>
      <c r="E31" s="719">
        <v>1</v>
      </c>
      <c r="F31" s="1092">
        <v>0</v>
      </c>
      <c r="G31" s="1093">
        <f t="shared" si="0"/>
        <v>0</v>
      </c>
    </row>
    <row r="32" spans="2:8" ht="60">
      <c r="B32" s="188"/>
      <c r="C32" s="716" t="s">
        <v>1818</v>
      </c>
      <c r="D32" s="1419" t="s">
        <v>252</v>
      </c>
      <c r="E32" s="719">
        <v>1</v>
      </c>
      <c r="F32" s="1092">
        <v>0</v>
      </c>
      <c r="G32" s="1093">
        <f t="shared" si="0"/>
        <v>0</v>
      </c>
    </row>
    <row r="33" spans="1:12" ht="60">
      <c r="B33" s="188"/>
      <c r="C33" s="716" t="s">
        <v>1819</v>
      </c>
      <c r="D33" s="1419" t="s">
        <v>252</v>
      </c>
      <c r="E33" s="719">
        <v>2</v>
      </c>
      <c r="F33" s="1092">
        <v>0</v>
      </c>
      <c r="G33" s="1093">
        <f t="shared" si="0"/>
        <v>0</v>
      </c>
    </row>
    <row r="34" spans="1:12" ht="60">
      <c r="B34" s="188"/>
      <c r="C34" s="716" t="s">
        <v>1820</v>
      </c>
      <c r="D34" s="1419" t="s">
        <v>252</v>
      </c>
      <c r="E34" s="719">
        <v>1</v>
      </c>
      <c r="F34" s="1092">
        <v>0</v>
      </c>
      <c r="G34" s="1093">
        <f t="shared" si="0"/>
        <v>0</v>
      </c>
    </row>
    <row r="35" spans="1:12" ht="48">
      <c r="B35" s="188"/>
      <c r="C35" s="716" t="s">
        <v>1821</v>
      </c>
      <c r="D35" s="1419" t="s">
        <v>252</v>
      </c>
      <c r="E35" s="719">
        <v>1</v>
      </c>
      <c r="F35" s="1092">
        <v>0</v>
      </c>
      <c r="G35" s="1093">
        <f t="shared" si="0"/>
        <v>0</v>
      </c>
    </row>
    <row r="36" spans="1:12" ht="60">
      <c r="B36" s="188"/>
      <c r="C36" s="716" t="s">
        <v>1822</v>
      </c>
      <c r="D36" s="1419" t="s">
        <v>60</v>
      </c>
      <c r="E36" s="719">
        <v>1</v>
      </c>
      <c r="F36" s="1092">
        <v>0</v>
      </c>
      <c r="G36" s="1093">
        <f t="shared" si="0"/>
        <v>0</v>
      </c>
    </row>
    <row r="37" spans="1:12" ht="48">
      <c r="B37" s="188"/>
      <c r="C37" s="716" t="s">
        <v>1823</v>
      </c>
      <c r="D37" s="1419" t="s">
        <v>252</v>
      </c>
      <c r="E37" s="719">
        <v>1</v>
      </c>
      <c r="F37" s="1092">
        <v>0</v>
      </c>
      <c r="G37" s="1093">
        <f t="shared" si="0"/>
        <v>0</v>
      </c>
    </row>
    <row r="38" spans="1:12" ht="108">
      <c r="B38" s="188"/>
      <c r="C38" s="716" t="s">
        <v>635</v>
      </c>
      <c r="D38" s="1419" t="s">
        <v>252</v>
      </c>
      <c r="E38" s="719">
        <v>1</v>
      </c>
      <c r="F38" s="1092">
        <v>0</v>
      </c>
      <c r="G38" s="1093">
        <f t="shared" si="0"/>
        <v>0</v>
      </c>
    </row>
    <row r="39" spans="1:12" ht="36">
      <c r="B39" s="188"/>
      <c r="C39" s="716" t="s">
        <v>1824</v>
      </c>
      <c r="D39" s="1419" t="s">
        <v>252</v>
      </c>
      <c r="E39" s="719">
        <v>40</v>
      </c>
      <c r="F39" s="1092">
        <v>0</v>
      </c>
      <c r="G39" s="1093">
        <f t="shared" si="0"/>
        <v>0</v>
      </c>
    </row>
    <row r="40" spans="1:12" ht="36">
      <c r="B40" s="188"/>
      <c r="C40" s="716" t="s">
        <v>1825</v>
      </c>
      <c r="D40" s="1419" t="s">
        <v>252</v>
      </c>
      <c r="E40" s="719">
        <v>10</v>
      </c>
      <c r="F40" s="1092">
        <v>0</v>
      </c>
      <c r="G40" s="1093">
        <f t="shared" si="0"/>
        <v>0</v>
      </c>
    </row>
    <row r="41" spans="1:12" s="938" customFormat="1" ht="36">
      <c r="A41" s="1"/>
      <c r="B41" s="188"/>
      <c r="C41" s="716" t="s">
        <v>1826</v>
      </c>
      <c r="D41" s="1419" t="s">
        <v>252</v>
      </c>
      <c r="E41" s="719">
        <v>2</v>
      </c>
      <c r="F41" s="1092">
        <v>0</v>
      </c>
      <c r="G41" s="1093">
        <f t="shared" si="0"/>
        <v>0</v>
      </c>
      <c r="I41" s="1"/>
      <c r="J41" s="1"/>
      <c r="K41" s="1"/>
      <c r="L41" s="1"/>
    </row>
    <row r="42" spans="1:12" ht="36">
      <c r="B42" s="188"/>
      <c r="C42" s="716" t="s">
        <v>1827</v>
      </c>
      <c r="D42" s="1419" t="s">
        <v>252</v>
      </c>
      <c r="E42" s="719">
        <v>10</v>
      </c>
      <c r="F42" s="1092">
        <v>0</v>
      </c>
      <c r="G42" s="1093">
        <f t="shared" si="0"/>
        <v>0</v>
      </c>
    </row>
    <row r="43" spans="1:12" ht="36">
      <c r="B43" s="188"/>
      <c r="C43" s="716" t="s">
        <v>1828</v>
      </c>
      <c r="D43" s="1419" t="s">
        <v>252</v>
      </c>
      <c r="E43" s="719">
        <v>1</v>
      </c>
      <c r="F43" s="1092">
        <v>0</v>
      </c>
      <c r="G43" s="1093">
        <f t="shared" si="0"/>
        <v>0</v>
      </c>
    </row>
    <row r="44" spans="1:12" ht="48">
      <c r="B44" s="188"/>
      <c r="C44" s="716" t="s">
        <v>1829</v>
      </c>
      <c r="D44" s="1419" t="s">
        <v>252</v>
      </c>
      <c r="E44" s="719">
        <v>1</v>
      </c>
      <c r="F44" s="1092">
        <v>0</v>
      </c>
      <c r="G44" s="1093">
        <f t="shared" si="0"/>
        <v>0</v>
      </c>
    </row>
    <row r="45" spans="1:12" ht="48">
      <c r="B45" s="188"/>
      <c r="C45" s="716" t="s">
        <v>1830</v>
      </c>
      <c r="D45" s="1419" t="s">
        <v>252</v>
      </c>
      <c r="E45" s="719">
        <v>3</v>
      </c>
      <c r="F45" s="1092">
        <v>0</v>
      </c>
      <c r="G45" s="1093">
        <f t="shared" si="0"/>
        <v>0</v>
      </c>
    </row>
    <row r="46" spans="1:12" ht="48">
      <c r="B46" s="188"/>
      <c r="C46" s="716" t="s">
        <v>1831</v>
      </c>
      <c r="D46" s="1419" t="s">
        <v>252</v>
      </c>
      <c r="E46" s="719">
        <v>3</v>
      </c>
      <c r="F46" s="1092">
        <v>0</v>
      </c>
      <c r="G46" s="1093">
        <f t="shared" si="0"/>
        <v>0</v>
      </c>
    </row>
    <row r="47" spans="1:12" ht="48">
      <c r="B47" s="188"/>
      <c r="C47" s="716" t="s">
        <v>1832</v>
      </c>
      <c r="D47" s="1419" t="s">
        <v>252</v>
      </c>
      <c r="E47" s="719">
        <v>3</v>
      </c>
      <c r="F47" s="1092">
        <v>0</v>
      </c>
      <c r="G47" s="1093">
        <f t="shared" si="0"/>
        <v>0</v>
      </c>
    </row>
    <row r="48" spans="1:12" ht="48">
      <c r="B48" s="188"/>
      <c r="C48" s="716" t="s">
        <v>1833</v>
      </c>
      <c r="D48" s="1419" t="s">
        <v>60</v>
      </c>
      <c r="E48" s="719">
        <v>1</v>
      </c>
      <c r="F48" s="1092">
        <v>0</v>
      </c>
      <c r="G48" s="1093">
        <f t="shared" si="0"/>
        <v>0</v>
      </c>
    </row>
    <row r="49" spans="1:12" ht="60">
      <c r="B49" s="188"/>
      <c r="C49" s="716" t="s">
        <v>1834</v>
      </c>
      <c r="D49" s="1419" t="s">
        <v>252</v>
      </c>
      <c r="E49" s="719">
        <v>1</v>
      </c>
      <c r="F49" s="1092">
        <v>0</v>
      </c>
      <c r="G49" s="1093">
        <f t="shared" si="0"/>
        <v>0</v>
      </c>
    </row>
    <row r="50" spans="1:12" s="938" customFormat="1" ht="84">
      <c r="A50" s="1"/>
      <c r="B50" s="188"/>
      <c r="C50" s="716" t="s">
        <v>1835</v>
      </c>
      <c r="D50" s="1419" t="s">
        <v>252</v>
      </c>
      <c r="E50" s="719">
        <v>1</v>
      </c>
      <c r="F50" s="1092">
        <v>0</v>
      </c>
      <c r="G50" s="1093">
        <f t="shared" si="0"/>
        <v>0</v>
      </c>
      <c r="I50" s="1"/>
      <c r="J50" s="1"/>
      <c r="K50" s="1"/>
      <c r="L50" s="1"/>
    </row>
    <row r="51" spans="1:12" s="938" customFormat="1">
      <c r="A51" s="1"/>
      <c r="B51" s="188">
        <v>2</v>
      </c>
      <c r="C51" s="159" t="s">
        <v>1294</v>
      </c>
      <c r="D51" s="140"/>
      <c r="E51" s="719"/>
      <c r="F51" s="1092"/>
      <c r="G51" s="1093"/>
      <c r="I51" s="1"/>
      <c r="J51" s="1"/>
      <c r="K51" s="1"/>
      <c r="L51" s="1"/>
    </row>
    <row r="52" spans="1:12" ht="387.75" customHeight="1">
      <c r="B52" s="2262"/>
      <c r="C52" s="2263"/>
      <c r="D52" s="2264"/>
      <c r="E52" s="2265"/>
      <c r="F52" s="2266"/>
      <c r="G52" s="2254"/>
    </row>
    <row r="53" spans="1:12" ht="24.75" customHeight="1">
      <c r="B53" s="2262"/>
      <c r="C53" s="2263" t="s">
        <v>2262</v>
      </c>
      <c r="D53" s="2267" t="s">
        <v>60</v>
      </c>
      <c r="E53" s="2265">
        <v>1</v>
      </c>
      <c r="F53" s="2266">
        <v>0</v>
      </c>
      <c r="G53" s="2254">
        <f t="shared" ref="G53" si="1">E53*F53</f>
        <v>0</v>
      </c>
    </row>
    <row r="54" spans="1:12" s="938" customFormat="1" ht="72">
      <c r="A54" s="1"/>
      <c r="B54" s="188"/>
      <c r="C54" s="716" t="s">
        <v>649</v>
      </c>
      <c r="D54" s="140" t="s">
        <v>60</v>
      </c>
      <c r="E54" s="719">
        <v>1</v>
      </c>
      <c r="F54" s="1092">
        <v>0</v>
      </c>
      <c r="G54" s="1093">
        <f t="shared" si="0"/>
        <v>0</v>
      </c>
      <c r="I54" s="1"/>
      <c r="J54" s="1"/>
      <c r="K54" s="1"/>
      <c r="L54" s="1"/>
    </row>
    <row r="55" spans="1:12" s="938" customFormat="1" ht="48">
      <c r="A55" s="1"/>
      <c r="B55" s="188"/>
      <c r="C55" s="716" t="s">
        <v>1836</v>
      </c>
      <c r="D55" s="140" t="s">
        <v>252</v>
      </c>
      <c r="E55" s="719">
        <v>1</v>
      </c>
      <c r="F55" s="1092">
        <v>0</v>
      </c>
      <c r="G55" s="1093">
        <f t="shared" si="0"/>
        <v>0</v>
      </c>
      <c r="I55" s="1"/>
      <c r="J55" s="1"/>
      <c r="K55" s="1"/>
      <c r="L55" s="1"/>
    </row>
    <row r="56" spans="1:12" s="938" customFormat="1" ht="60">
      <c r="A56" s="1"/>
      <c r="B56" s="188"/>
      <c r="C56" s="716" t="s">
        <v>1837</v>
      </c>
      <c r="D56" s="140" t="s">
        <v>252</v>
      </c>
      <c r="E56" s="719">
        <v>1</v>
      </c>
      <c r="F56" s="1092">
        <v>0</v>
      </c>
      <c r="G56" s="1093">
        <f t="shared" si="0"/>
        <v>0</v>
      </c>
      <c r="I56" s="1"/>
      <c r="J56" s="1"/>
      <c r="K56" s="1"/>
      <c r="L56" s="1"/>
    </row>
    <row r="57" spans="1:12" s="938" customFormat="1" ht="180">
      <c r="A57" s="1"/>
      <c r="B57" s="188"/>
      <c r="C57" s="716" t="s">
        <v>654</v>
      </c>
      <c r="D57" s="140" t="s">
        <v>252</v>
      </c>
      <c r="E57" s="719">
        <v>1</v>
      </c>
      <c r="F57" s="1092">
        <v>0</v>
      </c>
      <c r="G57" s="1093">
        <f t="shared" si="0"/>
        <v>0</v>
      </c>
      <c r="I57" s="1"/>
      <c r="J57" s="1"/>
      <c r="K57" s="1"/>
      <c r="L57" s="1"/>
    </row>
    <row r="58" spans="1:12" s="938" customFormat="1" ht="60">
      <c r="A58" s="1"/>
      <c r="B58" s="188"/>
      <c r="C58" s="716" t="s">
        <v>1868</v>
      </c>
      <c r="D58" s="140" t="s">
        <v>60</v>
      </c>
      <c r="E58" s="719">
        <v>1</v>
      </c>
      <c r="F58" s="1092">
        <v>0</v>
      </c>
      <c r="G58" s="1093">
        <f t="shared" si="0"/>
        <v>0</v>
      </c>
      <c r="I58" s="1"/>
      <c r="J58" s="1"/>
      <c r="K58" s="1"/>
      <c r="L58" s="1"/>
    </row>
    <row r="59" spans="1:12" s="938" customFormat="1" ht="36">
      <c r="A59" s="1"/>
      <c r="B59" s="188"/>
      <c r="C59" s="716" t="s">
        <v>1838</v>
      </c>
      <c r="D59" s="140" t="s">
        <v>252</v>
      </c>
      <c r="E59" s="719">
        <v>1</v>
      </c>
      <c r="F59" s="1092">
        <v>0</v>
      </c>
      <c r="G59" s="1093">
        <f t="shared" si="0"/>
        <v>0</v>
      </c>
      <c r="I59" s="1"/>
      <c r="J59" s="1"/>
      <c r="K59" s="1"/>
      <c r="L59" s="1"/>
    </row>
    <row r="60" spans="1:12" s="938" customFormat="1" ht="288">
      <c r="A60" s="1"/>
      <c r="B60" s="188"/>
      <c r="C60" s="716" t="s">
        <v>1839</v>
      </c>
      <c r="D60" s="1419" t="s">
        <v>60</v>
      </c>
      <c r="E60" s="719">
        <v>2</v>
      </c>
      <c r="F60" s="1092">
        <v>0</v>
      </c>
      <c r="G60" s="1093">
        <f t="shared" si="0"/>
        <v>0</v>
      </c>
      <c r="I60" s="1"/>
      <c r="J60" s="1"/>
      <c r="K60" s="1"/>
      <c r="L60" s="1"/>
    </row>
    <row r="61" spans="1:12" s="938" customFormat="1">
      <c r="A61" s="1"/>
      <c r="B61" s="188">
        <v>3</v>
      </c>
      <c r="C61" s="159" t="s">
        <v>1840</v>
      </c>
      <c r="D61" s="140"/>
      <c r="E61" s="719"/>
      <c r="F61" s="1092"/>
      <c r="G61" s="1093"/>
      <c r="I61" s="1"/>
      <c r="J61" s="1"/>
      <c r="K61" s="1"/>
      <c r="L61" s="1"/>
    </row>
    <row r="62" spans="1:12" s="938" customFormat="1" ht="276">
      <c r="A62" s="1"/>
      <c r="B62" s="188"/>
      <c r="C62" s="716" t="s">
        <v>1869</v>
      </c>
      <c r="D62" s="1419" t="s">
        <v>60</v>
      </c>
      <c r="E62" s="719">
        <v>1</v>
      </c>
      <c r="F62" s="1092">
        <v>0</v>
      </c>
      <c r="G62" s="1093">
        <f t="shared" si="0"/>
        <v>0</v>
      </c>
      <c r="I62" s="1"/>
      <c r="J62" s="1"/>
      <c r="K62" s="1"/>
      <c r="L62" s="1"/>
    </row>
    <row r="63" spans="1:12" s="938" customFormat="1" ht="72">
      <c r="A63" s="1"/>
      <c r="B63" s="188"/>
      <c r="C63" s="716" t="s">
        <v>1842</v>
      </c>
      <c r="D63" s="1419" t="s">
        <v>60</v>
      </c>
      <c r="E63" s="719">
        <v>1</v>
      </c>
      <c r="F63" s="1092">
        <v>0</v>
      </c>
      <c r="G63" s="1093">
        <f t="shared" si="0"/>
        <v>0</v>
      </c>
      <c r="I63" s="1"/>
      <c r="J63" s="1"/>
      <c r="K63" s="1"/>
      <c r="L63" s="1"/>
    </row>
    <row r="64" spans="1:12" s="938" customFormat="1" ht="84">
      <c r="A64" s="1"/>
      <c r="B64" s="188"/>
      <c r="C64" s="716" t="s">
        <v>1843</v>
      </c>
      <c r="D64" s="140" t="s">
        <v>60</v>
      </c>
      <c r="E64" s="719">
        <v>1</v>
      </c>
      <c r="F64" s="1092">
        <v>0</v>
      </c>
      <c r="G64" s="1093">
        <f t="shared" si="0"/>
        <v>0</v>
      </c>
      <c r="I64" s="1"/>
      <c r="J64" s="1"/>
      <c r="K64" s="1"/>
      <c r="L64" s="1"/>
    </row>
    <row r="65" spans="1:12" s="938" customFormat="1">
      <c r="A65" s="1"/>
      <c r="B65" s="188">
        <v>4</v>
      </c>
      <c r="C65" s="159" t="s">
        <v>1844</v>
      </c>
      <c r="D65" s="140"/>
      <c r="E65" s="719"/>
      <c r="F65" s="1092"/>
      <c r="G65" s="1093"/>
      <c r="I65" s="1"/>
      <c r="J65" s="1"/>
      <c r="K65" s="1"/>
      <c r="L65" s="1"/>
    </row>
    <row r="66" spans="1:12" s="938" customFormat="1" ht="60">
      <c r="A66" s="1"/>
      <c r="B66" s="188"/>
      <c r="C66" s="716" t="s">
        <v>1845</v>
      </c>
      <c r="D66" s="140" t="s">
        <v>60</v>
      </c>
      <c r="E66" s="719">
        <v>2</v>
      </c>
      <c r="F66" s="1092">
        <v>0</v>
      </c>
      <c r="G66" s="1093">
        <f t="shared" si="0"/>
        <v>0</v>
      </c>
      <c r="I66" s="1"/>
      <c r="J66" s="1"/>
      <c r="K66" s="1"/>
      <c r="L66" s="1"/>
    </row>
    <row r="67" spans="1:12" s="938" customFormat="1" ht="60">
      <c r="A67" s="1"/>
      <c r="B67" s="188"/>
      <c r="C67" s="716" t="s">
        <v>1846</v>
      </c>
      <c r="D67" s="140" t="s">
        <v>60</v>
      </c>
      <c r="E67" s="719">
        <v>1</v>
      </c>
      <c r="F67" s="1092">
        <v>0</v>
      </c>
      <c r="G67" s="1093">
        <f t="shared" si="0"/>
        <v>0</v>
      </c>
      <c r="I67" s="1"/>
      <c r="J67" s="1"/>
      <c r="K67" s="1"/>
      <c r="L67" s="1"/>
    </row>
    <row r="68" spans="1:12" s="938" customFormat="1" ht="36">
      <c r="A68" s="1"/>
      <c r="B68" s="188"/>
      <c r="C68" s="716" t="s">
        <v>1847</v>
      </c>
      <c r="D68" s="140" t="s">
        <v>252</v>
      </c>
      <c r="E68" s="719">
        <v>1</v>
      </c>
      <c r="F68" s="1092">
        <v>0</v>
      </c>
      <c r="G68" s="1093">
        <f t="shared" si="0"/>
        <v>0</v>
      </c>
      <c r="I68" s="1"/>
      <c r="J68" s="1"/>
      <c r="K68" s="1"/>
      <c r="L68" s="1"/>
    </row>
    <row r="69" spans="1:12" s="938" customFormat="1" ht="132">
      <c r="A69" s="1"/>
      <c r="B69" s="188"/>
      <c r="C69" s="716" t="s">
        <v>1190</v>
      </c>
      <c r="D69" s="1419" t="s">
        <v>252</v>
      </c>
      <c r="E69" s="719">
        <v>1</v>
      </c>
      <c r="F69" s="1092">
        <v>0</v>
      </c>
      <c r="G69" s="1093">
        <f t="shared" si="0"/>
        <v>0</v>
      </c>
      <c r="I69" s="1"/>
      <c r="J69" s="1"/>
      <c r="K69" s="1"/>
      <c r="L69" s="1"/>
    </row>
    <row r="70" spans="1:12" s="938" customFormat="1" ht="132">
      <c r="A70" s="1"/>
      <c r="B70" s="188"/>
      <c r="C70" s="716" t="s">
        <v>724</v>
      </c>
      <c r="D70" s="140" t="s">
        <v>252</v>
      </c>
      <c r="E70" s="719">
        <v>1</v>
      </c>
      <c r="F70" s="1092">
        <v>0</v>
      </c>
      <c r="G70" s="1093">
        <f t="shared" si="0"/>
        <v>0</v>
      </c>
      <c r="I70" s="1"/>
      <c r="J70" s="1"/>
      <c r="K70" s="1"/>
      <c r="L70" s="1"/>
    </row>
    <row r="71" spans="1:12" s="938" customFormat="1">
      <c r="A71" s="1"/>
      <c r="B71" s="188">
        <v>5</v>
      </c>
      <c r="C71" s="159" t="s">
        <v>1849</v>
      </c>
      <c r="D71" s="140"/>
      <c r="E71" s="719"/>
      <c r="F71" s="1092"/>
      <c r="G71" s="1093"/>
      <c r="I71" s="1"/>
      <c r="J71" s="1"/>
      <c r="K71" s="1"/>
      <c r="L71" s="1"/>
    </row>
    <row r="72" spans="1:12" s="938" customFormat="1">
      <c r="A72" s="1"/>
      <c r="B72" s="188"/>
      <c r="C72" s="716" t="s">
        <v>1870</v>
      </c>
      <c r="D72" s="140" t="s">
        <v>397</v>
      </c>
      <c r="E72" s="719">
        <v>20</v>
      </c>
      <c r="F72" s="1092">
        <v>0</v>
      </c>
      <c r="G72" s="1093">
        <f t="shared" ref="G72:G80" si="2">E72*F72</f>
        <v>0</v>
      </c>
      <c r="I72" s="1"/>
      <c r="J72" s="1"/>
      <c r="K72" s="1"/>
      <c r="L72" s="1"/>
    </row>
    <row r="73" spans="1:12" s="938" customFormat="1">
      <c r="A73" s="1"/>
      <c r="B73" s="188"/>
      <c r="C73" s="716" t="s">
        <v>1850</v>
      </c>
      <c r="D73" s="140" t="s">
        <v>397</v>
      </c>
      <c r="E73" s="719">
        <v>30</v>
      </c>
      <c r="F73" s="1092">
        <v>0</v>
      </c>
      <c r="G73" s="1093">
        <f t="shared" si="2"/>
        <v>0</v>
      </c>
      <c r="I73" s="1"/>
      <c r="J73" s="1"/>
      <c r="K73" s="1"/>
      <c r="L73" s="1"/>
    </row>
    <row r="74" spans="1:12" s="938" customFormat="1">
      <c r="A74" s="1"/>
      <c r="B74" s="188"/>
      <c r="C74" s="716" t="s">
        <v>1851</v>
      </c>
      <c r="D74" s="140" t="s">
        <v>397</v>
      </c>
      <c r="E74" s="719">
        <v>100</v>
      </c>
      <c r="F74" s="1092">
        <v>0</v>
      </c>
      <c r="G74" s="1093">
        <f t="shared" si="2"/>
        <v>0</v>
      </c>
      <c r="I74" s="1"/>
      <c r="J74" s="1"/>
      <c r="K74" s="1"/>
      <c r="L74" s="1"/>
    </row>
    <row r="75" spans="1:12" s="938" customFormat="1">
      <c r="A75" s="1"/>
      <c r="B75" s="188"/>
      <c r="C75" s="716" t="s">
        <v>1852</v>
      </c>
      <c r="D75" s="140" t="s">
        <v>397</v>
      </c>
      <c r="E75" s="719">
        <v>50</v>
      </c>
      <c r="F75" s="1092">
        <v>0</v>
      </c>
      <c r="G75" s="1093">
        <f t="shared" si="2"/>
        <v>0</v>
      </c>
      <c r="I75" s="1"/>
      <c r="J75" s="1"/>
      <c r="K75" s="1"/>
      <c r="L75" s="1"/>
    </row>
    <row r="76" spans="1:12" s="938" customFormat="1">
      <c r="A76" s="1"/>
      <c r="B76" s="188"/>
      <c r="C76" s="716" t="s">
        <v>1315</v>
      </c>
      <c r="D76" s="140" t="s">
        <v>397</v>
      </c>
      <c r="E76" s="719">
        <v>30</v>
      </c>
      <c r="F76" s="1092">
        <v>0</v>
      </c>
      <c r="G76" s="1093">
        <f t="shared" si="2"/>
        <v>0</v>
      </c>
      <c r="I76" s="1"/>
      <c r="J76" s="1"/>
      <c r="K76" s="1"/>
      <c r="L76" s="1"/>
    </row>
    <row r="77" spans="1:12" s="938" customFormat="1">
      <c r="A77" s="1"/>
      <c r="B77" s="188"/>
      <c r="C77" s="716" t="s">
        <v>1853</v>
      </c>
      <c r="D77" s="140" t="s">
        <v>252</v>
      </c>
      <c r="E77" s="719">
        <v>2</v>
      </c>
      <c r="F77" s="1092">
        <v>0</v>
      </c>
      <c r="G77" s="1093">
        <f t="shared" si="2"/>
        <v>0</v>
      </c>
      <c r="I77" s="1"/>
      <c r="J77" s="1"/>
      <c r="K77" s="1"/>
      <c r="L77" s="1"/>
    </row>
    <row r="78" spans="1:12" s="938" customFormat="1">
      <c r="A78" s="1"/>
      <c r="B78" s="188"/>
      <c r="C78" s="716" t="s">
        <v>1854</v>
      </c>
      <c r="D78" s="140" t="s">
        <v>397</v>
      </c>
      <c r="E78" s="719">
        <v>50</v>
      </c>
      <c r="F78" s="1092">
        <v>0</v>
      </c>
      <c r="G78" s="1093">
        <f t="shared" si="2"/>
        <v>0</v>
      </c>
      <c r="I78" s="1"/>
      <c r="J78" s="1"/>
      <c r="K78" s="1"/>
      <c r="L78" s="1"/>
    </row>
    <row r="79" spans="1:12" s="938" customFormat="1">
      <c r="A79" s="1"/>
      <c r="B79" s="188"/>
      <c r="C79" s="716" t="s">
        <v>1855</v>
      </c>
      <c r="D79" s="140" t="s">
        <v>397</v>
      </c>
      <c r="E79" s="719">
        <v>30</v>
      </c>
      <c r="F79" s="1092">
        <v>0</v>
      </c>
      <c r="G79" s="1093">
        <f t="shared" si="2"/>
        <v>0</v>
      </c>
      <c r="I79" s="1"/>
      <c r="J79" s="1"/>
      <c r="K79" s="1"/>
      <c r="L79" s="1"/>
    </row>
    <row r="80" spans="1:12" s="938" customFormat="1">
      <c r="A80" s="1"/>
      <c r="B80" s="188"/>
      <c r="C80" s="716" t="s">
        <v>1293</v>
      </c>
      <c r="D80" s="140" t="s">
        <v>60</v>
      </c>
      <c r="E80" s="719">
        <v>1</v>
      </c>
      <c r="F80" s="1092">
        <v>0</v>
      </c>
      <c r="G80" s="1093">
        <f t="shared" si="2"/>
        <v>0</v>
      </c>
      <c r="I80" s="1"/>
      <c r="J80" s="1"/>
      <c r="K80" s="1"/>
      <c r="L80" s="1"/>
    </row>
    <row r="81" spans="1:12" s="1424" customFormat="1">
      <c r="A81" s="1425"/>
      <c r="B81" s="188">
        <v>6</v>
      </c>
      <c r="C81" s="159" t="s">
        <v>1856</v>
      </c>
      <c r="D81" s="1420"/>
      <c r="E81" s="1421"/>
      <c r="F81" s="1422"/>
      <c r="G81" s="1423"/>
      <c r="I81" s="1425"/>
      <c r="J81" s="1425"/>
      <c r="K81" s="1425"/>
      <c r="L81" s="1425"/>
    </row>
    <row r="82" spans="1:12" s="1424" customFormat="1" ht="24">
      <c r="A82" s="1425"/>
      <c r="B82" s="188"/>
      <c r="C82" s="716" t="s">
        <v>1345</v>
      </c>
      <c r="D82" s="140" t="s">
        <v>397</v>
      </c>
      <c r="E82" s="719">
        <v>20</v>
      </c>
      <c r="F82" s="1092">
        <v>0</v>
      </c>
      <c r="G82" s="1093">
        <f t="shared" ref="G82:G89" si="3">E82*F82</f>
        <v>0</v>
      </c>
      <c r="I82" s="1425"/>
      <c r="J82" s="1425"/>
      <c r="K82" s="1425"/>
      <c r="L82" s="1425"/>
    </row>
    <row r="83" spans="1:12" s="1424" customFormat="1">
      <c r="A83" s="1425"/>
      <c r="B83" s="188"/>
      <c r="C83" s="716" t="s">
        <v>1347</v>
      </c>
      <c r="D83" s="140" t="s">
        <v>397</v>
      </c>
      <c r="E83" s="719">
        <v>50</v>
      </c>
      <c r="F83" s="1092">
        <v>0</v>
      </c>
      <c r="G83" s="1093">
        <f t="shared" si="3"/>
        <v>0</v>
      </c>
      <c r="I83" s="1425"/>
      <c r="J83" s="1425"/>
      <c r="K83" s="1425"/>
      <c r="L83" s="1425"/>
    </row>
    <row r="84" spans="1:12" s="1424" customFormat="1">
      <c r="A84" s="1425"/>
      <c r="B84" s="188"/>
      <c r="C84" s="716" t="s">
        <v>1348</v>
      </c>
      <c r="D84" s="140" t="s">
        <v>397</v>
      </c>
      <c r="E84" s="719">
        <v>20</v>
      </c>
      <c r="F84" s="1092">
        <v>0</v>
      </c>
      <c r="G84" s="1093">
        <f t="shared" si="3"/>
        <v>0</v>
      </c>
      <c r="I84" s="1425"/>
      <c r="J84" s="1425"/>
      <c r="K84" s="1425"/>
      <c r="L84" s="1425"/>
    </row>
    <row r="85" spans="1:12" s="1424" customFormat="1">
      <c r="A85" s="1425"/>
      <c r="B85" s="188"/>
      <c r="C85" s="716" t="s">
        <v>1353</v>
      </c>
      <c r="D85" s="140" t="s">
        <v>252</v>
      </c>
      <c r="E85" s="719">
        <v>2</v>
      </c>
      <c r="F85" s="1092">
        <v>0</v>
      </c>
      <c r="G85" s="1093">
        <f t="shared" si="3"/>
        <v>0</v>
      </c>
      <c r="I85" s="1425"/>
      <c r="J85" s="1425"/>
      <c r="K85" s="1425"/>
      <c r="L85" s="1425"/>
    </row>
    <row r="86" spans="1:12" s="1424" customFormat="1">
      <c r="A86" s="1425"/>
      <c r="B86" s="188"/>
      <c r="C86" s="716" t="s">
        <v>1871</v>
      </c>
      <c r="D86" s="140" t="s">
        <v>252</v>
      </c>
      <c r="E86" s="719">
        <v>1</v>
      </c>
      <c r="F86" s="1092">
        <v>0</v>
      </c>
      <c r="G86" s="1093">
        <f t="shared" si="3"/>
        <v>0</v>
      </c>
      <c r="I86" s="1425"/>
      <c r="J86" s="1425"/>
      <c r="K86" s="1425"/>
      <c r="L86" s="1425"/>
    </row>
    <row r="87" spans="1:12" s="1424" customFormat="1">
      <c r="A87" s="1425"/>
      <c r="B87" s="188"/>
      <c r="C87" s="716" t="s">
        <v>1857</v>
      </c>
      <c r="D87" s="140" t="s">
        <v>252</v>
      </c>
      <c r="E87" s="719">
        <v>3</v>
      </c>
      <c r="F87" s="1092">
        <v>0</v>
      </c>
      <c r="G87" s="1093">
        <f t="shared" si="3"/>
        <v>0</v>
      </c>
      <c r="I87" s="1425"/>
      <c r="J87" s="1425"/>
      <c r="K87" s="1425"/>
      <c r="L87" s="1425"/>
    </row>
    <row r="88" spans="1:12" s="1424" customFormat="1">
      <c r="A88" s="1425"/>
      <c r="B88" s="188"/>
      <c r="C88" s="716" t="s">
        <v>1858</v>
      </c>
      <c r="D88" s="140" t="s">
        <v>252</v>
      </c>
      <c r="E88" s="719">
        <v>2</v>
      </c>
      <c r="F88" s="1092">
        <v>0</v>
      </c>
      <c r="G88" s="1093">
        <f t="shared" si="3"/>
        <v>0</v>
      </c>
      <c r="I88" s="1425"/>
      <c r="J88" s="1425"/>
      <c r="K88" s="1425"/>
      <c r="L88" s="1425"/>
    </row>
    <row r="89" spans="1:12" s="1424" customFormat="1" ht="24">
      <c r="A89" s="1425"/>
      <c r="B89" s="188"/>
      <c r="C89" s="716" t="s">
        <v>1859</v>
      </c>
      <c r="D89" s="140" t="s">
        <v>252</v>
      </c>
      <c r="E89" s="719">
        <v>1</v>
      </c>
      <c r="F89" s="1092">
        <v>0</v>
      </c>
      <c r="G89" s="1093">
        <f t="shared" si="3"/>
        <v>0</v>
      </c>
      <c r="I89" s="1425"/>
      <c r="J89" s="1425"/>
      <c r="K89" s="1425"/>
      <c r="L89" s="1425"/>
    </row>
    <row r="90" spans="1:12" s="938" customFormat="1">
      <c r="A90" s="1"/>
      <c r="B90" s="188">
        <v>7</v>
      </c>
      <c r="C90" s="159" t="s">
        <v>1860</v>
      </c>
      <c r="D90" s="140"/>
      <c r="E90" s="719"/>
      <c r="F90" s="1092"/>
      <c r="G90" s="1093"/>
      <c r="I90" s="1"/>
      <c r="J90" s="1"/>
      <c r="K90" s="1"/>
      <c r="L90" s="1"/>
    </row>
    <row r="91" spans="1:12" s="938" customFormat="1">
      <c r="A91" s="1"/>
      <c r="B91" s="188"/>
      <c r="C91" s="126" t="s">
        <v>1325</v>
      </c>
      <c r="D91" s="140" t="s">
        <v>397</v>
      </c>
      <c r="E91" s="719">
        <v>40</v>
      </c>
      <c r="F91" s="1092">
        <v>0</v>
      </c>
      <c r="G91" s="1093">
        <f t="shared" ref="G91:G94" si="4">E91*F91</f>
        <v>0</v>
      </c>
      <c r="I91" s="1"/>
      <c r="J91" s="1"/>
      <c r="K91" s="1"/>
      <c r="L91" s="1"/>
    </row>
    <row r="92" spans="1:12" s="938" customFormat="1" ht="36">
      <c r="A92" s="1"/>
      <c r="B92" s="188"/>
      <c r="C92" s="126" t="s">
        <v>1326</v>
      </c>
      <c r="D92" s="140" t="s">
        <v>60</v>
      </c>
      <c r="E92" s="719">
        <v>2</v>
      </c>
      <c r="F92" s="1092">
        <v>0</v>
      </c>
      <c r="G92" s="1093">
        <f t="shared" si="4"/>
        <v>0</v>
      </c>
      <c r="I92" s="1"/>
      <c r="J92" s="1"/>
      <c r="K92" s="1"/>
      <c r="L92" s="1"/>
    </row>
    <row r="93" spans="1:12" s="938" customFormat="1" ht="24">
      <c r="A93" s="1"/>
      <c r="B93" s="188"/>
      <c r="C93" s="126" t="s">
        <v>1327</v>
      </c>
      <c r="D93" s="140" t="s">
        <v>60</v>
      </c>
      <c r="E93" s="719">
        <v>1</v>
      </c>
      <c r="F93" s="1092">
        <v>0</v>
      </c>
      <c r="G93" s="1093">
        <f t="shared" si="4"/>
        <v>0</v>
      </c>
      <c r="I93" s="1"/>
      <c r="J93" s="1"/>
      <c r="K93" s="1"/>
      <c r="L93" s="1"/>
    </row>
    <row r="94" spans="1:12" s="938" customFormat="1">
      <c r="A94" s="1"/>
      <c r="B94" s="188"/>
      <c r="C94" s="126" t="s">
        <v>1333</v>
      </c>
      <c r="D94" s="140" t="s">
        <v>60</v>
      </c>
      <c r="E94" s="719">
        <v>1</v>
      </c>
      <c r="F94" s="1092">
        <v>0</v>
      </c>
      <c r="G94" s="1093">
        <f t="shared" si="4"/>
        <v>0</v>
      </c>
      <c r="I94" s="1"/>
      <c r="J94" s="1"/>
      <c r="K94" s="1"/>
      <c r="L94" s="1"/>
    </row>
    <row r="95" spans="1:12" s="938" customFormat="1">
      <c r="A95" s="1"/>
      <c r="B95" s="188">
        <v>8</v>
      </c>
      <c r="C95" s="159" t="s">
        <v>1357</v>
      </c>
      <c r="D95" s="140"/>
      <c r="E95" s="719"/>
      <c r="F95" s="1092"/>
      <c r="G95" s="1093"/>
      <c r="I95" s="1"/>
      <c r="J95" s="1"/>
      <c r="K95" s="1"/>
      <c r="L95" s="1"/>
    </row>
    <row r="96" spans="1:12" s="938" customFormat="1" ht="48">
      <c r="A96" s="1"/>
      <c r="B96" s="188"/>
      <c r="C96" s="716" t="s">
        <v>1872</v>
      </c>
      <c r="D96" s="1419" t="s">
        <v>60</v>
      </c>
      <c r="E96" s="719">
        <v>1</v>
      </c>
      <c r="F96" s="1092">
        <v>0</v>
      </c>
      <c r="G96" s="1093">
        <f t="shared" si="0"/>
        <v>0</v>
      </c>
      <c r="I96" s="1"/>
      <c r="J96" s="1"/>
      <c r="K96" s="1"/>
      <c r="L96" s="1"/>
    </row>
    <row r="97" spans="1:12" s="938" customFormat="1" ht="36">
      <c r="A97" s="1"/>
      <c r="B97" s="188"/>
      <c r="C97" s="716" t="s">
        <v>1862</v>
      </c>
      <c r="D97" s="140" t="s">
        <v>60</v>
      </c>
      <c r="E97" s="719">
        <v>1</v>
      </c>
      <c r="F97" s="1092">
        <v>0</v>
      </c>
      <c r="G97" s="1093">
        <f t="shared" si="0"/>
        <v>0</v>
      </c>
      <c r="I97" s="1"/>
      <c r="J97" s="1"/>
      <c r="K97" s="1"/>
      <c r="L97" s="1"/>
    </row>
    <row r="98" spans="1:12" s="938" customFormat="1" ht="36">
      <c r="A98" s="1"/>
      <c r="B98" s="188"/>
      <c r="C98" s="716" t="s">
        <v>1863</v>
      </c>
      <c r="D98" s="140" t="s">
        <v>60</v>
      </c>
      <c r="E98" s="719">
        <v>1</v>
      </c>
      <c r="F98" s="1092">
        <v>0</v>
      </c>
      <c r="G98" s="1093">
        <f t="shared" si="0"/>
        <v>0</v>
      </c>
      <c r="I98" s="1"/>
      <c r="J98" s="1"/>
      <c r="K98" s="1"/>
      <c r="L98" s="1"/>
    </row>
    <row r="99" spans="1:12" s="938" customFormat="1" ht="36">
      <c r="A99" s="1"/>
      <c r="B99" s="188"/>
      <c r="C99" s="716" t="s">
        <v>1864</v>
      </c>
      <c r="D99" s="140" t="s">
        <v>60</v>
      </c>
      <c r="E99" s="719">
        <v>1</v>
      </c>
      <c r="F99" s="1092">
        <v>0</v>
      </c>
      <c r="G99" s="1093">
        <f t="shared" si="0"/>
        <v>0</v>
      </c>
      <c r="I99" s="1"/>
      <c r="J99" s="1"/>
      <c r="K99" s="1"/>
      <c r="L99" s="1"/>
    </row>
    <row r="100" spans="1:12" s="179" customFormat="1" ht="23.25" customHeight="1">
      <c r="B100" s="713" t="s">
        <v>914</v>
      </c>
      <c r="C100" s="153" t="s">
        <v>1865</v>
      </c>
      <c r="D100" s="153"/>
      <c r="E100" s="154"/>
      <c r="F100" s="155"/>
      <c r="G100" s="263">
        <f>SUM(G30:G99)</f>
        <v>0</v>
      </c>
      <c r="H100" s="802"/>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FDE43-AB4A-4546-A1B8-271F6F778B3A}">
  <sheetPr>
    <tabColor rgb="FFFFFF00"/>
  </sheetPr>
  <dimension ref="A3:L344"/>
  <sheetViews>
    <sheetView topLeftCell="A28" workbookViewId="0">
      <selection activeCell="C33" sqref="C33:C34"/>
    </sheetView>
  </sheetViews>
  <sheetFormatPr defaultRowHeight="12.75"/>
  <cols>
    <col min="1" max="1" width="9.140625" style="73"/>
    <col min="2" max="2" width="11" style="73" customWidth="1"/>
    <col min="3" max="3" width="39" style="2083" customWidth="1"/>
    <col min="4" max="4" width="12.28515625" style="73" customWidth="1"/>
    <col min="5" max="5" width="11.5703125" style="73" customWidth="1"/>
    <col min="6" max="6" width="19.140625" style="73" customWidth="1"/>
    <col min="7" max="7" width="20.7109375" style="73" customWidth="1"/>
    <col min="8" max="257" width="9.140625" style="73"/>
    <col min="258" max="258" width="11" style="73" customWidth="1"/>
    <col min="259" max="259" width="39" style="73" customWidth="1"/>
    <col min="260" max="260" width="12.28515625" style="73" customWidth="1"/>
    <col min="261" max="261" width="11.5703125" style="73" customWidth="1"/>
    <col min="262" max="262" width="19.140625" style="73" customWidth="1"/>
    <col min="263" max="263" width="20.7109375" style="73" customWidth="1"/>
    <col min="264" max="513" width="9.140625" style="73"/>
    <col min="514" max="514" width="11" style="73" customWidth="1"/>
    <col min="515" max="515" width="39" style="73" customWidth="1"/>
    <col min="516" max="516" width="12.28515625" style="73" customWidth="1"/>
    <col min="517" max="517" width="11.5703125" style="73" customWidth="1"/>
    <col min="518" max="518" width="19.140625" style="73" customWidth="1"/>
    <col min="519" max="519" width="20.7109375" style="73" customWidth="1"/>
    <col min="520" max="769" width="9.140625" style="73"/>
    <col min="770" max="770" width="11" style="73" customWidth="1"/>
    <col min="771" max="771" width="39" style="73" customWidth="1"/>
    <col min="772" max="772" width="12.28515625" style="73" customWidth="1"/>
    <col min="773" max="773" width="11.5703125" style="73" customWidth="1"/>
    <col min="774" max="774" width="19.140625" style="73" customWidth="1"/>
    <col min="775" max="775" width="20.7109375" style="73" customWidth="1"/>
    <col min="776" max="1025" width="9.140625" style="73"/>
    <col min="1026" max="1026" width="11" style="73" customWidth="1"/>
    <col min="1027" max="1027" width="39" style="73" customWidth="1"/>
    <col min="1028" max="1028" width="12.28515625" style="73" customWidth="1"/>
    <col min="1029" max="1029" width="11.5703125" style="73" customWidth="1"/>
    <col min="1030" max="1030" width="19.140625" style="73" customWidth="1"/>
    <col min="1031" max="1031" width="20.7109375" style="73" customWidth="1"/>
    <col min="1032" max="1281" width="9.140625" style="73"/>
    <col min="1282" max="1282" width="11" style="73" customWidth="1"/>
    <col min="1283" max="1283" width="39" style="73" customWidth="1"/>
    <col min="1284" max="1284" width="12.28515625" style="73" customWidth="1"/>
    <col min="1285" max="1285" width="11.5703125" style="73" customWidth="1"/>
    <col min="1286" max="1286" width="19.140625" style="73" customWidth="1"/>
    <col min="1287" max="1287" width="20.7109375" style="73" customWidth="1"/>
    <col min="1288" max="1537" width="9.140625" style="73"/>
    <col min="1538" max="1538" width="11" style="73" customWidth="1"/>
    <col min="1539" max="1539" width="39" style="73" customWidth="1"/>
    <col min="1540" max="1540" width="12.28515625" style="73" customWidth="1"/>
    <col min="1541" max="1541" width="11.5703125" style="73" customWidth="1"/>
    <col min="1542" max="1542" width="19.140625" style="73" customWidth="1"/>
    <col min="1543" max="1543" width="20.7109375" style="73" customWidth="1"/>
    <col min="1544" max="1793" width="9.140625" style="73"/>
    <col min="1794" max="1794" width="11" style="73" customWidth="1"/>
    <col min="1795" max="1795" width="39" style="73" customWidth="1"/>
    <col min="1796" max="1796" width="12.28515625" style="73" customWidth="1"/>
    <col min="1797" max="1797" width="11.5703125" style="73" customWidth="1"/>
    <col min="1798" max="1798" width="19.140625" style="73" customWidth="1"/>
    <col min="1799" max="1799" width="20.7109375" style="73" customWidth="1"/>
    <col min="1800" max="2049" width="9.140625" style="73"/>
    <col min="2050" max="2050" width="11" style="73" customWidth="1"/>
    <col min="2051" max="2051" width="39" style="73" customWidth="1"/>
    <col min="2052" max="2052" width="12.28515625" style="73" customWidth="1"/>
    <col min="2053" max="2053" width="11.5703125" style="73" customWidth="1"/>
    <col min="2054" max="2054" width="19.140625" style="73" customWidth="1"/>
    <col min="2055" max="2055" width="20.7109375" style="73" customWidth="1"/>
    <col min="2056" max="2305" width="9.140625" style="73"/>
    <col min="2306" max="2306" width="11" style="73" customWidth="1"/>
    <col min="2307" max="2307" width="39" style="73" customWidth="1"/>
    <col min="2308" max="2308" width="12.28515625" style="73" customWidth="1"/>
    <col min="2309" max="2309" width="11.5703125" style="73" customWidth="1"/>
    <col min="2310" max="2310" width="19.140625" style="73" customWidth="1"/>
    <col min="2311" max="2311" width="20.7109375" style="73" customWidth="1"/>
    <col min="2312" max="2561" width="9.140625" style="73"/>
    <col min="2562" max="2562" width="11" style="73" customWidth="1"/>
    <col min="2563" max="2563" width="39" style="73" customWidth="1"/>
    <col min="2564" max="2564" width="12.28515625" style="73" customWidth="1"/>
    <col min="2565" max="2565" width="11.5703125" style="73" customWidth="1"/>
    <col min="2566" max="2566" width="19.140625" style="73" customWidth="1"/>
    <col min="2567" max="2567" width="20.7109375" style="73" customWidth="1"/>
    <col min="2568" max="2817" width="9.140625" style="73"/>
    <col min="2818" max="2818" width="11" style="73" customWidth="1"/>
    <col min="2819" max="2819" width="39" style="73" customWidth="1"/>
    <col min="2820" max="2820" width="12.28515625" style="73" customWidth="1"/>
    <col min="2821" max="2821" width="11.5703125" style="73" customWidth="1"/>
    <col min="2822" max="2822" width="19.140625" style="73" customWidth="1"/>
    <col min="2823" max="2823" width="20.7109375" style="73" customWidth="1"/>
    <col min="2824" max="3073" width="9.140625" style="73"/>
    <col min="3074" max="3074" width="11" style="73" customWidth="1"/>
    <col min="3075" max="3075" width="39" style="73" customWidth="1"/>
    <col min="3076" max="3076" width="12.28515625" style="73" customWidth="1"/>
    <col min="3077" max="3077" width="11.5703125" style="73" customWidth="1"/>
    <col min="3078" max="3078" width="19.140625" style="73" customWidth="1"/>
    <col min="3079" max="3079" width="20.7109375" style="73" customWidth="1"/>
    <col min="3080" max="3329" width="9.140625" style="73"/>
    <col min="3330" max="3330" width="11" style="73" customWidth="1"/>
    <col min="3331" max="3331" width="39" style="73" customWidth="1"/>
    <col min="3332" max="3332" width="12.28515625" style="73" customWidth="1"/>
    <col min="3333" max="3333" width="11.5703125" style="73" customWidth="1"/>
    <col min="3334" max="3334" width="19.140625" style="73" customWidth="1"/>
    <col min="3335" max="3335" width="20.7109375" style="73" customWidth="1"/>
    <col min="3336" max="3585" width="9.140625" style="73"/>
    <col min="3586" max="3586" width="11" style="73" customWidth="1"/>
    <col min="3587" max="3587" width="39" style="73" customWidth="1"/>
    <col min="3588" max="3588" width="12.28515625" style="73" customWidth="1"/>
    <col min="3589" max="3589" width="11.5703125" style="73" customWidth="1"/>
    <col min="3590" max="3590" width="19.140625" style="73" customWidth="1"/>
    <col min="3591" max="3591" width="20.7109375" style="73" customWidth="1"/>
    <col min="3592" max="3841" width="9.140625" style="73"/>
    <col min="3842" max="3842" width="11" style="73" customWidth="1"/>
    <col min="3843" max="3843" width="39" style="73" customWidth="1"/>
    <col min="3844" max="3844" width="12.28515625" style="73" customWidth="1"/>
    <col min="3845" max="3845" width="11.5703125" style="73" customWidth="1"/>
    <col min="3846" max="3846" width="19.140625" style="73" customWidth="1"/>
    <col min="3847" max="3847" width="20.7109375" style="73" customWidth="1"/>
    <col min="3848" max="4097" width="9.140625" style="73"/>
    <col min="4098" max="4098" width="11" style="73" customWidth="1"/>
    <col min="4099" max="4099" width="39" style="73" customWidth="1"/>
    <col min="4100" max="4100" width="12.28515625" style="73" customWidth="1"/>
    <col min="4101" max="4101" width="11.5703125" style="73" customWidth="1"/>
    <col min="4102" max="4102" width="19.140625" style="73" customWidth="1"/>
    <col min="4103" max="4103" width="20.7109375" style="73" customWidth="1"/>
    <col min="4104" max="4353" width="9.140625" style="73"/>
    <col min="4354" max="4354" width="11" style="73" customWidth="1"/>
    <col min="4355" max="4355" width="39" style="73" customWidth="1"/>
    <col min="4356" max="4356" width="12.28515625" style="73" customWidth="1"/>
    <col min="4357" max="4357" width="11.5703125" style="73" customWidth="1"/>
    <col min="4358" max="4358" width="19.140625" style="73" customWidth="1"/>
    <col min="4359" max="4359" width="20.7109375" style="73" customWidth="1"/>
    <col min="4360" max="4609" width="9.140625" style="73"/>
    <col min="4610" max="4610" width="11" style="73" customWidth="1"/>
    <col min="4611" max="4611" width="39" style="73" customWidth="1"/>
    <col min="4612" max="4612" width="12.28515625" style="73" customWidth="1"/>
    <col min="4613" max="4613" width="11.5703125" style="73" customWidth="1"/>
    <col min="4614" max="4614" width="19.140625" style="73" customWidth="1"/>
    <col min="4615" max="4615" width="20.7109375" style="73" customWidth="1"/>
    <col min="4616" max="4865" width="9.140625" style="73"/>
    <col min="4866" max="4866" width="11" style="73" customWidth="1"/>
    <col min="4867" max="4867" width="39" style="73" customWidth="1"/>
    <col min="4868" max="4868" width="12.28515625" style="73" customWidth="1"/>
    <col min="4869" max="4869" width="11.5703125" style="73" customWidth="1"/>
    <col min="4870" max="4870" width="19.140625" style="73" customWidth="1"/>
    <col min="4871" max="4871" width="20.7109375" style="73" customWidth="1"/>
    <col min="4872" max="5121" width="9.140625" style="73"/>
    <col min="5122" max="5122" width="11" style="73" customWidth="1"/>
    <col min="5123" max="5123" width="39" style="73" customWidth="1"/>
    <col min="5124" max="5124" width="12.28515625" style="73" customWidth="1"/>
    <col min="5125" max="5125" width="11.5703125" style="73" customWidth="1"/>
    <col min="5126" max="5126" width="19.140625" style="73" customWidth="1"/>
    <col min="5127" max="5127" width="20.7109375" style="73" customWidth="1"/>
    <col min="5128" max="5377" width="9.140625" style="73"/>
    <col min="5378" max="5378" width="11" style="73" customWidth="1"/>
    <col min="5379" max="5379" width="39" style="73" customWidth="1"/>
    <col min="5380" max="5380" width="12.28515625" style="73" customWidth="1"/>
    <col min="5381" max="5381" width="11.5703125" style="73" customWidth="1"/>
    <col min="5382" max="5382" width="19.140625" style="73" customWidth="1"/>
    <col min="5383" max="5383" width="20.7109375" style="73" customWidth="1"/>
    <col min="5384" max="5633" width="9.140625" style="73"/>
    <col min="5634" max="5634" width="11" style="73" customWidth="1"/>
    <col min="5635" max="5635" width="39" style="73" customWidth="1"/>
    <col min="5636" max="5636" width="12.28515625" style="73" customWidth="1"/>
    <col min="5637" max="5637" width="11.5703125" style="73" customWidth="1"/>
    <col min="5638" max="5638" width="19.140625" style="73" customWidth="1"/>
    <col min="5639" max="5639" width="20.7109375" style="73" customWidth="1"/>
    <col min="5640" max="5889" width="9.140625" style="73"/>
    <col min="5890" max="5890" width="11" style="73" customWidth="1"/>
    <col min="5891" max="5891" width="39" style="73" customWidth="1"/>
    <col min="5892" max="5892" width="12.28515625" style="73" customWidth="1"/>
    <col min="5893" max="5893" width="11.5703125" style="73" customWidth="1"/>
    <col min="5894" max="5894" width="19.140625" style="73" customWidth="1"/>
    <col min="5895" max="5895" width="20.7109375" style="73" customWidth="1"/>
    <col min="5896" max="6145" width="9.140625" style="73"/>
    <col min="6146" max="6146" width="11" style="73" customWidth="1"/>
    <col min="6147" max="6147" width="39" style="73" customWidth="1"/>
    <col min="6148" max="6148" width="12.28515625" style="73" customWidth="1"/>
    <col min="6149" max="6149" width="11.5703125" style="73" customWidth="1"/>
    <col min="6150" max="6150" width="19.140625" style="73" customWidth="1"/>
    <col min="6151" max="6151" width="20.7109375" style="73" customWidth="1"/>
    <col min="6152" max="6401" width="9.140625" style="73"/>
    <col min="6402" max="6402" width="11" style="73" customWidth="1"/>
    <col min="6403" max="6403" width="39" style="73" customWidth="1"/>
    <col min="6404" max="6404" width="12.28515625" style="73" customWidth="1"/>
    <col min="6405" max="6405" width="11.5703125" style="73" customWidth="1"/>
    <col min="6406" max="6406" width="19.140625" style="73" customWidth="1"/>
    <col min="6407" max="6407" width="20.7109375" style="73" customWidth="1"/>
    <col min="6408" max="6657" width="9.140625" style="73"/>
    <col min="6658" max="6658" width="11" style="73" customWidth="1"/>
    <col min="6659" max="6659" width="39" style="73" customWidth="1"/>
    <col min="6660" max="6660" width="12.28515625" style="73" customWidth="1"/>
    <col min="6661" max="6661" width="11.5703125" style="73" customWidth="1"/>
    <col min="6662" max="6662" width="19.140625" style="73" customWidth="1"/>
    <col min="6663" max="6663" width="20.7109375" style="73" customWidth="1"/>
    <col min="6664" max="6913" width="9.140625" style="73"/>
    <col min="6914" max="6914" width="11" style="73" customWidth="1"/>
    <col min="6915" max="6915" width="39" style="73" customWidth="1"/>
    <col min="6916" max="6916" width="12.28515625" style="73" customWidth="1"/>
    <col min="6917" max="6917" width="11.5703125" style="73" customWidth="1"/>
    <col min="6918" max="6918" width="19.140625" style="73" customWidth="1"/>
    <col min="6919" max="6919" width="20.7109375" style="73" customWidth="1"/>
    <col min="6920" max="7169" width="9.140625" style="73"/>
    <col min="7170" max="7170" width="11" style="73" customWidth="1"/>
    <col min="7171" max="7171" width="39" style="73" customWidth="1"/>
    <col min="7172" max="7172" width="12.28515625" style="73" customWidth="1"/>
    <col min="7173" max="7173" width="11.5703125" style="73" customWidth="1"/>
    <col min="7174" max="7174" width="19.140625" style="73" customWidth="1"/>
    <col min="7175" max="7175" width="20.7109375" style="73" customWidth="1"/>
    <col min="7176" max="7425" width="9.140625" style="73"/>
    <col min="7426" max="7426" width="11" style="73" customWidth="1"/>
    <col min="7427" max="7427" width="39" style="73" customWidth="1"/>
    <col min="7428" max="7428" width="12.28515625" style="73" customWidth="1"/>
    <col min="7429" max="7429" width="11.5703125" style="73" customWidth="1"/>
    <col min="7430" max="7430" width="19.140625" style="73" customWidth="1"/>
    <col min="7431" max="7431" width="20.7109375" style="73" customWidth="1"/>
    <col min="7432" max="7681" width="9.140625" style="73"/>
    <col min="7682" max="7682" width="11" style="73" customWidth="1"/>
    <col min="7683" max="7683" width="39" style="73" customWidth="1"/>
    <col min="7684" max="7684" width="12.28515625" style="73" customWidth="1"/>
    <col min="7685" max="7685" width="11.5703125" style="73" customWidth="1"/>
    <col min="7686" max="7686" width="19.140625" style="73" customWidth="1"/>
    <col min="7687" max="7687" width="20.7109375" style="73" customWidth="1"/>
    <col min="7688" max="7937" width="9.140625" style="73"/>
    <col min="7938" max="7938" width="11" style="73" customWidth="1"/>
    <col min="7939" max="7939" width="39" style="73" customWidth="1"/>
    <col min="7940" max="7940" width="12.28515625" style="73" customWidth="1"/>
    <col min="7941" max="7941" width="11.5703125" style="73" customWidth="1"/>
    <col min="7942" max="7942" width="19.140625" style="73" customWidth="1"/>
    <col min="7943" max="7943" width="20.7109375" style="73" customWidth="1"/>
    <col min="7944" max="8193" width="9.140625" style="73"/>
    <col min="8194" max="8194" width="11" style="73" customWidth="1"/>
    <col min="8195" max="8195" width="39" style="73" customWidth="1"/>
    <col min="8196" max="8196" width="12.28515625" style="73" customWidth="1"/>
    <col min="8197" max="8197" width="11.5703125" style="73" customWidth="1"/>
    <col min="8198" max="8198" width="19.140625" style="73" customWidth="1"/>
    <col min="8199" max="8199" width="20.7109375" style="73" customWidth="1"/>
    <col min="8200" max="8449" width="9.140625" style="73"/>
    <col min="8450" max="8450" width="11" style="73" customWidth="1"/>
    <col min="8451" max="8451" width="39" style="73" customWidth="1"/>
    <col min="8452" max="8452" width="12.28515625" style="73" customWidth="1"/>
    <col min="8453" max="8453" width="11.5703125" style="73" customWidth="1"/>
    <col min="8454" max="8454" width="19.140625" style="73" customWidth="1"/>
    <col min="8455" max="8455" width="20.7109375" style="73" customWidth="1"/>
    <col min="8456" max="8705" width="9.140625" style="73"/>
    <col min="8706" max="8706" width="11" style="73" customWidth="1"/>
    <col min="8707" max="8707" width="39" style="73" customWidth="1"/>
    <col min="8708" max="8708" width="12.28515625" style="73" customWidth="1"/>
    <col min="8709" max="8709" width="11.5703125" style="73" customWidth="1"/>
    <col min="8710" max="8710" width="19.140625" style="73" customWidth="1"/>
    <col min="8711" max="8711" width="20.7109375" style="73" customWidth="1"/>
    <col min="8712" max="8961" width="9.140625" style="73"/>
    <col min="8962" max="8962" width="11" style="73" customWidth="1"/>
    <col min="8963" max="8963" width="39" style="73" customWidth="1"/>
    <col min="8964" max="8964" width="12.28515625" style="73" customWidth="1"/>
    <col min="8965" max="8965" width="11.5703125" style="73" customWidth="1"/>
    <col min="8966" max="8966" width="19.140625" style="73" customWidth="1"/>
    <col min="8967" max="8967" width="20.7109375" style="73" customWidth="1"/>
    <col min="8968" max="9217" width="9.140625" style="73"/>
    <col min="9218" max="9218" width="11" style="73" customWidth="1"/>
    <col min="9219" max="9219" width="39" style="73" customWidth="1"/>
    <col min="9220" max="9220" width="12.28515625" style="73" customWidth="1"/>
    <col min="9221" max="9221" width="11.5703125" style="73" customWidth="1"/>
    <col min="9222" max="9222" width="19.140625" style="73" customWidth="1"/>
    <col min="9223" max="9223" width="20.7109375" style="73" customWidth="1"/>
    <col min="9224" max="9473" width="9.140625" style="73"/>
    <col min="9474" max="9474" width="11" style="73" customWidth="1"/>
    <col min="9475" max="9475" width="39" style="73" customWidth="1"/>
    <col min="9476" max="9476" width="12.28515625" style="73" customWidth="1"/>
    <col min="9477" max="9477" width="11.5703125" style="73" customWidth="1"/>
    <col min="9478" max="9478" width="19.140625" style="73" customWidth="1"/>
    <col min="9479" max="9479" width="20.7109375" style="73" customWidth="1"/>
    <col min="9480" max="9729" width="9.140625" style="73"/>
    <col min="9730" max="9730" width="11" style="73" customWidth="1"/>
    <col min="9731" max="9731" width="39" style="73" customWidth="1"/>
    <col min="9732" max="9732" width="12.28515625" style="73" customWidth="1"/>
    <col min="9733" max="9733" width="11.5703125" style="73" customWidth="1"/>
    <col min="9734" max="9734" width="19.140625" style="73" customWidth="1"/>
    <col min="9735" max="9735" width="20.7109375" style="73" customWidth="1"/>
    <col min="9736" max="9985" width="9.140625" style="73"/>
    <col min="9986" max="9986" width="11" style="73" customWidth="1"/>
    <col min="9987" max="9987" width="39" style="73" customWidth="1"/>
    <col min="9988" max="9988" width="12.28515625" style="73" customWidth="1"/>
    <col min="9989" max="9989" width="11.5703125" style="73" customWidth="1"/>
    <col min="9990" max="9990" width="19.140625" style="73" customWidth="1"/>
    <col min="9991" max="9991" width="20.7109375" style="73" customWidth="1"/>
    <col min="9992" max="10241" width="9.140625" style="73"/>
    <col min="10242" max="10242" width="11" style="73" customWidth="1"/>
    <col min="10243" max="10243" width="39" style="73" customWidth="1"/>
    <col min="10244" max="10244" width="12.28515625" style="73" customWidth="1"/>
    <col min="10245" max="10245" width="11.5703125" style="73" customWidth="1"/>
    <col min="10246" max="10246" width="19.140625" style="73" customWidth="1"/>
    <col min="10247" max="10247" width="20.7109375" style="73" customWidth="1"/>
    <col min="10248" max="10497" width="9.140625" style="73"/>
    <col min="10498" max="10498" width="11" style="73" customWidth="1"/>
    <col min="10499" max="10499" width="39" style="73" customWidth="1"/>
    <col min="10500" max="10500" width="12.28515625" style="73" customWidth="1"/>
    <col min="10501" max="10501" width="11.5703125" style="73" customWidth="1"/>
    <col min="10502" max="10502" width="19.140625" style="73" customWidth="1"/>
    <col min="10503" max="10503" width="20.7109375" style="73" customWidth="1"/>
    <col min="10504" max="10753" width="9.140625" style="73"/>
    <col min="10754" max="10754" width="11" style="73" customWidth="1"/>
    <col min="10755" max="10755" width="39" style="73" customWidth="1"/>
    <col min="10756" max="10756" width="12.28515625" style="73" customWidth="1"/>
    <col min="10757" max="10757" width="11.5703125" style="73" customWidth="1"/>
    <col min="10758" max="10758" width="19.140625" style="73" customWidth="1"/>
    <col min="10759" max="10759" width="20.7109375" style="73" customWidth="1"/>
    <col min="10760" max="11009" width="9.140625" style="73"/>
    <col min="11010" max="11010" width="11" style="73" customWidth="1"/>
    <col min="11011" max="11011" width="39" style="73" customWidth="1"/>
    <col min="11012" max="11012" width="12.28515625" style="73" customWidth="1"/>
    <col min="11013" max="11013" width="11.5703125" style="73" customWidth="1"/>
    <col min="11014" max="11014" width="19.140625" style="73" customWidth="1"/>
    <col min="11015" max="11015" width="20.7109375" style="73" customWidth="1"/>
    <col min="11016" max="11265" width="9.140625" style="73"/>
    <col min="11266" max="11266" width="11" style="73" customWidth="1"/>
    <col min="11267" max="11267" width="39" style="73" customWidth="1"/>
    <col min="11268" max="11268" width="12.28515625" style="73" customWidth="1"/>
    <col min="11269" max="11269" width="11.5703125" style="73" customWidth="1"/>
    <col min="11270" max="11270" width="19.140625" style="73" customWidth="1"/>
    <col min="11271" max="11271" width="20.7109375" style="73" customWidth="1"/>
    <col min="11272" max="11521" width="9.140625" style="73"/>
    <col min="11522" max="11522" width="11" style="73" customWidth="1"/>
    <col min="11523" max="11523" width="39" style="73" customWidth="1"/>
    <col min="11524" max="11524" width="12.28515625" style="73" customWidth="1"/>
    <col min="11525" max="11525" width="11.5703125" style="73" customWidth="1"/>
    <col min="11526" max="11526" width="19.140625" style="73" customWidth="1"/>
    <col min="11527" max="11527" width="20.7109375" style="73" customWidth="1"/>
    <col min="11528" max="11777" width="9.140625" style="73"/>
    <col min="11778" max="11778" width="11" style="73" customWidth="1"/>
    <col min="11779" max="11779" width="39" style="73" customWidth="1"/>
    <col min="11780" max="11780" width="12.28515625" style="73" customWidth="1"/>
    <col min="11781" max="11781" width="11.5703125" style="73" customWidth="1"/>
    <col min="11782" max="11782" width="19.140625" style="73" customWidth="1"/>
    <col min="11783" max="11783" width="20.7109375" style="73" customWidth="1"/>
    <col min="11784" max="12033" width="9.140625" style="73"/>
    <col min="12034" max="12034" width="11" style="73" customWidth="1"/>
    <col min="12035" max="12035" width="39" style="73" customWidth="1"/>
    <col min="12036" max="12036" width="12.28515625" style="73" customWidth="1"/>
    <col min="12037" max="12037" width="11.5703125" style="73" customWidth="1"/>
    <col min="12038" max="12038" width="19.140625" style="73" customWidth="1"/>
    <col min="12039" max="12039" width="20.7109375" style="73" customWidth="1"/>
    <col min="12040" max="12289" width="9.140625" style="73"/>
    <col min="12290" max="12290" width="11" style="73" customWidth="1"/>
    <col min="12291" max="12291" width="39" style="73" customWidth="1"/>
    <col min="12292" max="12292" width="12.28515625" style="73" customWidth="1"/>
    <col min="12293" max="12293" width="11.5703125" style="73" customWidth="1"/>
    <col min="12294" max="12294" width="19.140625" style="73" customWidth="1"/>
    <col min="12295" max="12295" width="20.7109375" style="73" customWidth="1"/>
    <col min="12296" max="12545" width="9.140625" style="73"/>
    <col min="12546" max="12546" width="11" style="73" customWidth="1"/>
    <col min="12547" max="12547" width="39" style="73" customWidth="1"/>
    <col min="12548" max="12548" width="12.28515625" style="73" customWidth="1"/>
    <col min="12549" max="12549" width="11.5703125" style="73" customWidth="1"/>
    <col min="12550" max="12550" width="19.140625" style="73" customWidth="1"/>
    <col min="12551" max="12551" width="20.7109375" style="73" customWidth="1"/>
    <col min="12552" max="12801" width="9.140625" style="73"/>
    <col min="12802" max="12802" width="11" style="73" customWidth="1"/>
    <col min="12803" max="12803" width="39" style="73" customWidth="1"/>
    <col min="12804" max="12804" width="12.28515625" style="73" customWidth="1"/>
    <col min="12805" max="12805" width="11.5703125" style="73" customWidth="1"/>
    <col min="12806" max="12806" width="19.140625" style="73" customWidth="1"/>
    <col min="12807" max="12807" width="20.7109375" style="73" customWidth="1"/>
    <col min="12808" max="13057" width="9.140625" style="73"/>
    <col min="13058" max="13058" width="11" style="73" customWidth="1"/>
    <col min="13059" max="13059" width="39" style="73" customWidth="1"/>
    <col min="13060" max="13060" width="12.28515625" style="73" customWidth="1"/>
    <col min="13061" max="13061" width="11.5703125" style="73" customWidth="1"/>
    <col min="13062" max="13062" width="19.140625" style="73" customWidth="1"/>
    <col min="13063" max="13063" width="20.7109375" style="73" customWidth="1"/>
    <col min="13064" max="13313" width="9.140625" style="73"/>
    <col min="13314" max="13314" width="11" style="73" customWidth="1"/>
    <col min="13315" max="13315" width="39" style="73" customWidth="1"/>
    <col min="13316" max="13316" width="12.28515625" style="73" customWidth="1"/>
    <col min="13317" max="13317" width="11.5703125" style="73" customWidth="1"/>
    <col min="13318" max="13318" width="19.140625" style="73" customWidth="1"/>
    <col min="13319" max="13319" width="20.7109375" style="73" customWidth="1"/>
    <col min="13320" max="13569" width="9.140625" style="73"/>
    <col min="13570" max="13570" width="11" style="73" customWidth="1"/>
    <col min="13571" max="13571" width="39" style="73" customWidth="1"/>
    <col min="13572" max="13572" width="12.28515625" style="73" customWidth="1"/>
    <col min="13573" max="13573" width="11.5703125" style="73" customWidth="1"/>
    <col min="13574" max="13574" width="19.140625" style="73" customWidth="1"/>
    <col min="13575" max="13575" width="20.7109375" style="73" customWidth="1"/>
    <col min="13576" max="13825" width="9.140625" style="73"/>
    <col min="13826" max="13826" width="11" style="73" customWidth="1"/>
    <col min="13827" max="13827" width="39" style="73" customWidth="1"/>
    <col min="13828" max="13828" width="12.28515625" style="73" customWidth="1"/>
    <col min="13829" max="13829" width="11.5703125" style="73" customWidth="1"/>
    <col min="13830" max="13830" width="19.140625" style="73" customWidth="1"/>
    <col min="13831" max="13831" width="20.7109375" style="73" customWidth="1"/>
    <col min="13832" max="14081" width="9.140625" style="73"/>
    <col min="14082" max="14082" width="11" style="73" customWidth="1"/>
    <col min="14083" max="14083" width="39" style="73" customWidth="1"/>
    <col min="14084" max="14084" width="12.28515625" style="73" customWidth="1"/>
    <col min="14085" max="14085" width="11.5703125" style="73" customWidth="1"/>
    <col min="14086" max="14086" width="19.140625" style="73" customWidth="1"/>
    <col min="14087" max="14087" width="20.7109375" style="73" customWidth="1"/>
    <col min="14088" max="14337" width="9.140625" style="73"/>
    <col min="14338" max="14338" width="11" style="73" customWidth="1"/>
    <col min="14339" max="14339" width="39" style="73" customWidth="1"/>
    <col min="14340" max="14340" width="12.28515625" style="73" customWidth="1"/>
    <col min="14341" max="14341" width="11.5703125" style="73" customWidth="1"/>
    <col min="14342" max="14342" width="19.140625" style="73" customWidth="1"/>
    <col min="14343" max="14343" width="20.7109375" style="73" customWidth="1"/>
    <col min="14344" max="14593" width="9.140625" style="73"/>
    <col min="14594" max="14594" width="11" style="73" customWidth="1"/>
    <col min="14595" max="14595" width="39" style="73" customWidth="1"/>
    <col min="14596" max="14596" width="12.28515625" style="73" customWidth="1"/>
    <col min="14597" max="14597" width="11.5703125" style="73" customWidth="1"/>
    <col min="14598" max="14598" width="19.140625" style="73" customWidth="1"/>
    <col min="14599" max="14599" width="20.7109375" style="73" customWidth="1"/>
    <col min="14600" max="14849" width="9.140625" style="73"/>
    <col min="14850" max="14850" width="11" style="73" customWidth="1"/>
    <col min="14851" max="14851" width="39" style="73" customWidth="1"/>
    <col min="14852" max="14852" width="12.28515625" style="73" customWidth="1"/>
    <col min="14853" max="14853" width="11.5703125" style="73" customWidth="1"/>
    <col min="14854" max="14854" width="19.140625" style="73" customWidth="1"/>
    <col min="14855" max="14855" width="20.7109375" style="73" customWidth="1"/>
    <col min="14856" max="15105" width="9.140625" style="73"/>
    <col min="15106" max="15106" width="11" style="73" customWidth="1"/>
    <col min="15107" max="15107" width="39" style="73" customWidth="1"/>
    <col min="15108" max="15108" width="12.28515625" style="73" customWidth="1"/>
    <col min="15109" max="15109" width="11.5703125" style="73" customWidth="1"/>
    <col min="15110" max="15110" width="19.140625" style="73" customWidth="1"/>
    <col min="15111" max="15111" width="20.7109375" style="73" customWidth="1"/>
    <col min="15112" max="15361" width="9.140625" style="73"/>
    <col min="15362" max="15362" width="11" style="73" customWidth="1"/>
    <col min="15363" max="15363" width="39" style="73" customWidth="1"/>
    <col min="15364" max="15364" width="12.28515625" style="73" customWidth="1"/>
    <col min="15365" max="15365" width="11.5703125" style="73" customWidth="1"/>
    <col min="15366" max="15366" width="19.140625" style="73" customWidth="1"/>
    <col min="15367" max="15367" width="20.7109375" style="73" customWidth="1"/>
    <col min="15368" max="15617" width="9.140625" style="73"/>
    <col min="15618" max="15618" width="11" style="73" customWidth="1"/>
    <col min="15619" max="15619" width="39" style="73" customWidth="1"/>
    <col min="15620" max="15620" width="12.28515625" style="73" customWidth="1"/>
    <col min="15621" max="15621" width="11.5703125" style="73" customWidth="1"/>
    <col min="15622" max="15622" width="19.140625" style="73" customWidth="1"/>
    <col min="15623" max="15623" width="20.7109375" style="73" customWidth="1"/>
    <col min="15624" max="15873" width="9.140625" style="73"/>
    <col min="15874" max="15874" width="11" style="73" customWidth="1"/>
    <col min="15875" max="15875" width="39" style="73" customWidth="1"/>
    <col min="15876" max="15876" width="12.28515625" style="73" customWidth="1"/>
    <col min="15877" max="15877" width="11.5703125" style="73" customWidth="1"/>
    <col min="15878" max="15878" width="19.140625" style="73" customWidth="1"/>
    <col min="15879" max="15879" width="20.7109375" style="73" customWidth="1"/>
    <col min="15880" max="16129" width="9.140625" style="73"/>
    <col min="16130" max="16130" width="11" style="73" customWidth="1"/>
    <col min="16131" max="16131" width="39" style="73" customWidth="1"/>
    <col min="16132" max="16132" width="12.28515625" style="73" customWidth="1"/>
    <col min="16133" max="16133" width="11.5703125" style="73" customWidth="1"/>
    <col min="16134" max="16134" width="19.140625" style="73" customWidth="1"/>
    <col min="16135" max="16135" width="20.7109375" style="73" customWidth="1"/>
    <col min="16136" max="16384" width="9.140625" style="73"/>
  </cols>
  <sheetData>
    <row r="3" spans="1:12" s="1" customFormat="1" ht="24.75" customHeight="1">
      <c r="B3" s="2"/>
      <c r="C3" s="662" t="s">
        <v>0</v>
      </c>
      <c r="D3" s="4"/>
      <c r="E3" s="5"/>
      <c r="F3" s="6"/>
      <c r="G3" s="7" t="s">
        <v>1</v>
      </c>
      <c r="H3" s="938"/>
    </row>
    <row r="4" spans="1:12" s="312" customFormat="1" ht="6" customHeight="1">
      <c r="B4" s="285"/>
      <c r="C4" s="543"/>
      <c r="D4" s="287"/>
      <c r="E4" s="70"/>
      <c r="F4" s="71"/>
      <c r="G4" s="66"/>
      <c r="H4" s="315"/>
    </row>
    <row r="5" spans="1:12" ht="21.75" customHeight="1">
      <c r="B5" s="316" t="s">
        <v>35</v>
      </c>
      <c r="C5" s="1654" t="s">
        <v>242</v>
      </c>
      <c r="D5" s="318"/>
      <c r="E5" s="319"/>
      <c r="F5" s="320"/>
      <c r="G5" s="314"/>
      <c r="H5" s="322"/>
    </row>
    <row r="6" spans="1:12" ht="6" customHeight="1">
      <c r="B6" s="80"/>
      <c r="C6" s="81"/>
      <c r="D6" s="82"/>
      <c r="E6" s="83"/>
      <c r="F6" s="84"/>
      <c r="G6" s="85"/>
      <c r="H6" s="322"/>
    </row>
    <row r="7" spans="1:12" s="86" customFormat="1" ht="26.25" customHeight="1">
      <c r="B7" s="323" t="s">
        <v>37</v>
      </c>
      <c r="C7" s="2074" t="s">
        <v>290</v>
      </c>
      <c r="D7" s="318"/>
      <c r="E7" s="319"/>
      <c r="F7" s="320"/>
      <c r="G7" s="321"/>
      <c r="H7" s="325"/>
      <c r="I7" s="87"/>
      <c r="J7" s="87"/>
      <c r="K7" s="87"/>
      <c r="L7" s="87"/>
    </row>
    <row r="8" spans="1:12" s="86" customFormat="1" ht="9.75" customHeight="1">
      <c r="B8" s="80"/>
      <c r="C8" s="81"/>
      <c r="D8" s="82"/>
      <c r="E8" s="83"/>
      <c r="F8" s="84"/>
      <c r="G8" s="88"/>
      <c r="H8" s="325"/>
      <c r="I8" s="87"/>
      <c r="J8" s="87"/>
      <c r="K8" s="87"/>
      <c r="L8" s="87"/>
    </row>
    <row r="9" spans="1:12" s="14" customFormat="1" ht="20.25" customHeight="1">
      <c r="A9" s="9"/>
      <c r="B9" s="2292" t="s">
        <v>2</v>
      </c>
      <c r="C9" s="2312"/>
      <c r="D9" s="2294"/>
      <c r="E9" s="2294"/>
      <c r="F9" s="2294"/>
      <c r="G9" s="2295"/>
    </row>
    <row r="10" spans="1:12" s="14" customFormat="1" ht="20.25" customHeight="1">
      <c r="A10" s="15"/>
      <c r="B10" s="2296" t="s">
        <v>3</v>
      </c>
      <c r="C10" s="2313"/>
      <c r="D10" s="2298"/>
      <c r="E10" s="2299"/>
      <c r="F10" s="2299"/>
      <c r="G10" s="2298"/>
    </row>
    <row r="11" spans="1:12" s="14" customFormat="1" ht="20.25" customHeight="1">
      <c r="A11" s="9"/>
      <c r="B11" s="2292" t="s">
        <v>4</v>
      </c>
      <c r="C11" s="2312"/>
      <c r="D11" s="2294"/>
      <c r="E11" s="2294"/>
      <c r="F11" s="2294"/>
      <c r="G11" s="2295"/>
    </row>
    <row r="12" spans="1:12" s="14" customFormat="1" ht="16.5" customHeight="1">
      <c r="A12" s="15"/>
      <c r="B12" s="2296" t="s">
        <v>5</v>
      </c>
      <c r="C12" s="2313"/>
      <c r="D12" s="2299"/>
      <c r="E12" s="2299"/>
      <c r="F12" s="2299"/>
      <c r="G12" s="2298"/>
    </row>
    <row r="13" spans="1:12" s="86" customFormat="1" ht="29.25" customHeight="1">
      <c r="B13" s="89"/>
      <c r="C13" s="90"/>
      <c r="D13" s="91"/>
      <c r="E13" s="92"/>
      <c r="F13" s="93"/>
      <c r="G13" s="94"/>
      <c r="H13" s="325"/>
      <c r="I13" s="87"/>
      <c r="J13" s="87"/>
      <c r="K13" s="87"/>
      <c r="L13" s="87"/>
    </row>
    <row r="14" spans="1:12" s="86" customFormat="1" ht="29.25" customHeight="1">
      <c r="B14" s="95"/>
      <c r="C14" s="1395" t="s">
        <v>40</v>
      </c>
      <c r="D14" s="97"/>
      <c r="E14" s="98"/>
      <c r="F14" s="99"/>
      <c r="G14" s="100"/>
      <c r="H14" s="325"/>
      <c r="I14" s="87"/>
      <c r="J14" s="87"/>
      <c r="K14" s="87"/>
      <c r="L14" s="87"/>
    </row>
    <row r="15" spans="1:12" s="101" customFormat="1" ht="29.25" customHeight="1">
      <c r="B15" s="1396" t="s">
        <v>41</v>
      </c>
      <c r="C15" s="2301" t="s">
        <v>42</v>
      </c>
      <c r="D15" s="1398"/>
      <c r="E15" s="1399"/>
      <c r="F15" s="1400"/>
      <c r="G15" s="1401" t="s">
        <v>10</v>
      </c>
      <c r="H15" s="338"/>
    </row>
    <row r="16" spans="1:12" s="339" customFormat="1" ht="29.25" customHeight="1">
      <c r="B16" s="1403" t="s">
        <v>43</v>
      </c>
      <c r="C16" s="2302" t="s">
        <v>44</v>
      </c>
      <c r="D16" s="1405"/>
      <c r="E16" s="1406"/>
      <c r="F16" s="1407"/>
      <c r="G16" s="1408">
        <f>G38</f>
        <v>0</v>
      </c>
      <c r="H16" s="346"/>
    </row>
    <row r="17" spans="2:8" s="339" customFormat="1" ht="29.25" customHeight="1">
      <c r="B17" s="1403" t="s">
        <v>45</v>
      </c>
      <c r="C17" s="2302" t="s">
        <v>46</v>
      </c>
      <c r="D17" s="1405"/>
      <c r="E17" s="1406"/>
      <c r="F17" s="1407"/>
      <c r="G17" s="1408">
        <f>G87</f>
        <v>0</v>
      </c>
      <c r="H17" s="346"/>
    </row>
    <row r="18" spans="2:8" s="339" customFormat="1" ht="29.25" customHeight="1">
      <c r="B18" s="1403" t="s">
        <v>47</v>
      </c>
      <c r="C18" s="2302" t="s">
        <v>48</v>
      </c>
      <c r="D18" s="1405"/>
      <c r="E18" s="1406"/>
      <c r="F18" s="1407"/>
      <c r="G18" s="1408">
        <f>G304</f>
        <v>0</v>
      </c>
      <c r="H18" s="346"/>
    </row>
    <row r="19" spans="2:8" s="339" customFormat="1" ht="29.25" customHeight="1">
      <c r="B19" s="2303"/>
      <c r="C19" s="2304" t="s">
        <v>49</v>
      </c>
      <c r="D19" s="2305"/>
      <c r="E19" s="2306"/>
      <c r="F19" s="2307"/>
      <c r="G19" s="2308">
        <f>SUM(G16:G18)</f>
        <v>0</v>
      </c>
      <c r="H19" s="346"/>
    </row>
    <row r="20" spans="2:8" s="312" customFormat="1" ht="29.25" customHeight="1">
      <c r="B20" s="353"/>
      <c r="C20" s="2080"/>
      <c r="D20" s="355"/>
      <c r="E20" s="64"/>
      <c r="F20" s="65"/>
      <c r="G20" s="66"/>
      <c r="H20" s="315"/>
    </row>
    <row r="21" spans="2:8" s="312" customFormat="1" ht="29.25" customHeight="1">
      <c r="B21" s="285"/>
      <c r="C21" s="543"/>
      <c r="D21" s="287"/>
      <c r="E21" s="70"/>
      <c r="F21" s="71"/>
      <c r="G21" s="118"/>
      <c r="H21" s="315"/>
    </row>
    <row r="22" spans="2:8" s="312" customFormat="1" ht="29.25" customHeight="1">
      <c r="B22" s="2309" t="s">
        <v>41</v>
      </c>
      <c r="C22" s="2310" t="s">
        <v>51</v>
      </c>
      <c r="D22" s="2311" t="s">
        <v>52</v>
      </c>
      <c r="E22" s="1204" t="s">
        <v>53</v>
      </c>
      <c r="F22" s="1205" t="s">
        <v>54</v>
      </c>
      <c r="G22" s="1206" t="s">
        <v>55</v>
      </c>
      <c r="H22" s="315"/>
    </row>
    <row r="23" spans="2:8" s="312" customFormat="1" ht="29.25" customHeight="1">
      <c r="B23" s="362"/>
      <c r="C23" s="1779"/>
      <c r="D23" s="364"/>
      <c r="E23" s="128"/>
      <c r="F23" s="129"/>
      <c r="G23" s="130"/>
      <c r="H23" s="315"/>
    </row>
    <row r="24" spans="2:8" s="372" customFormat="1" ht="29.25" customHeight="1">
      <c r="B24" s="365" t="s">
        <v>43</v>
      </c>
      <c r="C24" s="2076" t="s">
        <v>44</v>
      </c>
      <c r="D24" s="367"/>
      <c r="E24" s="368"/>
      <c r="F24" s="369"/>
      <c r="G24" s="370"/>
      <c r="H24" s="371"/>
    </row>
    <row r="25" spans="2:8" s="312" customFormat="1" ht="42" customHeight="1">
      <c r="B25" s="362">
        <v>1</v>
      </c>
      <c r="C25" s="1779" t="s">
        <v>56</v>
      </c>
      <c r="D25" s="374" t="s">
        <v>57</v>
      </c>
      <c r="E25" s="128">
        <v>2634</v>
      </c>
      <c r="F25" s="375">
        <v>0</v>
      </c>
      <c r="G25" s="376">
        <f>E25*F25</f>
        <v>0</v>
      </c>
      <c r="H25" s="315"/>
    </row>
    <row r="26" spans="2:8" s="312" customFormat="1" ht="19.5" customHeight="1">
      <c r="B26" s="362">
        <v>2</v>
      </c>
      <c r="C26" s="1779" t="s">
        <v>58</v>
      </c>
      <c r="D26" s="374" t="s">
        <v>57</v>
      </c>
      <c r="E26" s="128">
        <f>E25</f>
        <v>2634</v>
      </c>
      <c r="F26" s="375">
        <v>0</v>
      </c>
      <c r="G26" s="376">
        <f>E26*F26</f>
        <v>0</v>
      </c>
      <c r="H26" s="315"/>
    </row>
    <row r="27" spans="2:8" s="312" customFormat="1" ht="64.5" customHeight="1">
      <c r="B27" s="362">
        <v>3</v>
      </c>
      <c r="C27" s="1779" t="s">
        <v>245</v>
      </c>
      <c r="D27" s="374" t="s">
        <v>60</v>
      </c>
      <c r="E27" s="128">
        <v>1</v>
      </c>
      <c r="F27" s="375">
        <v>0</v>
      </c>
      <c r="G27" s="376">
        <f t="shared" ref="G27:G36" si="0">E27*F27</f>
        <v>0</v>
      </c>
      <c r="H27" s="378"/>
    </row>
    <row r="28" spans="2:8" s="312" customFormat="1" ht="151.5" customHeight="1">
      <c r="B28" s="362">
        <v>4</v>
      </c>
      <c r="C28" s="1779" t="s">
        <v>61</v>
      </c>
      <c r="D28" s="380" t="s">
        <v>60</v>
      </c>
      <c r="E28" s="128">
        <v>1</v>
      </c>
      <c r="F28" s="375">
        <v>0</v>
      </c>
      <c r="G28" s="376">
        <f t="shared" si="0"/>
        <v>0</v>
      </c>
      <c r="H28" s="315"/>
    </row>
    <row r="29" spans="2:8" s="312" customFormat="1" ht="33" customHeight="1">
      <c r="B29" s="362">
        <v>5</v>
      </c>
      <c r="C29" s="1779" t="s">
        <v>62</v>
      </c>
      <c r="D29" s="146" t="s">
        <v>60</v>
      </c>
      <c r="E29" s="128">
        <v>1</v>
      </c>
      <c r="F29" s="375">
        <v>0</v>
      </c>
      <c r="G29" s="376">
        <f t="shared" si="0"/>
        <v>0</v>
      </c>
      <c r="H29" s="315"/>
    </row>
    <row r="30" spans="2:8" s="312" customFormat="1" ht="39" customHeight="1">
      <c r="B30" s="362">
        <v>6</v>
      </c>
      <c r="C30" s="2078" t="s">
        <v>63</v>
      </c>
      <c r="D30" s="146" t="s">
        <v>60</v>
      </c>
      <c r="E30" s="128">
        <v>1</v>
      </c>
      <c r="F30" s="375">
        <v>0</v>
      </c>
      <c r="G30" s="376">
        <f t="shared" si="0"/>
        <v>0</v>
      </c>
      <c r="H30" s="315"/>
    </row>
    <row r="31" spans="2:8" s="312" customFormat="1" ht="53.25" customHeight="1">
      <c r="B31" s="362">
        <v>7</v>
      </c>
      <c r="C31" s="2078" t="s">
        <v>64</v>
      </c>
      <c r="D31" s="146" t="s">
        <v>60</v>
      </c>
      <c r="E31" s="128">
        <v>1</v>
      </c>
      <c r="F31" s="375">
        <v>0</v>
      </c>
      <c r="G31" s="376">
        <f t="shared" si="0"/>
        <v>0</v>
      </c>
      <c r="H31" s="315"/>
    </row>
    <row r="32" spans="2:8" s="312" customFormat="1" ht="63" customHeight="1">
      <c r="B32" s="362">
        <v>8</v>
      </c>
      <c r="C32" s="1080" t="s">
        <v>2292</v>
      </c>
      <c r="D32" s="146" t="s">
        <v>66</v>
      </c>
      <c r="E32" s="128">
        <v>50</v>
      </c>
      <c r="F32" s="375">
        <v>0</v>
      </c>
      <c r="G32" s="376">
        <f t="shared" si="0"/>
        <v>0</v>
      </c>
      <c r="H32" s="315"/>
    </row>
    <row r="33" spans="2:12" s="312" customFormat="1" ht="38.25" customHeight="1">
      <c r="B33" s="362">
        <v>9</v>
      </c>
      <c r="C33" s="1080" t="s">
        <v>2294</v>
      </c>
      <c r="D33" s="146" t="s">
        <v>57</v>
      </c>
      <c r="E33" s="128">
        <v>3729</v>
      </c>
      <c r="F33" s="375">
        <v>0</v>
      </c>
      <c r="G33" s="376">
        <f>E33*F33</f>
        <v>0</v>
      </c>
      <c r="H33" s="378"/>
    </row>
    <row r="34" spans="2:12" s="312" customFormat="1" ht="27" customHeight="1">
      <c r="B34" s="362">
        <v>10</v>
      </c>
      <c r="C34" s="1080" t="s">
        <v>2293</v>
      </c>
      <c r="D34" s="146" t="s">
        <v>60</v>
      </c>
      <c r="E34" s="128">
        <v>1</v>
      </c>
      <c r="F34" s="375">
        <v>0</v>
      </c>
      <c r="G34" s="376">
        <f t="shared" si="0"/>
        <v>0</v>
      </c>
      <c r="H34" s="315"/>
    </row>
    <row r="35" spans="2:12" s="312" customFormat="1" ht="16.5" customHeight="1">
      <c r="B35" s="362">
        <v>11</v>
      </c>
      <c r="C35" s="2078" t="s">
        <v>67</v>
      </c>
      <c r="D35" s="146" t="s">
        <v>60</v>
      </c>
      <c r="E35" s="128">
        <v>1</v>
      </c>
      <c r="F35" s="375">
        <v>0</v>
      </c>
      <c r="G35" s="376">
        <f t="shared" si="0"/>
        <v>0</v>
      </c>
      <c r="H35" s="315"/>
    </row>
    <row r="36" spans="2:12" s="312" customFormat="1" ht="50.25" customHeight="1">
      <c r="B36" s="362">
        <v>12</v>
      </c>
      <c r="C36" s="1532" t="s">
        <v>68</v>
      </c>
      <c r="D36" s="146" t="s">
        <v>60</v>
      </c>
      <c r="E36" s="149">
        <v>1</v>
      </c>
      <c r="F36" s="375">
        <v>0</v>
      </c>
      <c r="G36" s="376">
        <f t="shared" si="0"/>
        <v>0</v>
      </c>
      <c r="H36" s="315"/>
    </row>
    <row r="37" spans="2:12" s="312" customFormat="1" ht="50.25" customHeight="1">
      <c r="B37" s="362">
        <v>13</v>
      </c>
      <c r="C37" s="1532" t="s">
        <v>69</v>
      </c>
      <c r="D37" s="146" t="s">
        <v>60</v>
      </c>
      <c r="E37" s="149">
        <v>1</v>
      </c>
      <c r="F37" s="375">
        <v>0</v>
      </c>
      <c r="G37" s="376">
        <f>E37*F37</f>
        <v>0</v>
      </c>
      <c r="H37" s="378"/>
    </row>
    <row r="38" spans="2:12" s="388" customFormat="1" ht="29.25" customHeight="1">
      <c r="B38" s="382" t="s">
        <v>43</v>
      </c>
      <c r="C38" s="2077" t="s">
        <v>70</v>
      </c>
      <c r="D38" s="383"/>
      <c r="E38" s="384"/>
      <c r="F38" s="385"/>
      <c r="G38" s="386">
        <f>SUM(G25:G37)</f>
        <v>0</v>
      </c>
      <c r="H38" s="387"/>
    </row>
    <row r="39" spans="2:12" s="312" customFormat="1" ht="29.25" customHeight="1">
      <c r="B39" s="362"/>
      <c r="C39" s="1779"/>
      <c r="D39" s="364"/>
      <c r="E39" s="128"/>
      <c r="F39" s="129"/>
      <c r="G39" s="130"/>
      <c r="H39" s="315"/>
    </row>
    <row r="40" spans="2:12" s="312" customFormat="1" ht="29.25" customHeight="1">
      <c r="B40" s="356" t="s">
        <v>41</v>
      </c>
      <c r="C40" s="2075" t="s">
        <v>51</v>
      </c>
      <c r="D40" s="358" t="s">
        <v>52</v>
      </c>
      <c r="E40" s="359" t="s">
        <v>53</v>
      </c>
      <c r="F40" s="360" t="s">
        <v>54</v>
      </c>
      <c r="G40" s="361" t="s">
        <v>55</v>
      </c>
      <c r="H40" s="315"/>
    </row>
    <row r="43" spans="2:12" s="372" customFormat="1" ht="20.25">
      <c r="B43" s="365" t="s">
        <v>45</v>
      </c>
      <c r="C43" s="2081" t="s">
        <v>71</v>
      </c>
      <c r="D43" s="391"/>
      <c r="E43" s="368"/>
      <c r="F43" s="369"/>
      <c r="G43" s="370"/>
      <c r="H43" s="371"/>
    </row>
    <row r="44" spans="2:12" s="166" customFormat="1" ht="74.25" customHeight="1">
      <c r="B44" s="2478" t="s">
        <v>72</v>
      </c>
      <c r="C44" s="2479"/>
      <c r="D44" s="2479"/>
      <c r="E44" s="2479"/>
      <c r="F44" s="2479"/>
      <c r="G44" s="2480"/>
      <c r="H44" s="315"/>
    </row>
    <row r="45" spans="2:12" s="312" customFormat="1" ht="39.75" customHeight="1">
      <c r="B45" s="392">
        <v>1</v>
      </c>
      <c r="C45" s="1779" t="s">
        <v>73</v>
      </c>
      <c r="D45" s="374" t="s">
        <v>74</v>
      </c>
      <c r="E45" s="128">
        <v>610</v>
      </c>
      <c r="F45" s="375">
        <v>0</v>
      </c>
      <c r="G45" s="376">
        <f>E45*F45</f>
        <v>0</v>
      </c>
      <c r="H45" s="315"/>
      <c r="I45" s="393"/>
    </row>
    <row r="46" spans="2:12" s="312" customFormat="1" ht="53.25" customHeight="1">
      <c r="B46" s="392">
        <v>2</v>
      </c>
      <c r="C46" s="1779" t="s">
        <v>246</v>
      </c>
      <c r="D46" s="374" t="s">
        <v>57</v>
      </c>
      <c r="E46" s="128">
        <f>E26</f>
        <v>2634</v>
      </c>
      <c r="F46" s="375">
        <v>0</v>
      </c>
      <c r="G46" s="376">
        <f t="shared" ref="G46:G84" si="1">E46*F46</f>
        <v>0</v>
      </c>
      <c r="H46" s="315"/>
      <c r="I46" s="393"/>
    </row>
    <row r="47" spans="2:12" s="312" customFormat="1" ht="42" customHeight="1">
      <c r="B47" s="392">
        <v>3</v>
      </c>
      <c r="C47" s="1779" t="s">
        <v>75</v>
      </c>
      <c r="D47" s="380" t="s">
        <v>74</v>
      </c>
      <c r="E47" s="128">
        <f>E26*1.5*1.2*0.15</f>
        <v>711.18</v>
      </c>
      <c r="F47" s="375">
        <v>0</v>
      </c>
      <c r="G47" s="376">
        <f t="shared" si="1"/>
        <v>0</v>
      </c>
      <c r="H47" s="315"/>
      <c r="I47" s="394"/>
      <c r="K47" s="395"/>
      <c r="L47" s="395"/>
    </row>
    <row r="48" spans="2:12" s="312" customFormat="1" ht="50.25" customHeight="1">
      <c r="B48" s="392">
        <v>4</v>
      </c>
      <c r="C48" s="1779" t="s">
        <v>76</v>
      </c>
      <c r="D48" s="380" t="s">
        <v>74</v>
      </c>
      <c r="E48" s="128">
        <f>E26*1.5*1.2*0.85</f>
        <v>4030.0199999999995</v>
      </c>
      <c r="F48" s="375">
        <v>0</v>
      </c>
      <c r="G48" s="376">
        <f t="shared" si="1"/>
        <v>0</v>
      </c>
      <c r="H48" s="315"/>
      <c r="I48" s="394"/>
    </row>
    <row r="49" spans="2:9" s="312" customFormat="1" ht="41.25" customHeight="1">
      <c r="B49" s="392">
        <v>5</v>
      </c>
      <c r="C49" s="1779" t="s">
        <v>77</v>
      </c>
      <c r="D49" s="169" t="s">
        <v>78</v>
      </c>
      <c r="E49" s="170">
        <f>E26*1.5</f>
        <v>3951</v>
      </c>
      <c r="F49" s="375">
        <v>0</v>
      </c>
      <c r="G49" s="376">
        <f t="shared" si="1"/>
        <v>0</v>
      </c>
      <c r="H49" s="315"/>
      <c r="I49" s="393"/>
    </row>
    <row r="50" spans="2:9" s="312" customFormat="1" ht="45.75" customHeight="1">
      <c r="B50" s="392">
        <v>6</v>
      </c>
      <c r="C50" s="1779" t="s">
        <v>79</v>
      </c>
      <c r="D50" s="380" t="s">
        <v>78</v>
      </c>
      <c r="E50" s="128">
        <f>E26</f>
        <v>2634</v>
      </c>
      <c r="F50" s="375">
        <v>0</v>
      </c>
      <c r="G50" s="376">
        <f t="shared" si="1"/>
        <v>0</v>
      </c>
      <c r="H50" s="315"/>
      <c r="I50" s="393"/>
    </row>
    <row r="51" spans="2:9" s="312" customFormat="1" ht="43.5" customHeight="1">
      <c r="B51" s="392">
        <v>7</v>
      </c>
      <c r="C51" s="1779" t="s">
        <v>80</v>
      </c>
      <c r="D51" s="380" t="s">
        <v>74</v>
      </c>
      <c r="E51" s="128">
        <f>E26*0.3</f>
        <v>790.19999999999993</v>
      </c>
      <c r="F51" s="375">
        <v>0</v>
      </c>
      <c r="G51" s="376">
        <f t="shared" si="1"/>
        <v>0</v>
      </c>
      <c r="H51" s="315"/>
      <c r="I51" s="394"/>
    </row>
    <row r="52" spans="2:9" s="312" customFormat="1" ht="33.75" customHeight="1">
      <c r="B52" s="392">
        <v>8</v>
      </c>
      <c r="C52" s="1779" t="s">
        <v>247</v>
      </c>
      <c r="D52" s="380" t="s">
        <v>74</v>
      </c>
      <c r="E52" s="128">
        <f>50*1.2*1.5</f>
        <v>90</v>
      </c>
      <c r="F52" s="375">
        <v>0</v>
      </c>
      <c r="G52" s="376">
        <f t="shared" si="1"/>
        <v>0</v>
      </c>
      <c r="H52" s="315"/>
      <c r="I52" s="395"/>
    </row>
    <row r="53" spans="2:9" s="312" customFormat="1" ht="55.5" customHeight="1">
      <c r="B53" s="392">
        <v>9</v>
      </c>
      <c r="C53" s="1779" t="s">
        <v>248</v>
      </c>
      <c r="D53" s="380" t="s">
        <v>74</v>
      </c>
      <c r="E53" s="128">
        <f>E26*1.2*1.5-E52-E51-E54</f>
        <v>3266.4</v>
      </c>
      <c r="F53" s="375">
        <v>0</v>
      </c>
      <c r="G53" s="376">
        <f t="shared" si="1"/>
        <v>0</v>
      </c>
      <c r="H53" s="315"/>
    </row>
    <row r="54" spans="2:9" s="166" customFormat="1" ht="56.25" customHeight="1">
      <c r="B54" s="392">
        <v>10</v>
      </c>
      <c r="C54" s="1780" t="s">
        <v>249</v>
      </c>
      <c r="D54" s="146" t="s">
        <v>74</v>
      </c>
      <c r="E54" s="128">
        <f>991*1.5*0.4</f>
        <v>594.6</v>
      </c>
      <c r="F54" s="375">
        <v>0</v>
      </c>
      <c r="G54" s="376">
        <f t="shared" si="1"/>
        <v>0</v>
      </c>
      <c r="H54" s="315"/>
    </row>
    <row r="55" spans="2:9" s="166" customFormat="1" ht="56.25" customHeight="1">
      <c r="B55" s="398" t="s">
        <v>250</v>
      </c>
      <c r="C55" s="1780" t="s">
        <v>251</v>
      </c>
      <c r="D55" s="146" t="s">
        <v>74</v>
      </c>
      <c r="E55" s="128">
        <f>991*1.5*0.4</f>
        <v>594.6</v>
      </c>
      <c r="F55" s="375">
        <v>0</v>
      </c>
      <c r="G55" s="376">
        <f>E55*F55</f>
        <v>0</v>
      </c>
      <c r="H55" s="315"/>
    </row>
    <row r="56" spans="2:9" s="388" customFormat="1" ht="69.75" customHeight="1">
      <c r="B56" s="2472">
        <v>11</v>
      </c>
      <c r="C56" s="1780" t="s">
        <v>83</v>
      </c>
      <c r="D56" s="146" t="s">
        <v>252</v>
      </c>
      <c r="E56" s="128">
        <v>1000</v>
      </c>
      <c r="F56" s="375">
        <v>0</v>
      </c>
      <c r="G56" s="376">
        <f>E56*F56</f>
        <v>0</v>
      </c>
      <c r="H56" s="399"/>
    </row>
    <row r="57" spans="2:9" s="388" customFormat="1" ht="15" customHeight="1">
      <c r="B57" s="2473"/>
      <c r="C57" s="1780" t="s">
        <v>84</v>
      </c>
      <c r="D57" s="374" t="s">
        <v>57</v>
      </c>
      <c r="E57" s="128">
        <v>10</v>
      </c>
      <c r="F57" s="375">
        <v>0</v>
      </c>
      <c r="G57" s="376">
        <f>E57*F57</f>
        <v>0</v>
      </c>
      <c r="H57" s="399"/>
    </row>
    <row r="58" spans="2:9" s="388" customFormat="1" ht="15" customHeight="1">
      <c r="B58" s="2474"/>
      <c r="C58" s="1780" t="s">
        <v>253</v>
      </c>
      <c r="D58" s="374" t="s">
        <v>57</v>
      </c>
      <c r="E58" s="128">
        <v>10</v>
      </c>
      <c r="F58" s="375">
        <v>0</v>
      </c>
      <c r="G58" s="376">
        <f>E58*F58</f>
        <v>0</v>
      </c>
      <c r="H58" s="399"/>
    </row>
    <row r="59" spans="2:9" s="312" customFormat="1" ht="25.5" customHeight="1">
      <c r="B59" s="392">
        <v>12</v>
      </c>
      <c r="C59" s="1779" t="s">
        <v>85</v>
      </c>
      <c r="D59" s="380" t="s">
        <v>57</v>
      </c>
      <c r="E59" s="128">
        <v>1200</v>
      </c>
      <c r="F59" s="375">
        <v>0</v>
      </c>
      <c r="G59" s="376">
        <f t="shared" si="1"/>
        <v>0</v>
      </c>
      <c r="H59" s="378"/>
    </row>
    <row r="60" spans="2:9" s="312" customFormat="1" ht="32.25" customHeight="1">
      <c r="B60" s="392">
        <v>13</v>
      </c>
      <c r="C60" s="1779" t="s">
        <v>86</v>
      </c>
      <c r="D60" s="374" t="s">
        <v>78</v>
      </c>
      <c r="E60" s="128">
        <f>E59*1.2</f>
        <v>1440</v>
      </c>
      <c r="F60" s="375">
        <v>0</v>
      </c>
      <c r="G60" s="376">
        <f t="shared" si="1"/>
        <v>0</v>
      </c>
      <c r="H60" s="378"/>
    </row>
    <row r="61" spans="2:9" s="312" customFormat="1" ht="67.5" customHeight="1">
      <c r="B61" s="392">
        <v>14</v>
      </c>
      <c r="C61" s="1779" t="s">
        <v>87</v>
      </c>
      <c r="D61" s="374" t="s">
        <v>78</v>
      </c>
      <c r="E61" s="128">
        <f>E60</f>
        <v>1440</v>
      </c>
      <c r="F61" s="375">
        <v>0</v>
      </c>
      <c r="G61" s="376">
        <f t="shared" si="1"/>
        <v>0</v>
      </c>
      <c r="H61" s="378"/>
    </row>
    <row r="62" spans="2:9" s="312" customFormat="1" ht="23.25" customHeight="1">
      <c r="B62" s="392">
        <v>15</v>
      </c>
      <c r="C62" s="1780" t="s">
        <v>291</v>
      </c>
      <c r="D62" s="380"/>
      <c r="E62" s="128"/>
      <c r="F62" s="375">
        <v>0</v>
      </c>
      <c r="G62" s="376">
        <f>E62*F62</f>
        <v>0</v>
      </c>
      <c r="H62" s="378"/>
    </row>
    <row r="63" spans="2:9" s="312" customFormat="1" ht="71.25" customHeight="1">
      <c r="B63" s="400" t="s">
        <v>255</v>
      </c>
      <c r="C63" s="1779" t="s">
        <v>256</v>
      </c>
      <c r="D63" s="380" t="s">
        <v>78</v>
      </c>
      <c r="E63" s="128">
        <f>E61</f>
        <v>1440</v>
      </c>
      <c r="F63" s="375">
        <v>0</v>
      </c>
      <c r="G63" s="376">
        <f t="shared" si="1"/>
        <v>0</v>
      </c>
      <c r="H63" s="378"/>
    </row>
    <row r="64" spans="2:9" s="312" customFormat="1" ht="90" customHeight="1">
      <c r="B64" s="400" t="s">
        <v>257</v>
      </c>
      <c r="C64" s="1779" t="s">
        <v>258</v>
      </c>
      <c r="D64" s="380" t="s">
        <v>78</v>
      </c>
      <c r="E64" s="128">
        <v>1400</v>
      </c>
      <c r="F64" s="375">
        <v>0</v>
      </c>
      <c r="G64" s="376">
        <f>E64*F64</f>
        <v>0</v>
      </c>
      <c r="H64" s="378"/>
    </row>
    <row r="65" spans="1:8" s="312" customFormat="1" ht="57" customHeight="1">
      <c r="B65" s="392">
        <v>16</v>
      </c>
      <c r="C65" s="1779" t="s">
        <v>90</v>
      </c>
      <c r="D65" s="374" t="s">
        <v>78</v>
      </c>
      <c r="E65" s="128">
        <f>E63*0.4</f>
        <v>576</v>
      </c>
      <c r="F65" s="375">
        <v>0</v>
      </c>
      <c r="G65" s="376">
        <f t="shared" si="1"/>
        <v>0</v>
      </c>
      <c r="H65" s="315"/>
    </row>
    <row r="66" spans="1:8" s="312" customFormat="1" ht="29.25" customHeight="1">
      <c r="B66" s="392">
        <v>17</v>
      </c>
      <c r="C66" s="1779" t="s">
        <v>263</v>
      </c>
      <c r="D66" s="380" t="s">
        <v>74</v>
      </c>
      <c r="E66" s="128">
        <f>E45</f>
        <v>610</v>
      </c>
      <c r="F66" s="375">
        <v>0</v>
      </c>
      <c r="G66" s="376">
        <f t="shared" si="1"/>
        <v>0</v>
      </c>
      <c r="H66" s="315"/>
    </row>
    <row r="67" spans="1:8" s="312" customFormat="1" ht="22.5" customHeight="1">
      <c r="B67" s="392">
        <v>18</v>
      </c>
      <c r="C67" s="1779" t="s">
        <v>264</v>
      </c>
      <c r="D67" s="380" t="s">
        <v>74</v>
      </c>
      <c r="E67" s="128">
        <f>E45+E47+E21+(E46*0.4*2)-E52</f>
        <v>3338.38</v>
      </c>
      <c r="F67" s="375">
        <v>0</v>
      </c>
      <c r="G67" s="376">
        <f t="shared" si="1"/>
        <v>0</v>
      </c>
      <c r="H67" s="315"/>
    </row>
    <row r="68" spans="1:8" s="312" customFormat="1" ht="30.75" customHeight="1">
      <c r="B68" s="392">
        <v>19</v>
      </c>
      <c r="C68" s="1779" t="s">
        <v>265</v>
      </c>
      <c r="D68" s="380" t="s">
        <v>74</v>
      </c>
      <c r="E68" s="128">
        <f>E67</f>
        <v>3338.38</v>
      </c>
      <c r="F68" s="375">
        <v>0</v>
      </c>
      <c r="G68" s="376">
        <f t="shared" si="1"/>
        <v>0</v>
      </c>
      <c r="H68" s="315"/>
    </row>
    <row r="69" spans="1:8" s="312" customFormat="1" ht="31.5" customHeight="1">
      <c r="B69" s="392">
        <v>20</v>
      </c>
      <c r="C69" s="1779" t="s">
        <v>266</v>
      </c>
      <c r="D69" s="380" t="s">
        <v>78</v>
      </c>
      <c r="E69" s="128">
        <f>E63*0.2</f>
        <v>288</v>
      </c>
      <c r="F69" s="375">
        <v>0</v>
      </c>
      <c r="G69" s="376">
        <f t="shared" si="1"/>
        <v>0</v>
      </c>
      <c r="H69" s="315"/>
    </row>
    <row r="70" spans="1:8" s="312" customFormat="1" ht="43.5" customHeight="1">
      <c r="B70" s="392">
        <v>21</v>
      </c>
      <c r="C70" s="1779" t="s">
        <v>95</v>
      </c>
      <c r="D70" s="374" t="s">
        <v>78</v>
      </c>
      <c r="E70" s="128">
        <f>E26*0.75</f>
        <v>1975.5</v>
      </c>
      <c r="F70" s="375">
        <v>0</v>
      </c>
      <c r="G70" s="376">
        <f t="shared" si="1"/>
        <v>0</v>
      </c>
      <c r="H70" s="315"/>
    </row>
    <row r="71" spans="1:8" s="312" customFormat="1" ht="75" customHeight="1">
      <c r="A71" s="166"/>
      <c r="B71" s="2472">
        <v>22</v>
      </c>
      <c r="C71" s="1780" t="s">
        <v>292</v>
      </c>
      <c r="D71" s="194"/>
      <c r="E71" s="128"/>
      <c r="F71" s="375"/>
      <c r="G71" s="376"/>
      <c r="H71" s="315"/>
    </row>
    <row r="72" spans="1:8" s="312" customFormat="1" ht="21.75" customHeight="1">
      <c r="A72" s="166"/>
      <c r="B72" s="2473"/>
      <c r="C72" s="1780" t="s">
        <v>293</v>
      </c>
      <c r="D72" s="194" t="s">
        <v>57</v>
      </c>
      <c r="E72" s="128">
        <v>55</v>
      </c>
      <c r="F72" s="375">
        <v>0</v>
      </c>
      <c r="G72" s="376">
        <f>E72*F72</f>
        <v>0</v>
      </c>
      <c r="H72" s="315"/>
    </row>
    <row r="73" spans="1:8" s="166" customFormat="1" ht="22.5" customHeight="1">
      <c r="B73" s="2473"/>
      <c r="C73" s="1780" t="s">
        <v>294</v>
      </c>
      <c r="D73" s="194" t="s">
        <v>57</v>
      </c>
      <c r="E73" s="128">
        <v>65</v>
      </c>
      <c r="F73" s="375">
        <v>0</v>
      </c>
      <c r="G73" s="376">
        <f>E73*F73</f>
        <v>0</v>
      </c>
      <c r="H73" s="315"/>
    </row>
    <row r="74" spans="1:8" s="166" customFormat="1" ht="60.75" customHeight="1">
      <c r="A74" s="312"/>
      <c r="B74" s="2472">
        <v>23</v>
      </c>
      <c r="C74" s="1780" t="s">
        <v>295</v>
      </c>
      <c r="D74" s="374"/>
      <c r="E74" s="128"/>
      <c r="F74" s="375"/>
      <c r="G74" s="376"/>
      <c r="H74" s="315"/>
    </row>
    <row r="75" spans="1:8" s="312" customFormat="1" ht="21.75" customHeight="1">
      <c r="A75" s="166"/>
      <c r="B75" s="2473"/>
      <c r="C75" s="1780" t="s">
        <v>296</v>
      </c>
      <c r="D75" s="194" t="s">
        <v>57</v>
      </c>
      <c r="E75" s="128">
        <v>40</v>
      </c>
      <c r="F75" s="375">
        <v>0</v>
      </c>
      <c r="G75" s="376">
        <f>E75*F75</f>
        <v>0</v>
      </c>
      <c r="H75" s="315"/>
    </row>
    <row r="76" spans="1:8" s="166" customFormat="1">
      <c r="B76" s="2474"/>
      <c r="C76" s="1780" t="s">
        <v>297</v>
      </c>
      <c r="D76" s="194" t="s">
        <v>57</v>
      </c>
      <c r="E76" s="128">
        <v>40</v>
      </c>
      <c r="F76" s="375">
        <v>0</v>
      </c>
      <c r="G76" s="376">
        <f>E76*F76</f>
        <v>0</v>
      </c>
      <c r="H76" s="315"/>
    </row>
    <row r="77" spans="1:8" s="166" customFormat="1" ht="71.25" customHeight="1">
      <c r="A77" s="312"/>
      <c r="B77" s="392">
        <v>24</v>
      </c>
      <c r="C77" s="1780" t="s">
        <v>298</v>
      </c>
      <c r="D77" s="374" t="s">
        <v>78</v>
      </c>
      <c r="E77" s="128">
        <v>10</v>
      </c>
      <c r="F77" s="375">
        <v>0</v>
      </c>
      <c r="G77" s="376">
        <f t="shared" si="1"/>
        <v>0</v>
      </c>
      <c r="H77" s="315"/>
    </row>
    <row r="78" spans="1:8" s="166" customFormat="1" ht="45.75" customHeight="1">
      <c r="A78" s="312"/>
      <c r="B78" s="392">
        <v>25</v>
      </c>
      <c r="C78" s="1780" t="s">
        <v>96</v>
      </c>
      <c r="D78" s="374" t="s">
        <v>57</v>
      </c>
      <c r="E78" s="128">
        <v>30</v>
      </c>
      <c r="F78" s="375">
        <v>0</v>
      </c>
      <c r="G78" s="376">
        <f>E78*F78</f>
        <v>0</v>
      </c>
      <c r="H78" s="378"/>
    </row>
    <row r="79" spans="1:8" s="166" customFormat="1" ht="52.5" customHeight="1">
      <c r="A79" s="312"/>
      <c r="B79" s="400" t="s">
        <v>299</v>
      </c>
      <c r="C79" s="1780" t="s">
        <v>268</v>
      </c>
      <c r="D79" s="374" t="s">
        <v>57</v>
      </c>
      <c r="E79" s="128">
        <v>20</v>
      </c>
      <c r="F79" s="375">
        <v>0</v>
      </c>
      <c r="G79" s="376">
        <f>E79*F79</f>
        <v>0</v>
      </c>
      <c r="H79" s="378"/>
    </row>
    <row r="80" spans="1:8" s="166" customFormat="1" ht="140.25" customHeight="1">
      <c r="A80" s="312"/>
      <c r="B80" s="392">
        <v>27</v>
      </c>
      <c r="C80" s="184" t="s">
        <v>300</v>
      </c>
      <c r="D80" s="182" t="s">
        <v>66</v>
      </c>
      <c r="E80" s="183">
        <v>1</v>
      </c>
      <c r="F80" s="375">
        <v>0</v>
      </c>
      <c r="G80" s="376">
        <f t="shared" si="1"/>
        <v>0</v>
      </c>
      <c r="H80" s="315"/>
    </row>
    <row r="81" spans="1:8" s="166" customFormat="1" ht="204">
      <c r="A81" s="312"/>
      <c r="B81" s="392">
        <v>28</v>
      </c>
      <c r="C81" s="184" t="s">
        <v>301</v>
      </c>
      <c r="D81" s="182" t="s">
        <v>66</v>
      </c>
      <c r="E81" s="183">
        <v>1</v>
      </c>
      <c r="F81" s="375">
        <v>0</v>
      </c>
      <c r="G81" s="376">
        <f t="shared" si="1"/>
        <v>0</v>
      </c>
      <c r="H81" s="315"/>
    </row>
    <row r="82" spans="1:8" s="166" customFormat="1" ht="198.75" customHeight="1">
      <c r="A82" s="312"/>
      <c r="B82" s="392">
        <v>29</v>
      </c>
      <c r="C82" s="184" t="s">
        <v>302</v>
      </c>
      <c r="D82" s="182" t="s">
        <v>66</v>
      </c>
      <c r="E82" s="183">
        <v>1</v>
      </c>
      <c r="F82" s="375">
        <v>0</v>
      </c>
      <c r="G82" s="376">
        <f t="shared" si="1"/>
        <v>0</v>
      </c>
      <c r="H82" s="315"/>
    </row>
    <row r="83" spans="1:8" s="312" customFormat="1" ht="55.5" customHeight="1">
      <c r="B83" s="401">
        <v>30</v>
      </c>
      <c r="C83" s="184" t="s">
        <v>269</v>
      </c>
      <c r="D83" s="182" t="s">
        <v>74</v>
      </c>
      <c r="E83" s="183">
        <v>1</v>
      </c>
      <c r="F83" s="375">
        <v>0</v>
      </c>
      <c r="G83" s="376">
        <f t="shared" si="1"/>
        <v>0</v>
      </c>
      <c r="H83" s="315"/>
    </row>
    <row r="84" spans="1:8" s="312" customFormat="1" ht="57.75" customHeight="1">
      <c r="B84" s="392">
        <v>31</v>
      </c>
      <c r="C84" s="184" t="s">
        <v>270</v>
      </c>
      <c r="D84" s="182" t="s">
        <v>66</v>
      </c>
      <c r="E84" s="183">
        <v>50</v>
      </c>
      <c r="F84" s="375">
        <v>0</v>
      </c>
      <c r="G84" s="376">
        <f t="shared" si="1"/>
        <v>0</v>
      </c>
      <c r="H84" s="315"/>
    </row>
    <row r="85" spans="1:8" s="312" customFormat="1" ht="54" customHeight="1">
      <c r="B85" s="401">
        <v>32</v>
      </c>
      <c r="C85" s="184" t="s">
        <v>99</v>
      </c>
      <c r="D85" s="182" t="s">
        <v>74</v>
      </c>
      <c r="E85" s="183">
        <v>10</v>
      </c>
      <c r="F85" s="375">
        <v>0</v>
      </c>
      <c r="G85" s="376">
        <f>E85*F85</f>
        <v>0</v>
      </c>
      <c r="H85" s="315"/>
    </row>
    <row r="86" spans="1:8" s="312" customFormat="1" ht="44.25" customHeight="1">
      <c r="B86" s="392">
        <v>33</v>
      </c>
      <c r="C86" s="184" t="s">
        <v>100</v>
      </c>
      <c r="D86" s="182" t="s">
        <v>65</v>
      </c>
      <c r="E86" s="183">
        <v>50</v>
      </c>
      <c r="F86" s="375">
        <v>0</v>
      </c>
      <c r="G86" s="376">
        <f>E86*F86</f>
        <v>0</v>
      </c>
      <c r="H86" s="315"/>
    </row>
    <row r="87" spans="1:8" s="312" customFormat="1" ht="33" customHeight="1">
      <c r="A87" s="388"/>
      <c r="B87" s="382" t="s">
        <v>45</v>
      </c>
      <c r="C87" s="2077" t="s">
        <v>101</v>
      </c>
      <c r="D87" s="403"/>
      <c r="E87" s="384"/>
      <c r="F87" s="385"/>
      <c r="G87" s="386">
        <f>SUM(G45:G86)</f>
        <v>0</v>
      </c>
      <c r="H87" s="315"/>
    </row>
    <row r="88" spans="1:8" s="312" customFormat="1" ht="33" customHeight="1">
      <c r="A88" s="15"/>
      <c r="B88" s="356" t="s">
        <v>41</v>
      </c>
      <c r="C88" s="2075" t="s">
        <v>51</v>
      </c>
      <c r="D88" s="357" t="s">
        <v>52</v>
      </c>
      <c r="E88" s="359" t="s">
        <v>53</v>
      </c>
      <c r="F88" s="360" t="s">
        <v>54</v>
      </c>
      <c r="G88" s="361" t="s">
        <v>55</v>
      </c>
      <c r="H88" s="315"/>
    </row>
    <row r="89" spans="1:8" s="312" customFormat="1" ht="30" customHeight="1">
      <c r="A89" s="9"/>
      <c r="B89" s="362"/>
      <c r="C89" s="1779"/>
      <c r="D89" s="374"/>
      <c r="E89" s="128"/>
      <c r="F89" s="129"/>
      <c r="G89" s="130"/>
      <c r="H89" s="315"/>
    </row>
    <row r="90" spans="1:8" s="312" customFormat="1" ht="33" customHeight="1">
      <c r="A90" s="15"/>
      <c r="B90" s="404" t="s">
        <v>47</v>
      </c>
      <c r="C90" s="2081" t="s">
        <v>102</v>
      </c>
      <c r="D90" s="391"/>
      <c r="E90" s="368"/>
      <c r="F90" s="369"/>
      <c r="G90" s="370"/>
      <c r="H90" s="315"/>
    </row>
    <row r="91" spans="1:8" s="312" customFormat="1" ht="23.25" customHeight="1">
      <c r="A91" s="9"/>
      <c r="B91" s="2292" t="s">
        <v>2</v>
      </c>
      <c r="C91" s="2312"/>
      <c r="D91" s="2294"/>
      <c r="E91" s="2294"/>
      <c r="F91" s="2294"/>
      <c r="G91" s="2295"/>
      <c r="H91" s="315"/>
    </row>
    <row r="92" spans="1:8" s="312" customFormat="1" ht="20.25" customHeight="1">
      <c r="A92" s="388"/>
      <c r="B92" s="2296" t="s">
        <v>3</v>
      </c>
      <c r="C92" s="2313"/>
      <c r="D92" s="2298"/>
      <c r="E92" s="2299"/>
      <c r="F92" s="2299"/>
      <c r="G92" s="2298"/>
      <c r="H92" s="315"/>
    </row>
    <row r="93" spans="1:8" s="312" customFormat="1" ht="19.5" customHeight="1">
      <c r="B93" s="2292" t="s">
        <v>4</v>
      </c>
      <c r="C93" s="2312"/>
      <c r="D93" s="2294"/>
      <c r="E93" s="2294"/>
      <c r="F93" s="2294"/>
      <c r="G93" s="2295"/>
      <c r="H93" s="315"/>
    </row>
    <row r="94" spans="1:8" s="312" customFormat="1" ht="18" customHeight="1">
      <c r="B94" s="2296" t="s">
        <v>5</v>
      </c>
      <c r="C94" s="2313"/>
      <c r="D94" s="2299"/>
      <c r="E94" s="2299"/>
      <c r="F94" s="2299"/>
      <c r="G94" s="2298"/>
      <c r="H94" s="315"/>
    </row>
    <row r="95" spans="1:8" s="312" customFormat="1" ht="20.25" customHeight="1">
      <c r="A95" s="166"/>
      <c r="B95" s="2478" t="s">
        <v>271</v>
      </c>
      <c r="C95" s="2479"/>
      <c r="D95" s="2479"/>
      <c r="E95" s="2479"/>
      <c r="F95" s="2479"/>
      <c r="G95" s="2480"/>
      <c r="H95" s="315"/>
    </row>
    <row r="96" spans="1:8" s="312" customFormat="1" ht="24" customHeight="1">
      <c r="A96" s="166"/>
      <c r="B96" s="2478" t="s">
        <v>104</v>
      </c>
      <c r="C96" s="2479"/>
      <c r="D96" s="2479"/>
      <c r="E96" s="2479"/>
      <c r="F96" s="2479"/>
      <c r="G96" s="2480"/>
      <c r="H96" s="387"/>
    </row>
    <row r="97" spans="1:10" s="312" customFormat="1" ht="24" customHeight="1">
      <c r="A97" s="166"/>
      <c r="B97" s="2478" t="s">
        <v>105</v>
      </c>
      <c r="C97" s="2479"/>
      <c r="D97" s="2479"/>
      <c r="E97" s="2479"/>
      <c r="F97" s="2479"/>
      <c r="G97" s="2480"/>
      <c r="H97" s="387"/>
    </row>
    <row r="98" spans="1:10" s="312" customFormat="1" ht="24" customHeight="1">
      <c r="B98" s="406">
        <v>1</v>
      </c>
      <c r="C98" s="1781" t="s">
        <v>106</v>
      </c>
      <c r="D98" s="190"/>
      <c r="E98" s="128"/>
      <c r="F98" s="129"/>
      <c r="G98" s="130"/>
      <c r="H98" s="387"/>
    </row>
    <row r="99" spans="1:10" s="312" customFormat="1" ht="47.25" customHeight="1">
      <c r="A99" s="388"/>
      <c r="B99" s="408"/>
      <c r="C99" s="2078" t="s">
        <v>303</v>
      </c>
      <c r="D99" s="190" t="s">
        <v>57</v>
      </c>
      <c r="E99" s="128">
        <v>1584</v>
      </c>
      <c r="F99" s="375">
        <v>0</v>
      </c>
      <c r="G99" s="376">
        <f t="shared" ref="G99:G104" si="2">E99*F99</f>
        <v>0</v>
      </c>
      <c r="H99" s="387"/>
      <c r="J99" s="430"/>
    </row>
    <row r="100" spans="1:10" s="312" customFormat="1" ht="47.25" customHeight="1">
      <c r="A100" s="388"/>
      <c r="B100" s="408"/>
      <c r="C100" s="2078" t="s">
        <v>304</v>
      </c>
      <c r="D100" s="190" t="s">
        <v>57</v>
      </c>
      <c r="E100" s="128">
        <v>176</v>
      </c>
      <c r="F100" s="375">
        <v>0</v>
      </c>
      <c r="G100" s="376">
        <f t="shared" si="2"/>
        <v>0</v>
      </c>
      <c r="H100" s="387"/>
      <c r="J100" s="430"/>
    </row>
    <row r="101" spans="1:10" s="312" customFormat="1" ht="47.25" customHeight="1">
      <c r="A101" s="388"/>
      <c r="B101" s="408"/>
      <c r="C101" s="2078" t="s">
        <v>226</v>
      </c>
      <c r="D101" s="190" t="s">
        <v>57</v>
      </c>
      <c r="E101" s="128">
        <v>787</v>
      </c>
      <c r="F101" s="375">
        <v>0</v>
      </c>
      <c r="G101" s="376">
        <f t="shared" si="2"/>
        <v>0</v>
      </c>
      <c r="H101" s="315"/>
    </row>
    <row r="102" spans="1:10" s="312" customFormat="1" ht="47.25" customHeight="1">
      <c r="A102" s="388"/>
      <c r="B102" s="408"/>
      <c r="C102" s="2078" t="s">
        <v>305</v>
      </c>
      <c r="D102" s="190" t="s">
        <v>57</v>
      </c>
      <c r="E102" s="128">
        <v>87</v>
      </c>
      <c r="F102" s="375">
        <v>0</v>
      </c>
      <c r="G102" s="376">
        <f t="shared" si="2"/>
        <v>0</v>
      </c>
      <c r="H102" s="315"/>
      <c r="J102" s="430"/>
    </row>
    <row r="103" spans="1:10" s="312" customFormat="1" ht="47.25" customHeight="1">
      <c r="A103" s="388"/>
      <c r="B103" s="408"/>
      <c r="C103" s="2078" t="s">
        <v>306</v>
      </c>
      <c r="D103" s="190" t="s">
        <v>57</v>
      </c>
      <c r="E103" s="128">
        <v>985</v>
      </c>
      <c r="F103" s="375">
        <v>0</v>
      </c>
      <c r="G103" s="376">
        <f t="shared" si="2"/>
        <v>0</v>
      </c>
      <c r="H103" s="315"/>
    </row>
    <row r="104" spans="1:10" s="312" customFormat="1" ht="47.25" customHeight="1">
      <c r="A104" s="388"/>
      <c r="B104" s="408"/>
      <c r="C104" s="2078" t="s">
        <v>307</v>
      </c>
      <c r="D104" s="190" t="s">
        <v>57</v>
      </c>
      <c r="E104" s="128">
        <v>110</v>
      </c>
      <c r="F104" s="375">
        <v>0</v>
      </c>
      <c r="G104" s="376">
        <f t="shared" si="2"/>
        <v>0</v>
      </c>
      <c r="H104" s="14"/>
    </row>
    <row r="105" spans="1:10" s="312" customFormat="1" ht="51.75" customHeight="1">
      <c r="A105" s="166"/>
      <c r="B105" s="2469" t="s">
        <v>111</v>
      </c>
      <c r="C105" s="1783" t="s">
        <v>112</v>
      </c>
      <c r="D105" s="194"/>
      <c r="E105" s="128"/>
      <c r="F105" s="375"/>
      <c r="G105" s="376"/>
      <c r="H105" s="371"/>
    </row>
    <row r="106" spans="1:10" s="312" customFormat="1" ht="30" customHeight="1">
      <c r="A106" s="166"/>
      <c r="B106" s="2470"/>
      <c r="C106" s="1780" t="s">
        <v>113</v>
      </c>
      <c r="D106" s="194" t="s">
        <v>57</v>
      </c>
      <c r="E106" s="128">
        <v>55</v>
      </c>
      <c r="F106" s="375">
        <v>0</v>
      </c>
      <c r="G106" s="376">
        <f t="shared" ref="G106:G112" si="3">E106*F106</f>
        <v>0</v>
      </c>
      <c r="H106" s="14"/>
    </row>
    <row r="107" spans="1:10" s="312" customFormat="1" ht="28.5" customHeight="1">
      <c r="A107" s="166"/>
      <c r="B107" s="2470"/>
      <c r="C107" s="1780" t="s">
        <v>274</v>
      </c>
      <c r="D107" s="194" t="s">
        <v>57</v>
      </c>
      <c r="E107" s="128">
        <v>65</v>
      </c>
      <c r="F107" s="375">
        <v>0</v>
      </c>
      <c r="G107" s="376">
        <f t="shared" si="3"/>
        <v>0</v>
      </c>
      <c r="H107" s="14"/>
    </row>
    <row r="108" spans="1:10" s="388" customFormat="1" ht="21.75" customHeight="1">
      <c r="A108" s="166"/>
      <c r="B108" s="2471"/>
      <c r="C108" s="1780" t="s">
        <v>275</v>
      </c>
      <c r="D108" s="194" t="s">
        <v>57</v>
      </c>
      <c r="E108" s="128">
        <v>40</v>
      </c>
      <c r="F108" s="375">
        <v>0</v>
      </c>
      <c r="G108" s="376">
        <f t="shared" si="3"/>
        <v>0</v>
      </c>
      <c r="H108" s="14"/>
    </row>
    <row r="109" spans="1:10" s="388" customFormat="1" ht="52.5" customHeight="1">
      <c r="A109" s="312"/>
      <c r="B109" s="196">
        <v>2</v>
      </c>
      <c r="C109" s="1783" t="s">
        <v>114</v>
      </c>
      <c r="D109" s="380" t="s">
        <v>57</v>
      </c>
      <c r="E109" s="198">
        <f>SUM(E99:E104)</f>
        <v>3729</v>
      </c>
      <c r="F109" s="375">
        <v>0</v>
      </c>
      <c r="G109" s="376">
        <f t="shared" si="3"/>
        <v>0</v>
      </c>
      <c r="H109" s="14"/>
    </row>
    <row r="110" spans="1:10" s="388" customFormat="1" ht="52.5" customHeight="1">
      <c r="A110" s="312"/>
      <c r="B110" s="409" t="s">
        <v>115</v>
      </c>
      <c r="C110" s="1783" t="s">
        <v>116</v>
      </c>
      <c r="D110" s="380" t="s">
        <v>57</v>
      </c>
      <c r="E110" s="198">
        <f>E109</f>
        <v>3729</v>
      </c>
      <c r="F110" s="375">
        <v>0</v>
      </c>
      <c r="G110" s="376">
        <f t="shared" si="3"/>
        <v>0</v>
      </c>
      <c r="H110" s="14"/>
    </row>
    <row r="111" spans="1:10" s="388" customFormat="1" ht="52.5" customHeight="1">
      <c r="A111" s="312"/>
      <c r="B111" s="409" t="s">
        <v>117</v>
      </c>
      <c r="C111" s="1783" t="s">
        <v>118</v>
      </c>
      <c r="D111" s="380" t="s">
        <v>57</v>
      </c>
      <c r="E111" s="198">
        <f>E110</f>
        <v>3729</v>
      </c>
      <c r="F111" s="375">
        <v>0</v>
      </c>
      <c r="G111" s="376">
        <f t="shared" si="3"/>
        <v>0</v>
      </c>
      <c r="H111" s="14"/>
    </row>
    <row r="112" spans="1:10" s="388" customFormat="1" ht="52.5" customHeight="1">
      <c r="A112" s="312"/>
      <c r="B112" s="409" t="s">
        <v>119</v>
      </c>
      <c r="C112" s="1783" t="s">
        <v>120</v>
      </c>
      <c r="D112" s="380" t="s">
        <v>57</v>
      </c>
      <c r="E112" s="198">
        <f>E111</f>
        <v>3729</v>
      </c>
      <c r="F112" s="375">
        <v>0</v>
      </c>
      <c r="G112" s="376">
        <f t="shared" si="3"/>
        <v>0</v>
      </c>
      <c r="H112" s="14"/>
    </row>
    <row r="113" spans="1:8" s="388" customFormat="1" ht="52.5" customHeight="1">
      <c r="A113" s="312"/>
      <c r="B113" s="406">
        <v>3</v>
      </c>
      <c r="C113" s="2082" t="s">
        <v>121</v>
      </c>
      <c r="D113" s="364"/>
      <c r="E113" s="128"/>
      <c r="F113" s="375"/>
      <c r="G113" s="130"/>
      <c r="H113" s="14"/>
    </row>
    <row r="114" spans="1:8" s="388" customFormat="1" ht="21.75" customHeight="1">
      <c r="A114" s="312"/>
      <c r="B114" s="411" t="s">
        <v>122</v>
      </c>
      <c r="C114" s="2324" t="s">
        <v>123</v>
      </c>
      <c r="D114" s="1791"/>
      <c r="E114" s="204"/>
      <c r="F114" s="205"/>
      <c r="G114" s="206"/>
      <c r="H114" s="14"/>
    </row>
    <row r="115" spans="1:8" s="312" customFormat="1" ht="19.5" customHeight="1">
      <c r="B115" s="362"/>
      <c r="C115" s="2324" t="s">
        <v>308</v>
      </c>
      <c r="D115" s="1791"/>
      <c r="E115" s="204"/>
      <c r="F115" s="205"/>
      <c r="G115" s="206"/>
      <c r="H115" s="315"/>
    </row>
    <row r="116" spans="1:8" s="312" customFormat="1" ht="26.25" customHeight="1">
      <c r="A116" s="388"/>
      <c r="B116" s="421"/>
      <c r="C116" s="2325" t="s">
        <v>309</v>
      </c>
      <c r="D116" s="2326" t="s">
        <v>66</v>
      </c>
      <c r="E116" s="204">
        <v>27</v>
      </c>
      <c r="F116" s="2034">
        <v>0</v>
      </c>
      <c r="G116" s="1792">
        <f>E116*F116</f>
        <v>0</v>
      </c>
      <c r="H116" s="315"/>
    </row>
    <row r="117" spans="1:8" s="312" customFormat="1" ht="27.75" customHeight="1">
      <c r="A117" s="388"/>
      <c r="B117" s="421"/>
      <c r="C117" s="2325" t="s">
        <v>310</v>
      </c>
      <c r="D117" s="2326" t="s">
        <v>66</v>
      </c>
      <c r="E117" s="204">
        <v>15</v>
      </c>
      <c r="F117" s="2034">
        <v>0</v>
      </c>
      <c r="G117" s="1792">
        <f>E117*F117</f>
        <v>0</v>
      </c>
      <c r="H117" s="315"/>
    </row>
    <row r="118" spans="1:8" s="372" customFormat="1" ht="21" customHeight="1">
      <c r="A118" s="312"/>
      <c r="B118" s="362"/>
      <c r="C118" s="2324" t="s">
        <v>311</v>
      </c>
      <c r="D118" s="1791"/>
      <c r="E118" s="204"/>
      <c r="F118" s="205"/>
      <c r="G118" s="206"/>
      <c r="H118" s="315"/>
    </row>
    <row r="119" spans="1:8" s="14" customFormat="1" ht="25.5" customHeight="1">
      <c r="A119" s="388"/>
      <c r="B119" s="421"/>
      <c r="C119" s="2325" t="s">
        <v>312</v>
      </c>
      <c r="D119" s="2326" t="s">
        <v>66</v>
      </c>
      <c r="E119" s="204">
        <v>35</v>
      </c>
      <c r="F119" s="2034">
        <v>0</v>
      </c>
      <c r="G119" s="1792">
        <f>E119*F119</f>
        <v>0</v>
      </c>
      <c r="H119" s="315"/>
    </row>
    <row r="120" spans="1:8" s="14" customFormat="1" ht="25.5" customHeight="1">
      <c r="A120" s="388"/>
      <c r="B120" s="421"/>
      <c r="C120" s="2325" t="s">
        <v>313</v>
      </c>
      <c r="D120" s="2326" t="s">
        <v>66</v>
      </c>
      <c r="E120" s="204">
        <v>30</v>
      </c>
      <c r="F120" s="2034">
        <v>0</v>
      </c>
      <c r="G120" s="1792">
        <f>E120*F120</f>
        <v>0</v>
      </c>
      <c r="H120" s="387"/>
    </row>
    <row r="121" spans="1:8" s="14" customFormat="1" ht="18" customHeight="1">
      <c r="A121" s="423"/>
      <c r="B121" s="411" t="s">
        <v>126</v>
      </c>
      <c r="C121" s="2320" t="s">
        <v>127</v>
      </c>
      <c r="D121" s="2037"/>
      <c r="E121" s="214"/>
      <c r="F121" s="2321"/>
      <c r="G121" s="2045"/>
      <c r="H121" s="387"/>
    </row>
    <row r="122" spans="1:8" s="14" customFormat="1" ht="31.5" customHeight="1">
      <c r="A122" s="423"/>
      <c r="B122" s="424"/>
      <c r="C122" s="2320" t="s">
        <v>314</v>
      </c>
      <c r="D122" s="2037"/>
      <c r="E122" s="214"/>
      <c r="F122" s="2321"/>
      <c r="G122" s="2045"/>
      <c r="H122" s="387"/>
    </row>
    <row r="123" spans="1:8" s="166" customFormat="1" ht="24" customHeight="1">
      <c r="A123" s="423"/>
      <c r="B123" s="424"/>
      <c r="C123" s="2322" t="s">
        <v>315</v>
      </c>
      <c r="D123" s="2037" t="s">
        <v>66</v>
      </c>
      <c r="E123" s="214">
        <v>6</v>
      </c>
      <c r="F123" s="2321">
        <v>0</v>
      </c>
      <c r="G123" s="2045">
        <f t="shared" ref="G123:G130" si="4">E123*F123</f>
        <v>0</v>
      </c>
      <c r="H123" s="387"/>
    </row>
    <row r="124" spans="1:8" s="166" customFormat="1" ht="50.25" customHeight="1">
      <c r="A124" s="423"/>
      <c r="B124" s="424"/>
      <c r="C124" s="2322" t="s">
        <v>130</v>
      </c>
      <c r="D124" s="2037" t="s">
        <v>66</v>
      </c>
      <c r="E124" s="214">
        <v>6</v>
      </c>
      <c r="F124" s="2321">
        <v>0</v>
      </c>
      <c r="G124" s="2045">
        <f t="shared" si="4"/>
        <v>0</v>
      </c>
      <c r="H124" s="387"/>
    </row>
    <row r="125" spans="1:8" s="166" customFormat="1" ht="26.25" customHeight="1">
      <c r="A125" s="423"/>
      <c r="B125" s="424"/>
      <c r="C125" s="2322" t="s">
        <v>183</v>
      </c>
      <c r="D125" s="2037" t="s">
        <v>66</v>
      </c>
      <c r="E125" s="214">
        <v>6</v>
      </c>
      <c r="F125" s="2321">
        <v>0</v>
      </c>
      <c r="G125" s="2045">
        <f t="shared" si="4"/>
        <v>0</v>
      </c>
      <c r="H125" s="387"/>
    </row>
    <row r="126" spans="1:8" s="312" customFormat="1" ht="26.25" customHeight="1">
      <c r="A126" s="423"/>
      <c r="B126" s="424"/>
      <c r="C126" s="2322" t="s">
        <v>131</v>
      </c>
      <c r="D126" s="2037" t="s">
        <v>66</v>
      </c>
      <c r="E126" s="214">
        <v>6</v>
      </c>
      <c r="F126" s="2321">
        <v>0</v>
      </c>
      <c r="G126" s="2045">
        <f t="shared" si="4"/>
        <v>0</v>
      </c>
      <c r="H126" s="387"/>
    </row>
    <row r="127" spans="1:8" s="388" customFormat="1" ht="26.25" customHeight="1">
      <c r="A127" s="423"/>
      <c r="B127" s="424"/>
      <c r="C127" s="2322" t="s">
        <v>316</v>
      </c>
      <c r="D127" s="2037" t="s">
        <v>66</v>
      </c>
      <c r="E127" s="214">
        <v>12</v>
      </c>
      <c r="F127" s="2321">
        <v>0</v>
      </c>
      <c r="G127" s="2045">
        <f t="shared" si="4"/>
        <v>0</v>
      </c>
      <c r="H127" s="387"/>
    </row>
    <row r="128" spans="1:8" s="388" customFormat="1" ht="26.25" customHeight="1">
      <c r="A128" s="423"/>
      <c r="B128" s="424"/>
      <c r="C128" s="2322" t="s">
        <v>317</v>
      </c>
      <c r="D128" s="2037" t="s">
        <v>66</v>
      </c>
      <c r="E128" s="214">
        <v>12</v>
      </c>
      <c r="F128" s="2321">
        <v>0</v>
      </c>
      <c r="G128" s="2045">
        <f t="shared" si="4"/>
        <v>0</v>
      </c>
      <c r="H128" s="387"/>
    </row>
    <row r="129" spans="1:8" s="388" customFormat="1" ht="26.25" customHeight="1">
      <c r="A129" s="423"/>
      <c r="B129" s="424"/>
      <c r="C129" s="2322" t="s">
        <v>134</v>
      </c>
      <c r="D129" s="2037" t="s">
        <v>66</v>
      </c>
      <c r="E129" s="214">
        <v>6</v>
      </c>
      <c r="F129" s="2321">
        <v>0</v>
      </c>
      <c r="G129" s="2045">
        <f t="shared" si="4"/>
        <v>0</v>
      </c>
      <c r="H129" s="387"/>
    </row>
    <row r="130" spans="1:8" s="388" customFormat="1" ht="26.25" customHeight="1">
      <c r="A130" s="423"/>
      <c r="B130" s="424"/>
      <c r="C130" s="2322" t="s">
        <v>135</v>
      </c>
      <c r="D130" s="2037" t="s">
        <v>66</v>
      </c>
      <c r="E130" s="214">
        <v>6</v>
      </c>
      <c r="F130" s="2321">
        <v>0</v>
      </c>
      <c r="G130" s="2045">
        <f t="shared" si="4"/>
        <v>0</v>
      </c>
      <c r="H130" s="387"/>
    </row>
    <row r="131" spans="1:8" s="388" customFormat="1" ht="20.25" customHeight="1">
      <c r="A131" s="423"/>
      <c r="B131" s="424"/>
      <c r="C131" s="2320" t="s">
        <v>318</v>
      </c>
      <c r="D131" s="2037"/>
      <c r="E131" s="214"/>
      <c r="F131" s="2321">
        <v>0</v>
      </c>
      <c r="G131" s="2045">
        <f t="shared" ref="G131" si="5">E131*F131</f>
        <v>0</v>
      </c>
      <c r="H131" s="387"/>
    </row>
    <row r="132" spans="1:8" s="388" customFormat="1" ht="15" customHeight="1">
      <c r="A132" s="423"/>
      <c r="B132" s="424"/>
      <c r="C132" s="2322" t="s">
        <v>319</v>
      </c>
      <c r="D132" s="2037" t="s">
        <v>66</v>
      </c>
      <c r="E132" s="214">
        <v>5</v>
      </c>
      <c r="F132" s="2321">
        <v>0</v>
      </c>
      <c r="G132" s="2045">
        <f t="shared" ref="G132:G143" si="6">E132*F132</f>
        <v>0</v>
      </c>
      <c r="H132" s="387"/>
    </row>
    <row r="133" spans="1:8" s="388" customFormat="1" ht="43.5" customHeight="1">
      <c r="A133" s="423"/>
      <c r="B133" s="424"/>
      <c r="C133" s="2322" t="s">
        <v>283</v>
      </c>
      <c r="D133" s="2037" t="s">
        <v>66</v>
      </c>
      <c r="E133" s="214">
        <v>5</v>
      </c>
      <c r="F133" s="2321">
        <v>0</v>
      </c>
      <c r="G133" s="2045">
        <f t="shared" si="6"/>
        <v>0</v>
      </c>
      <c r="H133" s="387"/>
    </row>
    <row r="134" spans="1:8" s="388" customFormat="1" ht="18.75" customHeight="1">
      <c r="A134" s="423"/>
      <c r="B134" s="424"/>
      <c r="C134" s="2322" t="s">
        <v>183</v>
      </c>
      <c r="D134" s="2037" t="s">
        <v>66</v>
      </c>
      <c r="E134" s="214">
        <v>5</v>
      </c>
      <c r="F134" s="2321">
        <v>0</v>
      </c>
      <c r="G134" s="2045">
        <f t="shared" si="6"/>
        <v>0</v>
      </c>
      <c r="H134" s="387"/>
    </row>
    <row r="135" spans="1:8" s="388" customFormat="1" ht="18.75" customHeight="1">
      <c r="A135" s="423"/>
      <c r="B135" s="424"/>
      <c r="C135" s="2322" t="s">
        <v>131</v>
      </c>
      <c r="D135" s="2037" t="s">
        <v>66</v>
      </c>
      <c r="E135" s="214">
        <v>5</v>
      </c>
      <c r="F135" s="2321">
        <v>0</v>
      </c>
      <c r="G135" s="2045">
        <f t="shared" si="6"/>
        <v>0</v>
      </c>
      <c r="H135" s="387"/>
    </row>
    <row r="136" spans="1:8" s="388" customFormat="1" ht="29.25" customHeight="1">
      <c r="A136" s="423"/>
      <c r="B136" s="424"/>
      <c r="C136" s="2323" t="s">
        <v>166</v>
      </c>
      <c r="D136" s="2037" t="s">
        <v>66</v>
      </c>
      <c r="E136" s="214">
        <v>10</v>
      </c>
      <c r="F136" s="2321">
        <v>0</v>
      </c>
      <c r="G136" s="2045">
        <f t="shared" si="6"/>
        <v>0</v>
      </c>
      <c r="H136" s="387"/>
    </row>
    <row r="137" spans="1:8" s="388" customFormat="1" ht="18.75" customHeight="1">
      <c r="A137" s="423"/>
      <c r="B137" s="424"/>
      <c r="C137" s="2323" t="s">
        <v>167</v>
      </c>
      <c r="D137" s="2037" t="s">
        <v>66</v>
      </c>
      <c r="E137" s="214">
        <v>10</v>
      </c>
      <c r="F137" s="2321">
        <v>0</v>
      </c>
      <c r="G137" s="2045">
        <f t="shared" si="6"/>
        <v>0</v>
      </c>
      <c r="H137" s="387"/>
    </row>
    <row r="138" spans="1:8" s="388" customFormat="1" ht="24.75" customHeight="1">
      <c r="A138" s="423"/>
      <c r="B138" s="424"/>
      <c r="C138" s="2323" t="s">
        <v>229</v>
      </c>
      <c r="D138" s="2037" t="s">
        <v>66</v>
      </c>
      <c r="E138" s="214">
        <v>10</v>
      </c>
      <c r="F138" s="2321">
        <v>0</v>
      </c>
      <c r="G138" s="2045">
        <f t="shared" si="6"/>
        <v>0</v>
      </c>
      <c r="H138" s="387"/>
    </row>
    <row r="139" spans="1:8" s="388" customFormat="1" ht="18.75" customHeight="1">
      <c r="A139" s="423"/>
      <c r="B139" s="424"/>
      <c r="C139" s="2323" t="s">
        <v>230</v>
      </c>
      <c r="D139" s="2037" t="s">
        <v>66</v>
      </c>
      <c r="E139" s="214">
        <v>10</v>
      </c>
      <c r="F139" s="2321">
        <v>0</v>
      </c>
      <c r="G139" s="2045">
        <f t="shared" si="6"/>
        <v>0</v>
      </c>
      <c r="H139" s="387"/>
    </row>
    <row r="140" spans="1:8" s="388" customFormat="1" ht="24.75" customHeight="1">
      <c r="A140" s="423"/>
      <c r="B140" s="424"/>
      <c r="C140" s="2323" t="s">
        <v>134</v>
      </c>
      <c r="D140" s="2037" t="s">
        <v>66</v>
      </c>
      <c r="E140" s="214">
        <v>5</v>
      </c>
      <c r="F140" s="2321">
        <v>0</v>
      </c>
      <c r="G140" s="2045">
        <f t="shared" si="6"/>
        <v>0</v>
      </c>
      <c r="H140" s="387"/>
    </row>
    <row r="141" spans="1:8" s="388" customFormat="1" ht="30.75" customHeight="1">
      <c r="A141" s="423"/>
      <c r="B141" s="424"/>
      <c r="C141" s="2323" t="s">
        <v>135</v>
      </c>
      <c r="D141" s="2037" t="s">
        <v>66</v>
      </c>
      <c r="E141" s="214">
        <v>5</v>
      </c>
      <c r="F141" s="2321">
        <v>0</v>
      </c>
      <c r="G141" s="2045">
        <f t="shared" si="6"/>
        <v>0</v>
      </c>
      <c r="H141" s="387"/>
    </row>
    <row r="142" spans="1:8" s="388" customFormat="1" ht="24" customHeight="1">
      <c r="A142" s="423"/>
      <c r="B142" s="411" t="s">
        <v>136</v>
      </c>
      <c r="C142" s="2327" t="s">
        <v>320</v>
      </c>
      <c r="D142" s="1791"/>
      <c r="E142" s="1525"/>
      <c r="F142" s="2328"/>
      <c r="G142" s="1792"/>
      <c r="H142" s="387"/>
    </row>
    <row r="143" spans="1:8" s="388" customFormat="1" ht="22.5" customHeight="1">
      <c r="A143" s="423"/>
      <c r="B143" s="411"/>
      <c r="C143" s="2327" t="s">
        <v>321</v>
      </c>
      <c r="D143" s="1791"/>
      <c r="E143" s="1525"/>
      <c r="F143" s="2328">
        <v>0</v>
      </c>
      <c r="G143" s="1792">
        <f t="shared" si="6"/>
        <v>0</v>
      </c>
      <c r="H143" s="387"/>
    </row>
    <row r="144" spans="1:8" s="388" customFormat="1" ht="35.25" customHeight="1">
      <c r="A144" s="423"/>
      <c r="B144" s="424"/>
      <c r="C144" s="2329" t="s">
        <v>322</v>
      </c>
      <c r="D144" s="1791" t="s">
        <v>66</v>
      </c>
      <c r="E144" s="1525">
        <v>6</v>
      </c>
      <c r="F144" s="2328">
        <v>0</v>
      </c>
      <c r="G144" s="1792">
        <f>E144*F144</f>
        <v>0</v>
      </c>
      <c r="H144" s="387"/>
    </row>
    <row r="145" spans="1:8" s="388" customFormat="1" ht="27.75" customHeight="1">
      <c r="A145" s="423"/>
      <c r="B145" s="424"/>
      <c r="C145" s="2325" t="s">
        <v>323</v>
      </c>
      <c r="D145" s="1791" t="s">
        <v>66</v>
      </c>
      <c r="E145" s="1525">
        <v>12</v>
      </c>
      <c r="F145" s="2328">
        <v>0</v>
      </c>
      <c r="G145" s="1792">
        <f>E145*F145</f>
        <v>0</v>
      </c>
      <c r="H145" s="315"/>
    </row>
    <row r="146" spans="1:8" s="388" customFormat="1" ht="19.5" customHeight="1">
      <c r="A146" s="423"/>
      <c r="B146" s="424"/>
      <c r="C146" s="2325" t="s">
        <v>324</v>
      </c>
      <c r="D146" s="1791" t="s">
        <v>66</v>
      </c>
      <c r="E146" s="1525">
        <v>12</v>
      </c>
      <c r="F146" s="2328">
        <v>0</v>
      </c>
      <c r="G146" s="1792">
        <f>E146*F146</f>
        <v>0</v>
      </c>
      <c r="H146" s="315"/>
    </row>
    <row r="147" spans="1:8" s="388" customFormat="1" ht="27" customHeight="1">
      <c r="A147" s="423"/>
      <c r="B147" s="424"/>
      <c r="C147" s="2325" t="s">
        <v>325</v>
      </c>
      <c r="D147" s="1791" t="s">
        <v>66</v>
      </c>
      <c r="E147" s="1525">
        <v>6</v>
      </c>
      <c r="F147" s="2328">
        <v>0</v>
      </c>
      <c r="G147" s="1792">
        <f>E147*F147</f>
        <v>0</v>
      </c>
      <c r="H147" s="315"/>
    </row>
    <row r="148" spans="1:8" s="388" customFormat="1" ht="30" customHeight="1">
      <c r="A148" s="423"/>
      <c r="B148" s="424"/>
      <c r="C148" s="2325" t="s">
        <v>135</v>
      </c>
      <c r="D148" s="1791" t="s">
        <v>66</v>
      </c>
      <c r="E148" s="1525">
        <v>6</v>
      </c>
      <c r="F148" s="2328">
        <v>0</v>
      </c>
      <c r="G148" s="1792">
        <f>E148*F148</f>
        <v>0</v>
      </c>
      <c r="H148" s="315"/>
    </row>
    <row r="149" spans="1:8" s="388" customFormat="1" ht="26.25" customHeight="1">
      <c r="A149" s="423"/>
      <c r="B149" s="424"/>
      <c r="C149" s="2327" t="s">
        <v>326</v>
      </c>
      <c r="D149" s="1791"/>
      <c r="E149" s="1525"/>
      <c r="F149" s="2328">
        <v>0</v>
      </c>
      <c r="G149" s="206"/>
      <c r="H149" s="315"/>
    </row>
    <row r="150" spans="1:8" s="388" customFormat="1" ht="37.5" customHeight="1">
      <c r="A150" s="423"/>
      <c r="B150" s="424"/>
      <c r="C150" s="2329" t="s">
        <v>322</v>
      </c>
      <c r="D150" s="1791" t="s">
        <v>66</v>
      </c>
      <c r="E150" s="1525">
        <v>7</v>
      </c>
      <c r="F150" s="2328">
        <v>0</v>
      </c>
      <c r="G150" s="1792">
        <f>E150*F150</f>
        <v>0</v>
      </c>
      <c r="H150" s="315"/>
    </row>
    <row r="151" spans="1:8" s="388" customFormat="1" ht="24" customHeight="1">
      <c r="A151" s="423"/>
      <c r="B151" s="424"/>
      <c r="C151" s="2325" t="s">
        <v>325</v>
      </c>
      <c r="D151" s="1791" t="s">
        <v>66</v>
      </c>
      <c r="E151" s="1525">
        <v>7</v>
      </c>
      <c r="F151" s="2328">
        <v>0</v>
      </c>
      <c r="G151" s="1792">
        <f>E151*F151</f>
        <v>0</v>
      </c>
      <c r="H151" s="315"/>
    </row>
    <row r="152" spans="1:8" s="166" customFormat="1" ht="24" customHeight="1">
      <c r="A152" s="423"/>
      <c r="B152" s="424"/>
      <c r="C152" s="2325" t="s">
        <v>135</v>
      </c>
      <c r="D152" s="1791" t="s">
        <v>66</v>
      </c>
      <c r="E152" s="1525">
        <v>7</v>
      </c>
      <c r="F152" s="2328">
        <v>0</v>
      </c>
      <c r="G152" s="1792">
        <f>E152*F152</f>
        <v>0</v>
      </c>
      <c r="H152" s="315"/>
    </row>
    <row r="153" spans="1:8" s="166" customFormat="1">
      <c r="A153" s="423"/>
      <c r="B153" s="411" t="s">
        <v>151</v>
      </c>
      <c r="C153" s="2330" t="s">
        <v>137</v>
      </c>
      <c r="D153" s="2331"/>
      <c r="E153" s="225"/>
      <c r="F153" s="2332"/>
      <c r="G153" s="2333"/>
      <c r="H153" s="315"/>
    </row>
    <row r="154" spans="1:8" s="166" customFormat="1">
      <c r="A154" s="423"/>
      <c r="B154" s="424"/>
      <c r="C154" s="2330" t="s">
        <v>327</v>
      </c>
      <c r="D154" s="2331"/>
      <c r="E154" s="225"/>
      <c r="F154" s="2332">
        <v>0</v>
      </c>
      <c r="G154" s="2333">
        <f t="shared" ref="G154:G172" si="7">E154*F154</f>
        <v>0</v>
      </c>
      <c r="H154" s="315"/>
    </row>
    <row r="155" spans="1:8" s="166" customFormat="1">
      <c r="A155" s="423"/>
      <c r="B155" s="424"/>
      <c r="C155" s="2334" t="s">
        <v>129</v>
      </c>
      <c r="D155" s="2331" t="s">
        <v>66</v>
      </c>
      <c r="E155" s="225">
        <v>5</v>
      </c>
      <c r="F155" s="2332">
        <v>0</v>
      </c>
      <c r="G155" s="2333">
        <f t="shared" si="7"/>
        <v>0</v>
      </c>
      <c r="H155" s="315"/>
    </row>
    <row r="156" spans="1:8" s="312" customFormat="1" ht="27.75" customHeight="1">
      <c r="A156" s="423"/>
      <c r="B156" s="424"/>
      <c r="C156" s="2334" t="s">
        <v>139</v>
      </c>
      <c r="D156" s="2331" t="s">
        <v>66</v>
      </c>
      <c r="E156" s="225">
        <v>10</v>
      </c>
      <c r="F156" s="2332">
        <v>0</v>
      </c>
      <c r="G156" s="2333">
        <f t="shared" si="7"/>
        <v>0</v>
      </c>
      <c r="H156" s="387"/>
    </row>
    <row r="157" spans="1:8" s="312" customFormat="1" ht="21.75" customHeight="1">
      <c r="A157" s="423"/>
      <c r="B157" s="424"/>
      <c r="C157" s="2334" t="s">
        <v>328</v>
      </c>
      <c r="D157" s="2331" t="s">
        <v>66</v>
      </c>
      <c r="E157" s="225">
        <v>5</v>
      </c>
      <c r="F157" s="2332">
        <v>0</v>
      </c>
      <c r="G157" s="2333">
        <f t="shared" si="7"/>
        <v>0</v>
      </c>
      <c r="H157" s="387"/>
    </row>
    <row r="158" spans="1:8" s="312" customFormat="1" ht="15" customHeight="1">
      <c r="A158" s="423"/>
      <c r="B158" s="424"/>
      <c r="C158" s="2334" t="s">
        <v>141</v>
      </c>
      <c r="D158" s="2331" t="s">
        <v>66</v>
      </c>
      <c r="E158" s="225">
        <v>5</v>
      </c>
      <c r="F158" s="2332">
        <v>0</v>
      </c>
      <c r="G158" s="2333">
        <f t="shared" si="7"/>
        <v>0</v>
      </c>
      <c r="H158" s="387"/>
    </row>
    <row r="159" spans="1:8" s="312" customFormat="1" ht="15" customHeight="1">
      <c r="A159" s="423"/>
      <c r="B159" s="424"/>
      <c r="C159" s="2334" t="s">
        <v>142</v>
      </c>
      <c r="D159" s="2331" t="s">
        <v>66</v>
      </c>
      <c r="E159" s="225">
        <v>5</v>
      </c>
      <c r="F159" s="2332">
        <v>0</v>
      </c>
      <c r="G159" s="2333">
        <f t="shared" si="7"/>
        <v>0</v>
      </c>
      <c r="H159" s="387"/>
    </row>
    <row r="160" spans="1:8" s="312" customFormat="1" ht="15" customHeight="1">
      <c r="A160" s="423"/>
      <c r="B160" s="424"/>
      <c r="C160" s="2334" t="s">
        <v>143</v>
      </c>
      <c r="D160" s="2331" t="s">
        <v>66</v>
      </c>
      <c r="E160" s="225">
        <v>5</v>
      </c>
      <c r="F160" s="2332">
        <v>0</v>
      </c>
      <c r="G160" s="2333">
        <f t="shared" si="7"/>
        <v>0</v>
      </c>
      <c r="H160" s="315"/>
    </row>
    <row r="161" spans="1:8" s="312" customFormat="1" ht="15" customHeight="1">
      <c r="A161" s="423"/>
      <c r="B161" s="424"/>
      <c r="C161" s="2334" t="s">
        <v>155</v>
      </c>
      <c r="D161" s="2331" t="s">
        <v>66</v>
      </c>
      <c r="E161" s="225">
        <v>5</v>
      </c>
      <c r="F161" s="2332">
        <v>0</v>
      </c>
      <c r="G161" s="2333">
        <f t="shared" si="7"/>
        <v>0</v>
      </c>
      <c r="H161" s="387"/>
    </row>
    <row r="162" spans="1:8" s="312" customFormat="1" ht="15" customHeight="1">
      <c r="A162" s="423"/>
      <c r="B162" s="424"/>
      <c r="C162" s="2334" t="s">
        <v>145</v>
      </c>
      <c r="D162" s="2331" t="s">
        <v>66</v>
      </c>
      <c r="E162" s="225">
        <v>5</v>
      </c>
      <c r="F162" s="2332">
        <v>0</v>
      </c>
      <c r="G162" s="2333">
        <f t="shared" si="7"/>
        <v>0</v>
      </c>
      <c r="H162" s="387"/>
    </row>
    <row r="163" spans="1:8" s="388" customFormat="1" ht="15" customHeight="1">
      <c r="A163" s="423"/>
      <c r="B163" s="424"/>
      <c r="C163" s="2334" t="s">
        <v>146</v>
      </c>
      <c r="D163" s="2331" t="s">
        <v>66</v>
      </c>
      <c r="E163" s="225">
        <v>5</v>
      </c>
      <c r="F163" s="2332">
        <v>0</v>
      </c>
      <c r="G163" s="2333">
        <f t="shared" si="7"/>
        <v>0</v>
      </c>
      <c r="H163" s="387"/>
    </row>
    <row r="164" spans="1:8" s="388" customFormat="1" ht="15" customHeight="1">
      <c r="A164" s="423"/>
      <c r="B164" s="424"/>
      <c r="C164" s="2335" t="s">
        <v>147</v>
      </c>
      <c r="D164" s="2331" t="s">
        <v>66</v>
      </c>
      <c r="E164" s="225">
        <v>5</v>
      </c>
      <c r="F164" s="2332">
        <v>0</v>
      </c>
      <c r="G164" s="2333">
        <f t="shared" si="7"/>
        <v>0</v>
      </c>
      <c r="H164" s="387"/>
    </row>
    <row r="165" spans="1:8" s="388" customFormat="1" ht="15" customHeight="1">
      <c r="A165" s="423"/>
      <c r="B165" s="424"/>
      <c r="C165" s="2335" t="s">
        <v>190</v>
      </c>
      <c r="D165" s="2331" t="s">
        <v>66</v>
      </c>
      <c r="E165" s="225">
        <v>5</v>
      </c>
      <c r="F165" s="2332">
        <v>0</v>
      </c>
      <c r="G165" s="2333">
        <f t="shared" si="7"/>
        <v>0</v>
      </c>
      <c r="H165" s="387"/>
    </row>
    <row r="166" spans="1:8" s="388" customFormat="1" ht="27" customHeight="1">
      <c r="A166" s="423"/>
      <c r="B166" s="424"/>
      <c r="C166" s="2335" t="s">
        <v>316</v>
      </c>
      <c r="D166" s="2331" t="s">
        <v>66</v>
      </c>
      <c r="E166" s="225">
        <v>10</v>
      </c>
      <c r="F166" s="2332">
        <v>0</v>
      </c>
      <c r="G166" s="2333">
        <f t="shared" si="7"/>
        <v>0</v>
      </c>
      <c r="H166" s="315"/>
    </row>
    <row r="167" spans="1:8" s="312" customFormat="1" ht="26.25" customHeight="1">
      <c r="A167" s="423"/>
      <c r="B167" s="424"/>
      <c r="C167" s="2335" t="s">
        <v>323</v>
      </c>
      <c r="D167" s="2331" t="s">
        <v>66</v>
      </c>
      <c r="E167" s="225">
        <v>10</v>
      </c>
      <c r="F167" s="2332">
        <v>0</v>
      </c>
      <c r="G167" s="2333">
        <f t="shared" si="7"/>
        <v>0</v>
      </c>
      <c r="H167" s="315"/>
    </row>
    <row r="168" spans="1:8" s="388" customFormat="1" ht="25.5" customHeight="1">
      <c r="A168" s="423"/>
      <c r="B168" s="424"/>
      <c r="C168" s="2335" t="s">
        <v>149</v>
      </c>
      <c r="D168" s="2331" t="s">
        <v>66</v>
      </c>
      <c r="E168" s="225">
        <v>5</v>
      </c>
      <c r="F168" s="2332">
        <v>0</v>
      </c>
      <c r="G168" s="2333">
        <f t="shared" si="7"/>
        <v>0</v>
      </c>
      <c r="H168" s="315"/>
    </row>
    <row r="169" spans="1:8" s="388" customFormat="1" ht="26.25" customHeight="1">
      <c r="A169" s="423"/>
      <c r="B169" s="424"/>
      <c r="C169" s="2335" t="s">
        <v>150</v>
      </c>
      <c r="D169" s="2331" t="s">
        <v>66</v>
      </c>
      <c r="E169" s="225">
        <v>15</v>
      </c>
      <c r="F169" s="2332">
        <v>0</v>
      </c>
      <c r="G169" s="2333">
        <f t="shared" si="7"/>
        <v>0</v>
      </c>
      <c r="H169" s="315"/>
    </row>
    <row r="170" spans="1:8" s="388" customFormat="1" ht="25.5" customHeight="1">
      <c r="A170" s="423"/>
      <c r="B170" s="424"/>
      <c r="C170" s="2335" t="s">
        <v>135</v>
      </c>
      <c r="D170" s="2331" t="s">
        <v>66</v>
      </c>
      <c r="E170" s="225">
        <v>5</v>
      </c>
      <c r="F170" s="2332">
        <v>0</v>
      </c>
      <c r="G170" s="2333">
        <f t="shared" si="7"/>
        <v>0</v>
      </c>
      <c r="H170" s="315"/>
    </row>
    <row r="171" spans="1:8" s="388" customFormat="1" ht="18" customHeight="1">
      <c r="A171" s="423"/>
      <c r="B171" s="411" t="s">
        <v>159</v>
      </c>
      <c r="C171" s="2320" t="s">
        <v>152</v>
      </c>
      <c r="D171" s="2037"/>
      <c r="E171" s="214"/>
      <c r="F171" s="2321"/>
      <c r="G171" s="2045"/>
      <c r="H171" s="387"/>
    </row>
    <row r="172" spans="1:8" s="388" customFormat="1" ht="18" customHeight="1">
      <c r="A172" s="423"/>
      <c r="B172" s="424"/>
      <c r="C172" s="2320" t="s">
        <v>329</v>
      </c>
      <c r="D172" s="2037"/>
      <c r="E172" s="214"/>
      <c r="F172" s="2321">
        <v>0</v>
      </c>
      <c r="G172" s="2045">
        <f t="shared" si="7"/>
        <v>0</v>
      </c>
      <c r="H172" s="315"/>
    </row>
    <row r="173" spans="1:8" s="312" customFormat="1" ht="21" customHeight="1">
      <c r="A173" s="423"/>
      <c r="B173" s="424"/>
      <c r="C173" s="2322" t="s">
        <v>129</v>
      </c>
      <c r="D173" s="2037" t="s">
        <v>66</v>
      </c>
      <c r="E173" s="214">
        <v>8</v>
      </c>
      <c r="F173" s="2321">
        <v>0</v>
      </c>
      <c r="G173" s="2045">
        <f t="shared" ref="G173:G183" si="8">E173*F173</f>
        <v>0</v>
      </c>
      <c r="H173" s="315"/>
    </row>
    <row r="174" spans="1:8" s="312" customFormat="1" ht="27.75" customHeight="1">
      <c r="A174" s="423"/>
      <c r="B174" s="424"/>
      <c r="C174" s="2322" t="s">
        <v>2216</v>
      </c>
      <c r="D174" s="2037" t="s">
        <v>66</v>
      </c>
      <c r="E174" s="214">
        <v>8</v>
      </c>
      <c r="F174" s="2321">
        <v>0</v>
      </c>
      <c r="G174" s="2045">
        <f t="shared" si="8"/>
        <v>0</v>
      </c>
      <c r="H174" s="315"/>
    </row>
    <row r="175" spans="1:8" s="312" customFormat="1" ht="25.5" customHeight="1">
      <c r="A175" s="423"/>
      <c r="B175" s="424"/>
      <c r="C175" s="2322" t="s">
        <v>155</v>
      </c>
      <c r="D175" s="2037" t="s">
        <v>66</v>
      </c>
      <c r="E175" s="214">
        <v>8</v>
      </c>
      <c r="F175" s="2321">
        <v>0</v>
      </c>
      <c r="G175" s="2045">
        <f t="shared" si="8"/>
        <v>0</v>
      </c>
      <c r="H175" s="315"/>
    </row>
    <row r="176" spans="1:8" s="312" customFormat="1" ht="18" customHeight="1">
      <c r="A176" s="423"/>
      <c r="B176" s="424"/>
      <c r="C176" s="2322" t="s">
        <v>330</v>
      </c>
      <c r="D176" s="2037" t="s">
        <v>66</v>
      </c>
      <c r="E176" s="214">
        <v>8</v>
      </c>
      <c r="F176" s="2321">
        <v>0</v>
      </c>
      <c r="G176" s="2045">
        <f t="shared" si="8"/>
        <v>0</v>
      </c>
      <c r="H176" s="315"/>
    </row>
    <row r="177" spans="1:8" s="312" customFormat="1" ht="18" customHeight="1">
      <c r="A177" s="423"/>
      <c r="B177" s="424"/>
      <c r="C177" s="2322" t="s">
        <v>157</v>
      </c>
      <c r="D177" s="2037" t="s">
        <v>66</v>
      </c>
      <c r="E177" s="214">
        <v>8</v>
      </c>
      <c r="F177" s="2321">
        <v>0</v>
      </c>
      <c r="G177" s="2045">
        <f t="shared" si="8"/>
        <v>0</v>
      </c>
      <c r="H177" s="387"/>
    </row>
    <row r="178" spans="1:8" s="388" customFormat="1" ht="18" customHeight="1">
      <c r="A178" s="423"/>
      <c r="B178" s="424"/>
      <c r="C178" s="2323" t="s">
        <v>158</v>
      </c>
      <c r="D178" s="2037" t="s">
        <v>66</v>
      </c>
      <c r="E178" s="214">
        <v>8</v>
      </c>
      <c r="F178" s="2321">
        <v>0</v>
      </c>
      <c r="G178" s="2045">
        <f t="shared" si="8"/>
        <v>0</v>
      </c>
      <c r="H178" s="315"/>
    </row>
    <row r="179" spans="1:8" s="312" customFormat="1">
      <c r="A179" s="423"/>
      <c r="B179" s="424"/>
      <c r="C179" s="2323" t="s">
        <v>190</v>
      </c>
      <c r="D179" s="2037" t="s">
        <v>66</v>
      </c>
      <c r="E179" s="214">
        <v>8</v>
      </c>
      <c r="F179" s="2321">
        <v>0</v>
      </c>
      <c r="G179" s="2045">
        <f t="shared" si="8"/>
        <v>0</v>
      </c>
      <c r="H179" s="315"/>
    </row>
    <row r="180" spans="1:8" s="312" customFormat="1" ht="23.25" customHeight="1">
      <c r="A180" s="423"/>
      <c r="B180" s="424"/>
      <c r="C180" s="2323" t="s">
        <v>316</v>
      </c>
      <c r="D180" s="2037" t="s">
        <v>66</v>
      </c>
      <c r="E180" s="214">
        <v>16</v>
      </c>
      <c r="F180" s="2321">
        <v>0</v>
      </c>
      <c r="G180" s="2045">
        <f t="shared" si="8"/>
        <v>0</v>
      </c>
      <c r="H180" s="315"/>
    </row>
    <row r="181" spans="1:8" s="312" customFormat="1" ht="18" customHeight="1">
      <c r="A181" s="423"/>
      <c r="B181" s="424"/>
      <c r="C181" s="2323" t="s">
        <v>323</v>
      </c>
      <c r="D181" s="2037" t="s">
        <v>66</v>
      </c>
      <c r="E181" s="214">
        <v>16</v>
      </c>
      <c r="F181" s="2321">
        <v>0</v>
      </c>
      <c r="G181" s="2045">
        <f t="shared" si="8"/>
        <v>0</v>
      </c>
      <c r="H181" s="315"/>
    </row>
    <row r="182" spans="1:8" s="312" customFormat="1" ht="24.75" customHeight="1">
      <c r="A182" s="423"/>
      <c r="B182" s="424"/>
      <c r="C182" s="2323" t="s">
        <v>150</v>
      </c>
      <c r="D182" s="2037" t="s">
        <v>66</v>
      </c>
      <c r="E182" s="214">
        <v>8</v>
      </c>
      <c r="F182" s="2321">
        <v>0</v>
      </c>
      <c r="G182" s="2045">
        <f t="shared" si="8"/>
        <v>0</v>
      </c>
      <c r="H182" s="315"/>
    </row>
    <row r="183" spans="1:8" s="312" customFormat="1" ht="21.75" customHeight="1">
      <c r="A183" s="423"/>
      <c r="B183" s="424"/>
      <c r="C183" s="2323" t="s">
        <v>135</v>
      </c>
      <c r="D183" s="2037" t="s">
        <v>66</v>
      </c>
      <c r="E183" s="214">
        <v>8</v>
      </c>
      <c r="F183" s="2321">
        <v>0</v>
      </c>
      <c r="G183" s="2045">
        <f t="shared" si="8"/>
        <v>0</v>
      </c>
      <c r="H183" s="387"/>
    </row>
    <row r="184" spans="1:8" s="388" customFormat="1" ht="49.5" customHeight="1">
      <c r="A184" s="312"/>
      <c r="B184" s="409" t="s">
        <v>331</v>
      </c>
      <c r="C184" s="2320" t="s">
        <v>332</v>
      </c>
      <c r="D184" s="2037" t="s">
        <v>66</v>
      </c>
      <c r="E184" s="214">
        <v>8</v>
      </c>
      <c r="F184" s="2321">
        <v>0</v>
      </c>
      <c r="G184" s="2045">
        <f>E184*F184</f>
        <v>0</v>
      </c>
      <c r="H184" s="315"/>
    </row>
    <row r="185" spans="1:8" s="312" customFormat="1">
      <c r="A185" s="423"/>
      <c r="B185" s="411" t="s">
        <v>168</v>
      </c>
      <c r="C185" s="2336" t="s">
        <v>333</v>
      </c>
      <c r="D185" s="2337"/>
      <c r="E185" s="2337"/>
      <c r="F185" s="1788"/>
      <c r="G185" s="1789"/>
      <c r="H185" s="387"/>
    </row>
    <row r="186" spans="1:8" s="312" customFormat="1" ht="18" customHeight="1">
      <c r="A186" s="423"/>
      <c r="B186" s="424"/>
      <c r="C186" s="2336" t="s">
        <v>334</v>
      </c>
      <c r="D186" s="1787"/>
      <c r="E186" s="240"/>
      <c r="F186" s="1788"/>
      <c r="G186" s="1789"/>
      <c r="H186" s="387"/>
    </row>
    <row r="187" spans="1:8" s="312" customFormat="1" ht="32.25" customHeight="1">
      <c r="A187" s="423"/>
      <c r="B187" s="424"/>
      <c r="C187" s="2338" t="s">
        <v>2214</v>
      </c>
      <c r="D187" s="1787" t="s">
        <v>66</v>
      </c>
      <c r="E187" s="240">
        <v>2</v>
      </c>
      <c r="F187" s="1788">
        <v>0</v>
      </c>
      <c r="G187" s="1789">
        <f>E187*F187</f>
        <v>0</v>
      </c>
      <c r="H187" s="315"/>
    </row>
    <row r="188" spans="1:8" s="312" customFormat="1" ht="18" customHeight="1">
      <c r="A188" s="423"/>
      <c r="B188" s="424"/>
      <c r="C188" s="2339" t="s">
        <v>216</v>
      </c>
      <c r="D188" s="1787" t="s">
        <v>66</v>
      </c>
      <c r="E188" s="240">
        <v>4</v>
      </c>
      <c r="F188" s="1788">
        <v>0</v>
      </c>
      <c r="G188" s="1789">
        <f>E188*F188</f>
        <v>0</v>
      </c>
      <c r="H188" s="387"/>
    </row>
    <row r="189" spans="1:8" s="312" customFormat="1" ht="14.25" customHeight="1">
      <c r="A189" s="423"/>
      <c r="B189" s="424"/>
      <c r="C189" s="2339" t="s">
        <v>150</v>
      </c>
      <c r="D189" s="1787" t="s">
        <v>66</v>
      </c>
      <c r="E189" s="240">
        <v>2</v>
      </c>
      <c r="F189" s="1788">
        <v>0</v>
      </c>
      <c r="G189" s="1789">
        <f>E189*F189</f>
        <v>0</v>
      </c>
      <c r="H189" s="387"/>
    </row>
    <row r="190" spans="1:8" s="388" customFormat="1" ht="15.75" customHeight="1">
      <c r="A190" s="423"/>
      <c r="B190" s="424"/>
      <c r="C190" s="2339" t="s">
        <v>135</v>
      </c>
      <c r="D190" s="1787" t="s">
        <v>66</v>
      </c>
      <c r="E190" s="240">
        <v>2</v>
      </c>
      <c r="F190" s="1788">
        <v>0</v>
      </c>
      <c r="G190" s="1789">
        <f>E190*F190</f>
        <v>0</v>
      </c>
      <c r="H190" s="315"/>
    </row>
    <row r="191" spans="1:8" s="312" customFormat="1">
      <c r="A191" s="423"/>
      <c r="B191" s="424"/>
      <c r="C191" s="2336" t="s">
        <v>335</v>
      </c>
      <c r="D191" s="1787"/>
      <c r="E191" s="240"/>
      <c r="F191" s="1788"/>
      <c r="G191" s="242"/>
      <c r="H191" s="387"/>
    </row>
    <row r="192" spans="1:8" s="388" customFormat="1" ht="32.25" customHeight="1">
      <c r="A192" s="423"/>
      <c r="B192" s="424"/>
      <c r="C192" s="2338" t="s">
        <v>2215</v>
      </c>
      <c r="D192" s="1787" t="s">
        <v>66</v>
      </c>
      <c r="E192" s="240">
        <v>6</v>
      </c>
      <c r="F192" s="1788">
        <v>0</v>
      </c>
      <c r="G192" s="1789">
        <f t="shared" ref="G192:G231" si="9">E192*F192</f>
        <v>0</v>
      </c>
      <c r="H192" s="387"/>
    </row>
    <row r="193" spans="1:8" s="388" customFormat="1" ht="20.25" customHeight="1">
      <c r="A193" s="423"/>
      <c r="B193" s="424"/>
      <c r="C193" s="2339" t="s">
        <v>316</v>
      </c>
      <c r="D193" s="1787" t="s">
        <v>66</v>
      </c>
      <c r="E193" s="240">
        <v>12</v>
      </c>
      <c r="F193" s="1788">
        <v>0</v>
      </c>
      <c r="G193" s="1789">
        <f t="shared" si="9"/>
        <v>0</v>
      </c>
      <c r="H193" s="315"/>
    </row>
    <row r="194" spans="1:8" s="312" customFormat="1" ht="20.25" customHeight="1">
      <c r="A194" s="423"/>
      <c r="B194" s="424"/>
      <c r="C194" s="2339" t="s">
        <v>323</v>
      </c>
      <c r="D194" s="1787" t="s">
        <v>66</v>
      </c>
      <c r="E194" s="240">
        <v>12</v>
      </c>
      <c r="F194" s="1788">
        <v>0</v>
      </c>
      <c r="G194" s="1789">
        <f t="shared" si="9"/>
        <v>0</v>
      </c>
      <c r="H194" s="387"/>
    </row>
    <row r="195" spans="1:8" s="388" customFormat="1" ht="20.25" customHeight="1">
      <c r="A195" s="423"/>
      <c r="B195" s="424"/>
      <c r="C195" s="2339" t="s">
        <v>150</v>
      </c>
      <c r="D195" s="1787" t="s">
        <v>66</v>
      </c>
      <c r="E195" s="240">
        <v>6</v>
      </c>
      <c r="F195" s="1788">
        <v>0</v>
      </c>
      <c r="G195" s="1789">
        <f t="shared" si="9"/>
        <v>0</v>
      </c>
      <c r="H195" s="387"/>
    </row>
    <row r="196" spans="1:8" s="388" customFormat="1" ht="20.25" customHeight="1">
      <c r="A196" s="423"/>
      <c r="B196" s="424"/>
      <c r="C196" s="2339" t="s">
        <v>135</v>
      </c>
      <c r="D196" s="1787" t="s">
        <v>66</v>
      </c>
      <c r="E196" s="240">
        <v>6</v>
      </c>
      <c r="F196" s="1788">
        <v>0</v>
      </c>
      <c r="G196" s="1789">
        <f t="shared" si="9"/>
        <v>0</v>
      </c>
      <c r="H196" s="315"/>
    </row>
    <row r="197" spans="1:8" s="312" customFormat="1" ht="23.25" customHeight="1">
      <c r="A197" s="423"/>
      <c r="B197" s="411" t="s">
        <v>172</v>
      </c>
      <c r="C197" s="2330" t="s">
        <v>160</v>
      </c>
      <c r="D197" s="2331"/>
      <c r="E197" s="225"/>
      <c r="F197" s="2332"/>
      <c r="G197" s="2333"/>
      <c r="H197" s="315"/>
    </row>
    <row r="198" spans="1:8" s="388" customFormat="1" ht="29.25" customHeight="1">
      <c r="A198" s="423"/>
      <c r="B198" s="424"/>
      <c r="C198" s="2330" t="s">
        <v>336</v>
      </c>
      <c r="D198" s="2331"/>
      <c r="E198" s="225"/>
      <c r="F198" s="2332"/>
      <c r="G198" s="2333"/>
      <c r="H198" s="315"/>
    </row>
    <row r="199" spans="1:8" s="388" customFormat="1" ht="28.5" customHeight="1">
      <c r="A199" s="423"/>
      <c r="B199" s="424"/>
      <c r="C199" s="2334" t="s">
        <v>2064</v>
      </c>
      <c r="D199" s="2331" t="s">
        <v>66</v>
      </c>
      <c r="E199" s="225">
        <v>2</v>
      </c>
      <c r="F199" s="2332">
        <v>0</v>
      </c>
      <c r="G199" s="2333">
        <f t="shared" ref="G199" si="10">E199*F199</f>
        <v>0</v>
      </c>
      <c r="H199" s="315"/>
    </row>
    <row r="200" spans="1:8" s="312" customFormat="1" ht="28.5" customHeight="1">
      <c r="A200" s="423"/>
      <c r="B200" s="424"/>
      <c r="C200" s="2335" t="s">
        <v>216</v>
      </c>
      <c r="D200" s="2331" t="s">
        <v>66</v>
      </c>
      <c r="E200" s="225">
        <v>4</v>
      </c>
      <c r="F200" s="2332">
        <v>0</v>
      </c>
      <c r="G200" s="2333">
        <f t="shared" si="9"/>
        <v>0</v>
      </c>
      <c r="H200" s="315"/>
    </row>
    <row r="201" spans="1:8" s="388" customFormat="1" ht="28.5" customHeight="1">
      <c r="A201" s="423"/>
      <c r="B201" s="424"/>
      <c r="C201" s="2335" t="s">
        <v>316</v>
      </c>
      <c r="D201" s="2331" t="s">
        <v>66</v>
      </c>
      <c r="E201" s="225">
        <v>2</v>
      </c>
      <c r="F201" s="2332">
        <v>0</v>
      </c>
      <c r="G201" s="2333">
        <f t="shared" si="9"/>
        <v>0</v>
      </c>
      <c r="H201" s="315"/>
    </row>
    <row r="202" spans="1:8" s="388" customFormat="1" ht="28.5" customHeight="1">
      <c r="A202" s="423"/>
      <c r="B202" s="424"/>
      <c r="C202" s="2335" t="s">
        <v>323</v>
      </c>
      <c r="D202" s="2331" t="s">
        <v>66</v>
      </c>
      <c r="E202" s="225">
        <v>2</v>
      </c>
      <c r="F202" s="2332">
        <v>0</v>
      </c>
      <c r="G202" s="2333">
        <f t="shared" si="9"/>
        <v>0</v>
      </c>
      <c r="H202" s="315"/>
    </row>
    <row r="203" spans="1:8" s="423" customFormat="1" ht="28.5" customHeight="1">
      <c r="B203" s="424"/>
      <c r="C203" s="2335" t="s">
        <v>150</v>
      </c>
      <c r="D203" s="2331" t="s">
        <v>66</v>
      </c>
      <c r="E203" s="225">
        <v>2</v>
      </c>
      <c r="F203" s="2332">
        <v>0</v>
      </c>
      <c r="G203" s="2333">
        <f t="shared" si="9"/>
        <v>0</v>
      </c>
      <c r="H203" s="315"/>
    </row>
    <row r="204" spans="1:8" s="423" customFormat="1" ht="28.5" customHeight="1">
      <c r="B204" s="424"/>
      <c r="C204" s="2335" t="s">
        <v>135</v>
      </c>
      <c r="D204" s="2331" t="s">
        <v>66</v>
      </c>
      <c r="E204" s="225">
        <v>2</v>
      </c>
      <c r="F204" s="2332">
        <v>0</v>
      </c>
      <c r="G204" s="2333">
        <f t="shared" si="9"/>
        <v>0</v>
      </c>
      <c r="H204" s="315"/>
    </row>
    <row r="205" spans="1:8" s="423" customFormat="1" ht="27" customHeight="1">
      <c r="B205" s="424"/>
      <c r="C205" s="2330" t="s">
        <v>337</v>
      </c>
      <c r="D205" s="2331"/>
      <c r="E205" s="225"/>
      <c r="F205" s="2332"/>
      <c r="G205" s="2333"/>
      <c r="H205" s="315"/>
    </row>
    <row r="206" spans="1:8" s="423" customFormat="1" ht="28.5" customHeight="1">
      <c r="B206" s="424"/>
      <c r="C206" s="2334" t="s">
        <v>2076</v>
      </c>
      <c r="D206" s="2331" t="s">
        <v>66</v>
      </c>
      <c r="E206" s="225">
        <v>1</v>
      </c>
      <c r="F206" s="2332">
        <v>0</v>
      </c>
      <c r="G206" s="2333">
        <f t="shared" si="9"/>
        <v>0</v>
      </c>
      <c r="H206" s="315"/>
    </row>
    <row r="207" spans="1:8" s="423" customFormat="1" ht="22.5" customHeight="1">
      <c r="B207" s="424"/>
      <c r="C207" s="2335" t="s">
        <v>216</v>
      </c>
      <c r="D207" s="2331" t="s">
        <v>66</v>
      </c>
      <c r="E207" s="225">
        <v>2</v>
      </c>
      <c r="F207" s="2332">
        <v>0</v>
      </c>
      <c r="G207" s="2333">
        <f t="shared" si="9"/>
        <v>0</v>
      </c>
      <c r="H207" s="315"/>
    </row>
    <row r="208" spans="1:8" s="423" customFormat="1" ht="22.5" customHeight="1">
      <c r="B208" s="424"/>
      <c r="C208" s="2335" t="s">
        <v>166</v>
      </c>
      <c r="D208" s="2331" t="s">
        <v>66</v>
      </c>
      <c r="E208" s="225">
        <v>1</v>
      </c>
      <c r="F208" s="2332">
        <v>0</v>
      </c>
      <c r="G208" s="2333">
        <f t="shared" si="9"/>
        <v>0</v>
      </c>
      <c r="H208" s="315"/>
    </row>
    <row r="209" spans="2:8" s="423" customFormat="1" ht="22.5" customHeight="1">
      <c r="B209" s="424"/>
      <c r="C209" s="2335" t="s">
        <v>167</v>
      </c>
      <c r="D209" s="2331" t="s">
        <v>66</v>
      </c>
      <c r="E209" s="225">
        <v>1</v>
      </c>
      <c r="F209" s="2332">
        <v>0</v>
      </c>
      <c r="G209" s="2333">
        <f t="shared" si="9"/>
        <v>0</v>
      </c>
      <c r="H209" s="315"/>
    </row>
    <row r="210" spans="2:8" s="423" customFormat="1" ht="22.5" customHeight="1">
      <c r="B210" s="424"/>
      <c r="C210" s="2335" t="s">
        <v>229</v>
      </c>
      <c r="D210" s="2331" t="s">
        <v>66</v>
      </c>
      <c r="E210" s="225">
        <v>1</v>
      </c>
      <c r="F210" s="2332">
        <v>0</v>
      </c>
      <c r="G210" s="2333">
        <f t="shared" si="9"/>
        <v>0</v>
      </c>
      <c r="H210" s="315"/>
    </row>
    <row r="211" spans="2:8" s="423" customFormat="1" ht="22.5" customHeight="1">
      <c r="B211" s="424"/>
      <c r="C211" s="2335" t="s">
        <v>230</v>
      </c>
      <c r="D211" s="2331" t="s">
        <v>66</v>
      </c>
      <c r="E211" s="225">
        <v>1</v>
      </c>
      <c r="F211" s="2332">
        <v>0</v>
      </c>
      <c r="G211" s="2333">
        <f t="shared" si="9"/>
        <v>0</v>
      </c>
      <c r="H211" s="315"/>
    </row>
    <row r="212" spans="2:8" s="423" customFormat="1" ht="22.5" customHeight="1">
      <c r="B212" s="424"/>
      <c r="C212" s="2335" t="s">
        <v>150</v>
      </c>
      <c r="D212" s="2331" t="s">
        <v>66</v>
      </c>
      <c r="E212" s="225">
        <v>1</v>
      </c>
      <c r="F212" s="2332">
        <v>0</v>
      </c>
      <c r="G212" s="2333">
        <f t="shared" si="9"/>
        <v>0</v>
      </c>
      <c r="H212" s="315"/>
    </row>
    <row r="213" spans="2:8" s="423" customFormat="1" ht="22.5" customHeight="1">
      <c r="B213" s="424"/>
      <c r="C213" s="2335" t="s">
        <v>135</v>
      </c>
      <c r="D213" s="2331" t="s">
        <v>66</v>
      </c>
      <c r="E213" s="225">
        <v>1</v>
      </c>
      <c r="F213" s="2332">
        <v>0</v>
      </c>
      <c r="G213" s="2333">
        <f t="shared" si="9"/>
        <v>0</v>
      </c>
      <c r="H213" s="315"/>
    </row>
    <row r="214" spans="2:8" s="423" customFormat="1" ht="22.5" customHeight="1">
      <c r="B214" s="424"/>
      <c r="C214" s="2335" t="s">
        <v>150</v>
      </c>
      <c r="D214" s="2331" t="s">
        <v>66</v>
      </c>
      <c r="E214" s="225">
        <v>1</v>
      </c>
      <c r="F214" s="2332">
        <v>0</v>
      </c>
      <c r="G214" s="2333">
        <f t="shared" si="9"/>
        <v>0</v>
      </c>
      <c r="H214" s="315"/>
    </row>
    <row r="215" spans="2:8" s="423" customFormat="1" ht="22.5" customHeight="1">
      <c r="B215" s="424"/>
      <c r="C215" s="2335" t="s">
        <v>135</v>
      </c>
      <c r="D215" s="2331" t="s">
        <v>66</v>
      </c>
      <c r="E215" s="225">
        <v>1</v>
      </c>
      <c r="F215" s="2332">
        <v>0</v>
      </c>
      <c r="G215" s="2333">
        <f t="shared" si="9"/>
        <v>0</v>
      </c>
      <c r="H215" s="315"/>
    </row>
    <row r="216" spans="2:8" s="423" customFormat="1" ht="26.25" customHeight="1">
      <c r="B216" s="424"/>
      <c r="C216" s="2330" t="s">
        <v>338</v>
      </c>
      <c r="D216" s="2331"/>
      <c r="E216" s="225"/>
      <c r="F216" s="2332"/>
      <c r="G216" s="2333"/>
      <c r="H216" s="315"/>
    </row>
    <row r="217" spans="2:8" s="423" customFormat="1" ht="28.5" customHeight="1">
      <c r="B217" s="424"/>
      <c r="C217" s="2334" t="s">
        <v>2067</v>
      </c>
      <c r="D217" s="2331" t="s">
        <v>66</v>
      </c>
      <c r="E217" s="225">
        <v>4</v>
      </c>
      <c r="F217" s="2332">
        <v>0</v>
      </c>
      <c r="G217" s="2333">
        <f t="shared" si="9"/>
        <v>0</v>
      </c>
      <c r="H217" s="315"/>
    </row>
    <row r="218" spans="2:8" s="423" customFormat="1" ht="28.5" customHeight="1">
      <c r="B218" s="424"/>
      <c r="C218" s="2335" t="s">
        <v>316</v>
      </c>
      <c r="D218" s="2331" t="s">
        <v>66</v>
      </c>
      <c r="E218" s="225">
        <v>12</v>
      </c>
      <c r="F218" s="2332">
        <v>0</v>
      </c>
      <c r="G218" s="2333">
        <f t="shared" si="9"/>
        <v>0</v>
      </c>
      <c r="H218" s="315"/>
    </row>
    <row r="219" spans="2:8" s="423" customFormat="1" ht="28.5" customHeight="1">
      <c r="B219" s="424"/>
      <c r="C219" s="2335" t="s">
        <v>323</v>
      </c>
      <c r="D219" s="2331" t="s">
        <v>66</v>
      </c>
      <c r="E219" s="225">
        <v>12</v>
      </c>
      <c r="F219" s="2332">
        <v>0</v>
      </c>
      <c r="G219" s="2333">
        <f t="shared" si="9"/>
        <v>0</v>
      </c>
      <c r="H219" s="315"/>
    </row>
    <row r="220" spans="2:8" s="423" customFormat="1" ht="28.5" customHeight="1">
      <c r="B220" s="424"/>
      <c r="C220" s="2335" t="s">
        <v>150</v>
      </c>
      <c r="D220" s="2331" t="s">
        <v>66</v>
      </c>
      <c r="E220" s="225">
        <v>4</v>
      </c>
      <c r="F220" s="2332">
        <v>0</v>
      </c>
      <c r="G220" s="2333">
        <f t="shared" si="9"/>
        <v>0</v>
      </c>
      <c r="H220" s="315"/>
    </row>
    <row r="221" spans="2:8" s="423" customFormat="1" ht="28.5" customHeight="1">
      <c r="B221" s="424"/>
      <c r="C221" s="2335" t="s">
        <v>135</v>
      </c>
      <c r="D221" s="2331" t="s">
        <v>66</v>
      </c>
      <c r="E221" s="225">
        <v>4</v>
      </c>
      <c r="F221" s="2332">
        <v>0</v>
      </c>
      <c r="G221" s="2333">
        <f t="shared" si="9"/>
        <v>0</v>
      </c>
      <c r="H221" s="315"/>
    </row>
    <row r="222" spans="2:8" s="423" customFormat="1" ht="28.5" customHeight="1">
      <c r="B222" s="424"/>
      <c r="C222" s="2330" t="s">
        <v>339</v>
      </c>
      <c r="D222" s="2331"/>
      <c r="E222" s="225"/>
      <c r="F222" s="2332"/>
      <c r="G222" s="2333"/>
      <c r="H222" s="315"/>
    </row>
    <row r="223" spans="2:8" s="423" customFormat="1" ht="31.5" customHeight="1">
      <c r="B223" s="424"/>
      <c r="C223" s="2334" t="s">
        <v>2066</v>
      </c>
      <c r="D223" s="2331" t="s">
        <v>66</v>
      </c>
      <c r="E223" s="225">
        <v>5</v>
      </c>
      <c r="F223" s="2332">
        <v>0</v>
      </c>
      <c r="G223" s="2333">
        <f t="shared" si="9"/>
        <v>0</v>
      </c>
      <c r="H223" s="315"/>
    </row>
    <row r="224" spans="2:8" s="423" customFormat="1" ht="28.5" customHeight="1">
      <c r="B224" s="424"/>
      <c r="C224" s="2335" t="s">
        <v>316</v>
      </c>
      <c r="D224" s="2331" t="s">
        <v>66</v>
      </c>
      <c r="E224" s="225">
        <v>10</v>
      </c>
      <c r="F224" s="2332">
        <v>0</v>
      </c>
      <c r="G224" s="2333">
        <f t="shared" si="9"/>
        <v>0</v>
      </c>
      <c r="H224" s="315"/>
    </row>
    <row r="225" spans="2:8" s="423" customFormat="1" ht="28.5" customHeight="1">
      <c r="B225" s="424"/>
      <c r="C225" s="2335" t="s">
        <v>166</v>
      </c>
      <c r="D225" s="2331" t="s">
        <v>66</v>
      </c>
      <c r="E225" s="225">
        <v>5</v>
      </c>
      <c r="F225" s="2332">
        <v>0</v>
      </c>
      <c r="G225" s="2333">
        <f t="shared" si="9"/>
        <v>0</v>
      </c>
      <c r="H225" s="315"/>
    </row>
    <row r="226" spans="2:8" s="423" customFormat="1" ht="28.5" customHeight="1">
      <c r="B226" s="424"/>
      <c r="C226" s="2335" t="s">
        <v>323</v>
      </c>
      <c r="D226" s="2331" t="s">
        <v>66</v>
      </c>
      <c r="E226" s="225">
        <v>10</v>
      </c>
      <c r="F226" s="2332">
        <v>0</v>
      </c>
      <c r="G226" s="2333">
        <f t="shared" si="9"/>
        <v>0</v>
      </c>
      <c r="H226" s="315"/>
    </row>
    <row r="227" spans="2:8" s="423" customFormat="1" ht="28.5" customHeight="1">
      <c r="B227" s="424"/>
      <c r="C227" s="2335" t="s">
        <v>167</v>
      </c>
      <c r="D227" s="2331" t="s">
        <v>66</v>
      </c>
      <c r="E227" s="225">
        <v>5</v>
      </c>
      <c r="F227" s="2332">
        <v>0</v>
      </c>
      <c r="G227" s="2333">
        <f t="shared" si="9"/>
        <v>0</v>
      </c>
      <c r="H227" s="315"/>
    </row>
    <row r="228" spans="2:8" s="423" customFormat="1" ht="28.5" customHeight="1">
      <c r="B228" s="424"/>
      <c r="C228" s="2335" t="s">
        <v>229</v>
      </c>
      <c r="D228" s="2331" t="s">
        <v>66</v>
      </c>
      <c r="E228" s="225">
        <v>5</v>
      </c>
      <c r="F228" s="2332">
        <v>0</v>
      </c>
      <c r="G228" s="2333">
        <f t="shared" si="9"/>
        <v>0</v>
      </c>
      <c r="H228" s="315"/>
    </row>
    <row r="229" spans="2:8" s="423" customFormat="1" ht="28.5" customHeight="1">
      <c r="B229" s="424"/>
      <c r="C229" s="2335" t="s">
        <v>230</v>
      </c>
      <c r="D229" s="2331" t="s">
        <v>66</v>
      </c>
      <c r="E229" s="225">
        <v>5</v>
      </c>
      <c r="F229" s="2332">
        <v>0</v>
      </c>
      <c r="G229" s="2333">
        <f t="shared" si="9"/>
        <v>0</v>
      </c>
      <c r="H229" s="315"/>
    </row>
    <row r="230" spans="2:8" s="423" customFormat="1" ht="28.5" customHeight="1">
      <c r="B230" s="424"/>
      <c r="C230" s="2335" t="s">
        <v>150</v>
      </c>
      <c r="D230" s="2331" t="s">
        <v>66</v>
      </c>
      <c r="E230" s="225">
        <v>5</v>
      </c>
      <c r="F230" s="2332">
        <v>0</v>
      </c>
      <c r="G230" s="2333">
        <f t="shared" si="9"/>
        <v>0</v>
      </c>
      <c r="H230" s="315"/>
    </row>
    <row r="231" spans="2:8" s="423" customFormat="1" ht="28.5" customHeight="1">
      <c r="B231" s="424"/>
      <c r="C231" s="2335" t="s">
        <v>135</v>
      </c>
      <c r="D231" s="2331" t="s">
        <v>66</v>
      </c>
      <c r="E231" s="225">
        <v>5</v>
      </c>
      <c r="F231" s="2332">
        <v>0</v>
      </c>
      <c r="G231" s="2333">
        <f t="shared" si="9"/>
        <v>0</v>
      </c>
      <c r="H231" s="315"/>
    </row>
    <row r="232" spans="2:8" s="423" customFormat="1" ht="33" customHeight="1">
      <c r="B232" s="411" t="s">
        <v>340</v>
      </c>
      <c r="C232" s="2327" t="s">
        <v>169</v>
      </c>
      <c r="D232" s="1791"/>
      <c r="E232" s="1525"/>
      <c r="F232" s="2328"/>
      <c r="G232" s="1792"/>
      <c r="H232" s="315"/>
    </row>
    <row r="233" spans="2:8" s="423" customFormat="1" ht="25.5" customHeight="1">
      <c r="B233" s="424"/>
      <c r="C233" s="2327" t="s">
        <v>341</v>
      </c>
      <c r="D233" s="1791"/>
      <c r="E233" s="1525"/>
      <c r="F233" s="2328"/>
      <c r="G233" s="1792"/>
      <c r="H233" s="315"/>
    </row>
    <row r="234" spans="2:8" s="423" customFormat="1" ht="45" customHeight="1">
      <c r="B234" s="424"/>
      <c r="C234" s="2329" t="s">
        <v>2217</v>
      </c>
      <c r="D234" s="1791" t="s">
        <v>66</v>
      </c>
      <c r="E234" s="1525">
        <v>7</v>
      </c>
      <c r="F234" s="2328">
        <v>0</v>
      </c>
      <c r="G234" s="1792">
        <f>E234*F234</f>
        <v>0</v>
      </c>
      <c r="H234" s="315"/>
    </row>
    <row r="235" spans="2:8" s="423" customFormat="1" ht="23.25" customHeight="1">
      <c r="B235" s="424"/>
      <c r="C235" s="2325" t="s">
        <v>171</v>
      </c>
      <c r="D235" s="1791" t="s">
        <v>66</v>
      </c>
      <c r="E235" s="1525">
        <v>7</v>
      </c>
      <c r="F235" s="2328">
        <v>0</v>
      </c>
      <c r="G235" s="1792">
        <f>E235*F235</f>
        <v>0</v>
      </c>
      <c r="H235" s="315"/>
    </row>
    <row r="236" spans="2:8" s="423" customFormat="1" ht="23.25" customHeight="1">
      <c r="B236" s="424"/>
      <c r="C236" s="2325" t="s">
        <v>342</v>
      </c>
      <c r="D236" s="1791" t="s">
        <v>66</v>
      </c>
      <c r="E236" s="1525">
        <v>7</v>
      </c>
      <c r="F236" s="2328">
        <v>0</v>
      </c>
      <c r="G236" s="1792">
        <f>E236*F236</f>
        <v>0</v>
      </c>
      <c r="H236" s="315"/>
    </row>
    <row r="237" spans="2:8" s="423" customFormat="1" ht="25.5" customHeight="1">
      <c r="B237" s="424"/>
      <c r="C237" s="2327" t="s">
        <v>343</v>
      </c>
      <c r="D237" s="1791"/>
      <c r="E237" s="1525"/>
      <c r="F237" s="2328"/>
      <c r="G237" s="1792"/>
      <c r="H237" s="315"/>
    </row>
    <row r="238" spans="2:8" s="423" customFormat="1" ht="48.75" customHeight="1">
      <c r="B238" s="424"/>
      <c r="C238" s="2329" t="s">
        <v>2218</v>
      </c>
      <c r="D238" s="1791" t="s">
        <v>66</v>
      </c>
      <c r="E238" s="1525">
        <v>35</v>
      </c>
      <c r="F238" s="2328">
        <v>0</v>
      </c>
      <c r="G238" s="1792">
        <f t="shared" ref="G238:G243" si="11">E238*F238</f>
        <v>0</v>
      </c>
      <c r="H238" s="315"/>
    </row>
    <row r="239" spans="2:8" s="423" customFormat="1" ht="25.5" customHeight="1">
      <c r="B239" s="424"/>
      <c r="C239" s="2325" t="s">
        <v>171</v>
      </c>
      <c r="D239" s="1791" t="s">
        <v>66</v>
      </c>
      <c r="E239" s="1525">
        <v>35</v>
      </c>
      <c r="F239" s="2328">
        <v>0</v>
      </c>
      <c r="G239" s="1792">
        <f t="shared" si="11"/>
        <v>0</v>
      </c>
      <c r="H239" s="315"/>
    </row>
    <row r="240" spans="2:8" s="423" customFormat="1" ht="25.5" customHeight="1">
      <c r="B240" s="424"/>
      <c r="C240" s="2325" t="s">
        <v>135</v>
      </c>
      <c r="D240" s="1791" t="s">
        <v>66</v>
      </c>
      <c r="E240" s="1525">
        <v>35</v>
      </c>
      <c r="F240" s="2328">
        <v>0</v>
      </c>
      <c r="G240" s="1792">
        <f t="shared" si="11"/>
        <v>0</v>
      </c>
      <c r="H240" s="315"/>
    </row>
    <row r="241" spans="2:8" s="423" customFormat="1" ht="24.75" customHeight="1">
      <c r="B241" s="424"/>
      <c r="C241" s="2327" t="s">
        <v>234</v>
      </c>
      <c r="D241" s="1791"/>
      <c r="E241" s="1525"/>
      <c r="F241" s="2328"/>
      <c r="G241" s="1792"/>
      <c r="H241" s="315"/>
    </row>
    <row r="242" spans="2:8" s="423" customFormat="1" ht="40.5" customHeight="1">
      <c r="B242" s="424"/>
      <c r="C242" s="2329" t="s">
        <v>2074</v>
      </c>
      <c r="D242" s="1791" t="s">
        <v>66</v>
      </c>
      <c r="E242" s="1525">
        <v>15</v>
      </c>
      <c r="F242" s="2328">
        <v>0</v>
      </c>
      <c r="G242" s="1792">
        <f t="shared" si="11"/>
        <v>0</v>
      </c>
      <c r="H242" s="315"/>
    </row>
    <row r="243" spans="2:8" s="423" customFormat="1" ht="22.5" customHeight="1">
      <c r="B243" s="424"/>
      <c r="C243" s="2325" t="s">
        <v>171</v>
      </c>
      <c r="D243" s="1791" t="s">
        <v>66</v>
      </c>
      <c r="E243" s="1525">
        <v>15</v>
      </c>
      <c r="F243" s="2328">
        <v>0</v>
      </c>
      <c r="G243" s="1792">
        <f t="shared" si="11"/>
        <v>0</v>
      </c>
      <c r="H243" s="315"/>
    </row>
    <row r="244" spans="2:8" s="423" customFormat="1" ht="22.5" customHeight="1">
      <c r="B244" s="424"/>
      <c r="C244" s="2325" t="s">
        <v>135</v>
      </c>
      <c r="D244" s="1791" t="s">
        <v>66</v>
      </c>
      <c r="E244" s="1525">
        <v>15</v>
      </c>
      <c r="F244" s="2328">
        <v>0</v>
      </c>
      <c r="G244" s="1792">
        <f>E244*F244</f>
        <v>0</v>
      </c>
      <c r="H244" s="315"/>
    </row>
    <row r="245" spans="2:8" s="423" customFormat="1">
      <c r="B245" s="411" t="s">
        <v>346</v>
      </c>
      <c r="C245" s="2336" t="s">
        <v>347</v>
      </c>
      <c r="D245" s="1787"/>
      <c r="E245" s="240"/>
      <c r="F245" s="1788"/>
      <c r="G245" s="1789"/>
      <c r="H245" s="315"/>
    </row>
    <row r="246" spans="2:8" s="423" customFormat="1">
      <c r="B246" s="424"/>
      <c r="C246" s="2336" t="s">
        <v>348</v>
      </c>
      <c r="D246" s="1787"/>
      <c r="E246" s="240"/>
      <c r="F246" s="1788"/>
      <c r="G246" s="1789"/>
      <c r="H246" s="315"/>
    </row>
    <row r="247" spans="2:8" s="423" customFormat="1">
      <c r="B247" s="424"/>
      <c r="C247" s="2338" t="s">
        <v>349</v>
      </c>
      <c r="D247" s="1787" t="s">
        <v>66</v>
      </c>
      <c r="E247" s="240">
        <v>4</v>
      </c>
      <c r="F247" s="1788">
        <v>0</v>
      </c>
      <c r="G247" s="1789">
        <f t="shared" ref="G247:G272" si="12">E247*F247</f>
        <v>0</v>
      </c>
      <c r="H247" s="315"/>
    </row>
    <row r="248" spans="2:8" s="423" customFormat="1">
      <c r="B248" s="424"/>
      <c r="C248" s="2338" t="s">
        <v>139</v>
      </c>
      <c r="D248" s="1787" t="s">
        <v>66</v>
      </c>
      <c r="E248" s="240">
        <v>2</v>
      </c>
      <c r="F248" s="1788">
        <v>0</v>
      </c>
      <c r="G248" s="1789">
        <f t="shared" si="12"/>
        <v>0</v>
      </c>
      <c r="H248" s="315"/>
    </row>
    <row r="249" spans="2:8" s="423" customFormat="1" ht="38.25" customHeight="1">
      <c r="B249" s="424"/>
      <c r="C249" s="2338" t="s">
        <v>350</v>
      </c>
      <c r="D249" s="1787" t="s">
        <v>66</v>
      </c>
      <c r="E249" s="240">
        <v>2</v>
      </c>
      <c r="F249" s="1788">
        <v>0</v>
      </c>
      <c r="G249" s="1789">
        <f t="shared" si="12"/>
        <v>0</v>
      </c>
      <c r="H249" s="315"/>
    </row>
    <row r="250" spans="2:8" s="423" customFormat="1" ht="24">
      <c r="B250" s="424"/>
      <c r="C250" s="2338" t="s">
        <v>351</v>
      </c>
      <c r="D250" s="1787" t="s">
        <v>66</v>
      </c>
      <c r="E250" s="240">
        <v>2</v>
      </c>
      <c r="F250" s="1788">
        <v>0</v>
      </c>
      <c r="G250" s="1789">
        <f t="shared" si="12"/>
        <v>0</v>
      </c>
      <c r="H250" s="315"/>
    </row>
    <row r="251" spans="2:8" s="423" customFormat="1" ht="24">
      <c r="B251" s="424"/>
      <c r="C251" s="2338" t="s">
        <v>352</v>
      </c>
      <c r="D251" s="1787" t="s">
        <v>66</v>
      </c>
      <c r="E251" s="240">
        <v>2</v>
      </c>
      <c r="F251" s="1788">
        <v>0</v>
      </c>
      <c r="G251" s="1789">
        <f t="shared" si="12"/>
        <v>0</v>
      </c>
      <c r="H251" s="315"/>
    </row>
    <row r="252" spans="2:8" s="423" customFormat="1" ht="24">
      <c r="B252" s="424"/>
      <c r="C252" s="2338" t="s">
        <v>353</v>
      </c>
      <c r="D252" s="1787" t="s">
        <v>66</v>
      </c>
      <c r="E252" s="240">
        <v>1</v>
      </c>
      <c r="F252" s="1788">
        <v>0</v>
      </c>
      <c r="G252" s="1789">
        <f t="shared" si="12"/>
        <v>0</v>
      </c>
      <c r="H252" s="315"/>
    </row>
    <row r="253" spans="2:8" s="423" customFormat="1">
      <c r="B253" s="424"/>
      <c r="C253" s="2338" t="s">
        <v>354</v>
      </c>
      <c r="D253" s="1787" t="s">
        <v>66</v>
      </c>
      <c r="E253" s="240">
        <v>2</v>
      </c>
      <c r="F253" s="1788">
        <v>0</v>
      </c>
      <c r="G253" s="1789">
        <f t="shared" si="12"/>
        <v>0</v>
      </c>
      <c r="H253" s="315"/>
    </row>
    <row r="254" spans="2:8" s="423" customFormat="1">
      <c r="B254" s="424"/>
      <c r="C254" s="2338" t="s">
        <v>355</v>
      </c>
      <c r="D254" s="1787" t="s">
        <v>66</v>
      </c>
      <c r="E254" s="240">
        <v>1</v>
      </c>
      <c r="F254" s="1788">
        <v>0</v>
      </c>
      <c r="G254" s="1789">
        <f t="shared" si="12"/>
        <v>0</v>
      </c>
      <c r="H254" s="315"/>
    </row>
    <row r="255" spans="2:8" s="423" customFormat="1">
      <c r="B255" s="424"/>
      <c r="C255" s="2338" t="s">
        <v>356</v>
      </c>
      <c r="D255" s="1787" t="s">
        <v>66</v>
      </c>
      <c r="E255" s="240">
        <v>1</v>
      </c>
      <c r="F255" s="1788">
        <v>0</v>
      </c>
      <c r="G255" s="1789">
        <f t="shared" si="12"/>
        <v>0</v>
      </c>
      <c r="H255" s="315"/>
    </row>
    <row r="256" spans="2:8" s="423" customFormat="1">
      <c r="B256" s="424"/>
      <c r="C256" s="2338" t="s">
        <v>357</v>
      </c>
      <c r="D256" s="1787" t="s">
        <v>66</v>
      </c>
      <c r="E256" s="240">
        <v>1</v>
      </c>
      <c r="F256" s="1788">
        <v>0</v>
      </c>
      <c r="G256" s="1789">
        <f t="shared" si="12"/>
        <v>0</v>
      </c>
      <c r="H256" s="315"/>
    </row>
    <row r="257" spans="2:8" s="423" customFormat="1" ht="38.25" customHeight="1">
      <c r="B257" s="424"/>
      <c r="C257" s="2338" t="s">
        <v>358</v>
      </c>
      <c r="D257" s="1787" t="s">
        <v>66</v>
      </c>
      <c r="E257" s="240">
        <v>1</v>
      </c>
      <c r="F257" s="1788">
        <v>0</v>
      </c>
      <c r="G257" s="1789">
        <f t="shared" si="12"/>
        <v>0</v>
      </c>
      <c r="H257" s="315"/>
    </row>
    <row r="258" spans="2:8" s="423" customFormat="1" ht="24">
      <c r="B258" s="424"/>
      <c r="C258" s="2338" t="s">
        <v>359</v>
      </c>
      <c r="D258" s="1787" t="s">
        <v>66</v>
      </c>
      <c r="E258" s="240">
        <v>1</v>
      </c>
      <c r="F258" s="1788">
        <v>0</v>
      </c>
      <c r="G258" s="1789">
        <f t="shared" si="12"/>
        <v>0</v>
      </c>
      <c r="H258" s="315"/>
    </row>
    <row r="259" spans="2:8" s="423" customFormat="1">
      <c r="B259" s="424"/>
      <c r="C259" s="2338" t="s">
        <v>360</v>
      </c>
      <c r="D259" s="1787" t="s">
        <v>66</v>
      </c>
      <c r="E259" s="240">
        <v>1</v>
      </c>
      <c r="F259" s="1788">
        <v>0</v>
      </c>
      <c r="G259" s="1789">
        <f t="shared" si="12"/>
        <v>0</v>
      </c>
      <c r="H259" s="315"/>
    </row>
    <row r="260" spans="2:8" s="423" customFormat="1">
      <c r="B260" s="424"/>
      <c r="C260" s="2338" t="s">
        <v>361</v>
      </c>
      <c r="D260" s="1787" t="s">
        <v>66</v>
      </c>
      <c r="E260" s="240">
        <v>1</v>
      </c>
      <c r="F260" s="1788">
        <v>0</v>
      </c>
      <c r="G260" s="1789">
        <f t="shared" si="12"/>
        <v>0</v>
      </c>
      <c r="H260" s="315"/>
    </row>
    <row r="261" spans="2:8" s="423" customFormat="1">
      <c r="B261" s="424"/>
      <c r="C261" s="2339" t="s">
        <v>362</v>
      </c>
      <c r="D261" s="1787" t="s">
        <v>66</v>
      </c>
      <c r="E261" s="240">
        <v>2</v>
      </c>
      <c r="F261" s="1788">
        <v>0</v>
      </c>
      <c r="G261" s="1789">
        <f t="shared" si="12"/>
        <v>0</v>
      </c>
      <c r="H261" s="315"/>
    </row>
    <row r="262" spans="2:8" s="423" customFormat="1" ht="48">
      <c r="B262" s="424"/>
      <c r="C262" s="2339" t="s">
        <v>363</v>
      </c>
      <c r="D262" s="1787" t="s">
        <v>66</v>
      </c>
      <c r="E262" s="240">
        <v>1</v>
      </c>
      <c r="F262" s="1788">
        <v>0</v>
      </c>
      <c r="G262" s="1789">
        <f t="shared" si="12"/>
        <v>0</v>
      </c>
      <c r="H262" s="315"/>
    </row>
    <row r="263" spans="2:8" s="423" customFormat="1" ht="36">
      <c r="B263" s="424"/>
      <c r="C263" s="2338" t="s">
        <v>283</v>
      </c>
      <c r="D263" s="1787" t="s">
        <v>66</v>
      </c>
      <c r="E263" s="240">
        <v>1</v>
      </c>
      <c r="F263" s="1788">
        <v>0</v>
      </c>
      <c r="G263" s="1789">
        <f t="shared" si="12"/>
        <v>0</v>
      </c>
      <c r="H263" s="315"/>
    </row>
    <row r="264" spans="2:8" s="423" customFormat="1">
      <c r="B264" s="424"/>
      <c r="C264" s="2338" t="s">
        <v>315</v>
      </c>
      <c r="D264" s="1787" t="s">
        <v>66</v>
      </c>
      <c r="E264" s="240">
        <v>2</v>
      </c>
      <c r="F264" s="1788">
        <v>0</v>
      </c>
      <c r="G264" s="1789">
        <f t="shared" si="12"/>
        <v>0</v>
      </c>
      <c r="H264" s="315"/>
    </row>
    <row r="265" spans="2:8" s="423" customFormat="1">
      <c r="B265" s="424"/>
      <c r="C265" s="2338" t="s">
        <v>183</v>
      </c>
      <c r="D265" s="1787" t="s">
        <v>66</v>
      </c>
      <c r="E265" s="240">
        <v>1</v>
      </c>
      <c r="F265" s="1788">
        <v>0</v>
      </c>
      <c r="G265" s="1789">
        <f t="shared" si="12"/>
        <v>0</v>
      </c>
      <c r="H265" s="315"/>
    </row>
    <row r="266" spans="2:8" s="423" customFormat="1" ht="12" customHeight="1">
      <c r="B266" s="424"/>
      <c r="C266" s="2338" t="s">
        <v>131</v>
      </c>
      <c r="D266" s="1787" t="s">
        <v>66</v>
      </c>
      <c r="E266" s="240">
        <v>1</v>
      </c>
      <c r="F266" s="1788">
        <v>0</v>
      </c>
      <c r="G266" s="1789">
        <f t="shared" si="12"/>
        <v>0</v>
      </c>
      <c r="H266" s="315"/>
    </row>
    <row r="267" spans="2:8" s="423" customFormat="1">
      <c r="B267" s="424"/>
      <c r="C267" s="2338" t="s">
        <v>364</v>
      </c>
      <c r="D267" s="1787" t="s">
        <v>66</v>
      </c>
      <c r="E267" s="240">
        <v>1</v>
      </c>
      <c r="F267" s="1788">
        <v>0</v>
      </c>
      <c r="G267" s="1789">
        <f t="shared" si="12"/>
        <v>0</v>
      </c>
      <c r="H267" s="315"/>
    </row>
    <row r="268" spans="2:8" s="423" customFormat="1" ht="27.75" customHeight="1">
      <c r="B268" s="424"/>
      <c r="C268" s="2339" t="s">
        <v>316</v>
      </c>
      <c r="D268" s="1787" t="s">
        <v>66</v>
      </c>
      <c r="E268" s="240">
        <v>6</v>
      </c>
      <c r="F268" s="1788">
        <v>0</v>
      </c>
      <c r="G268" s="1789">
        <f t="shared" si="12"/>
        <v>0</v>
      </c>
      <c r="H268" s="315"/>
    </row>
    <row r="269" spans="2:8" s="423" customFormat="1">
      <c r="B269" s="424"/>
      <c r="C269" s="2339" t="s">
        <v>323</v>
      </c>
      <c r="D269" s="1787" t="s">
        <v>66</v>
      </c>
      <c r="E269" s="240">
        <v>6</v>
      </c>
      <c r="F269" s="1788">
        <v>0</v>
      </c>
      <c r="G269" s="1789">
        <f t="shared" si="12"/>
        <v>0</v>
      </c>
      <c r="H269" s="315"/>
    </row>
    <row r="270" spans="2:8" s="423" customFormat="1">
      <c r="B270" s="424"/>
      <c r="C270" s="2339" t="s">
        <v>150</v>
      </c>
      <c r="D270" s="1787" t="s">
        <v>66</v>
      </c>
      <c r="E270" s="240">
        <v>2</v>
      </c>
      <c r="F270" s="1788">
        <v>0</v>
      </c>
      <c r="G270" s="1789">
        <f t="shared" si="12"/>
        <v>0</v>
      </c>
      <c r="H270" s="315"/>
    </row>
    <row r="271" spans="2:8" s="423" customFormat="1" ht="29.25" customHeight="1">
      <c r="B271" s="424"/>
      <c r="C271" s="2339" t="s">
        <v>134</v>
      </c>
      <c r="D271" s="1787" t="s">
        <v>66</v>
      </c>
      <c r="E271" s="240">
        <v>1</v>
      </c>
      <c r="F271" s="1788">
        <v>0</v>
      </c>
      <c r="G271" s="1789">
        <f t="shared" si="12"/>
        <v>0</v>
      </c>
      <c r="H271" s="315"/>
    </row>
    <row r="272" spans="2:8" s="423" customFormat="1" ht="30" customHeight="1">
      <c r="B272" s="424"/>
      <c r="C272" s="2339" t="s">
        <v>135</v>
      </c>
      <c r="D272" s="1787" t="s">
        <v>66</v>
      </c>
      <c r="E272" s="240">
        <v>1</v>
      </c>
      <c r="F272" s="1788">
        <v>0</v>
      </c>
      <c r="G272" s="1789">
        <f t="shared" si="12"/>
        <v>0</v>
      </c>
      <c r="H272" s="315"/>
    </row>
    <row r="273" spans="2:8" s="423" customFormat="1">
      <c r="B273" s="424"/>
      <c r="C273" s="2336" t="s">
        <v>365</v>
      </c>
      <c r="D273" s="1787"/>
      <c r="E273" s="240"/>
      <c r="F273" s="1788"/>
      <c r="G273" s="1789"/>
      <c r="H273" s="315"/>
    </row>
    <row r="274" spans="2:8" s="423" customFormat="1">
      <c r="B274" s="424"/>
      <c r="C274" s="2338" t="s">
        <v>366</v>
      </c>
      <c r="D274" s="1787" t="s">
        <v>66</v>
      </c>
      <c r="E274" s="240">
        <v>4</v>
      </c>
      <c r="F274" s="1788">
        <v>0</v>
      </c>
      <c r="G274" s="1789">
        <f t="shared" ref="G274:G301" si="13">E274*F274</f>
        <v>0</v>
      </c>
      <c r="H274" s="315"/>
    </row>
    <row r="275" spans="2:8" s="423" customFormat="1" ht="38.25" customHeight="1">
      <c r="B275" s="424"/>
      <c r="C275" s="2338" t="s">
        <v>155</v>
      </c>
      <c r="D275" s="1787" t="s">
        <v>66</v>
      </c>
      <c r="E275" s="240">
        <v>2</v>
      </c>
      <c r="F275" s="1788">
        <v>0</v>
      </c>
      <c r="G275" s="1789">
        <f t="shared" si="13"/>
        <v>0</v>
      </c>
      <c r="H275" s="315"/>
    </row>
    <row r="276" spans="2:8" s="423" customFormat="1">
      <c r="B276" s="424"/>
      <c r="C276" s="2338" t="s">
        <v>367</v>
      </c>
      <c r="D276" s="1787" t="s">
        <v>66</v>
      </c>
      <c r="E276" s="240">
        <v>2</v>
      </c>
      <c r="F276" s="1788">
        <v>0</v>
      </c>
      <c r="G276" s="1789">
        <f t="shared" si="13"/>
        <v>0</v>
      </c>
      <c r="H276" s="315"/>
    </row>
    <row r="277" spans="2:8" s="423" customFormat="1" ht="24">
      <c r="B277" s="424"/>
      <c r="C277" s="2338" t="s">
        <v>368</v>
      </c>
      <c r="D277" s="1787" t="s">
        <v>66</v>
      </c>
      <c r="E277" s="240">
        <v>2</v>
      </c>
      <c r="F277" s="1788">
        <v>0</v>
      </c>
      <c r="G277" s="1789">
        <f t="shared" si="13"/>
        <v>0</v>
      </c>
      <c r="H277" s="315"/>
    </row>
    <row r="278" spans="2:8" s="423" customFormat="1" ht="24">
      <c r="B278" s="424"/>
      <c r="C278" s="2338" t="s">
        <v>352</v>
      </c>
      <c r="D278" s="1787" t="s">
        <v>66</v>
      </c>
      <c r="E278" s="240">
        <v>2</v>
      </c>
      <c r="F278" s="1788">
        <v>0</v>
      </c>
      <c r="G278" s="1789">
        <f t="shared" si="13"/>
        <v>0</v>
      </c>
      <c r="H278" s="315"/>
    </row>
    <row r="279" spans="2:8" s="423" customFormat="1" ht="24">
      <c r="B279" s="424"/>
      <c r="C279" s="2338" t="s">
        <v>369</v>
      </c>
      <c r="D279" s="1787" t="s">
        <v>66</v>
      </c>
      <c r="E279" s="240">
        <v>1</v>
      </c>
      <c r="F279" s="1788">
        <v>0</v>
      </c>
      <c r="G279" s="1789">
        <f t="shared" si="13"/>
        <v>0</v>
      </c>
      <c r="H279" s="315"/>
    </row>
    <row r="280" spans="2:8" s="423" customFormat="1">
      <c r="B280" s="424"/>
      <c r="C280" s="2338" t="s">
        <v>370</v>
      </c>
      <c r="D280" s="1787" t="s">
        <v>66</v>
      </c>
      <c r="E280" s="240">
        <v>2</v>
      </c>
      <c r="F280" s="1788">
        <v>0</v>
      </c>
      <c r="G280" s="1789">
        <f t="shared" si="13"/>
        <v>0</v>
      </c>
      <c r="H280" s="315"/>
    </row>
    <row r="281" spans="2:8" s="423" customFormat="1">
      <c r="B281" s="424"/>
      <c r="C281" s="2338" t="s">
        <v>371</v>
      </c>
      <c r="D281" s="1787" t="s">
        <v>66</v>
      </c>
      <c r="E281" s="240">
        <v>1</v>
      </c>
      <c r="F281" s="1788">
        <v>0</v>
      </c>
      <c r="G281" s="1789">
        <f t="shared" si="13"/>
        <v>0</v>
      </c>
      <c r="H281" s="315"/>
    </row>
    <row r="282" spans="2:8" s="423" customFormat="1">
      <c r="B282" s="424"/>
      <c r="C282" s="2338" t="s">
        <v>356</v>
      </c>
      <c r="D282" s="1787" t="s">
        <v>66</v>
      </c>
      <c r="E282" s="240">
        <v>1</v>
      </c>
      <c r="F282" s="1788">
        <v>0</v>
      </c>
      <c r="G282" s="1789">
        <f t="shared" si="13"/>
        <v>0</v>
      </c>
      <c r="H282" s="315"/>
    </row>
    <row r="283" spans="2:8" s="423" customFormat="1">
      <c r="B283" s="424"/>
      <c r="C283" s="2338" t="s">
        <v>372</v>
      </c>
      <c r="D283" s="1787" t="s">
        <v>66</v>
      </c>
      <c r="E283" s="240">
        <v>1</v>
      </c>
      <c r="F283" s="1788">
        <v>0</v>
      </c>
      <c r="G283" s="1789">
        <f t="shared" si="13"/>
        <v>0</v>
      </c>
      <c r="H283" s="315"/>
    </row>
    <row r="284" spans="2:8" s="423" customFormat="1" ht="38.25" customHeight="1">
      <c r="B284" s="424"/>
      <c r="C284" s="2338" t="s">
        <v>373</v>
      </c>
      <c r="D284" s="1787" t="s">
        <v>66</v>
      </c>
      <c r="E284" s="240">
        <v>1</v>
      </c>
      <c r="F284" s="1788">
        <v>0</v>
      </c>
      <c r="G284" s="1789">
        <f t="shared" si="13"/>
        <v>0</v>
      </c>
      <c r="H284" s="315"/>
    </row>
    <row r="285" spans="2:8" s="423" customFormat="1" ht="24">
      <c r="B285" s="424"/>
      <c r="C285" s="2338" t="s">
        <v>374</v>
      </c>
      <c r="D285" s="1787" t="s">
        <v>66</v>
      </c>
      <c r="E285" s="240">
        <v>1</v>
      </c>
      <c r="F285" s="1788">
        <v>0</v>
      </c>
      <c r="G285" s="1789">
        <f>E285*F285</f>
        <v>0</v>
      </c>
      <c r="H285" s="315"/>
    </row>
    <row r="286" spans="2:8" s="423" customFormat="1">
      <c r="B286" s="424"/>
      <c r="C286" s="2338" t="s">
        <v>360</v>
      </c>
      <c r="D286" s="1787" t="s">
        <v>66</v>
      </c>
      <c r="E286" s="240">
        <v>1</v>
      </c>
      <c r="F286" s="1788">
        <v>0</v>
      </c>
      <c r="G286" s="1789">
        <f t="shared" si="13"/>
        <v>0</v>
      </c>
      <c r="H286" s="315"/>
    </row>
    <row r="287" spans="2:8" s="423" customFormat="1">
      <c r="B287" s="424"/>
      <c r="C287" s="2338" t="s">
        <v>361</v>
      </c>
      <c r="D287" s="1787" t="s">
        <v>66</v>
      </c>
      <c r="E287" s="240">
        <v>1</v>
      </c>
      <c r="F287" s="1788">
        <v>0</v>
      </c>
      <c r="G287" s="1789">
        <f t="shared" si="13"/>
        <v>0</v>
      </c>
      <c r="H287" s="315"/>
    </row>
    <row r="288" spans="2:8" s="423" customFormat="1">
      <c r="B288" s="424"/>
      <c r="C288" s="2339" t="s">
        <v>362</v>
      </c>
      <c r="D288" s="1787" t="s">
        <v>66</v>
      </c>
      <c r="E288" s="240">
        <v>2</v>
      </c>
      <c r="F288" s="1788">
        <v>0</v>
      </c>
      <c r="G288" s="1789">
        <f t="shared" si="13"/>
        <v>0</v>
      </c>
      <c r="H288" s="315"/>
    </row>
    <row r="289" spans="1:8" s="423" customFormat="1" ht="48">
      <c r="B289" s="424"/>
      <c r="C289" s="2339" t="s">
        <v>363</v>
      </c>
      <c r="D289" s="1787" t="s">
        <v>66</v>
      </c>
      <c r="E289" s="240">
        <v>1</v>
      </c>
      <c r="F289" s="1788">
        <v>0</v>
      </c>
      <c r="G289" s="1789">
        <f t="shared" si="13"/>
        <v>0</v>
      </c>
      <c r="H289" s="315"/>
    </row>
    <row r="290" spans="1:8" s="423" customFormat="1" ht="36">
      <c r="B290" s="424"/>
      <c r="C290" s="2338" t="s">
        <v>283</v>
      </c>
      <c r="D290" s="1787" t="s">
        <v>66</v>
      </c>
      <c r="E290" s="240">
        <v>1</v>
      </c>
      <c r="F290" s="1788">
        <v>0</v>
      </c>
      <c r="G290" s="1789">
        <f t="shared" si="13"/>
        <v>0</v>
      </c>
      <c r="H290" s="315"/>
    </row>
    <row r="291" spans="1:8" s="423" customFormat="1">
      <c r="B291" s="424"/>
      <c r="C291" s="2338" t="s">
        <v>375</v>
      </c>
      <c r="D291" s="1787" t="s">
        <v>66</v>
      </c>
      <c r="E291" s="240">
        <v>2</v>
      </c>
      <c r="F291" s="1788">
        <v>0</v>
      </c>
      <c r="G291" s="1789">
        <f t="shared" si="13"/>
        <v>0</v>
      </c>
      <c r="H291" s="315"/>
    </row>
    <row r="292" spans="1:8" s="423" customFormat="1">
      <c r="B292" s="424"/>
      <c r="C292" s="2338" t="s">
        <v>183</v>
      </c>
      <c r="D292" s="1787" t="s">
        <v>66</v>
      </c>
      <c r="E292" s="240">
        <v>1</v>
      </c>
      <c r="F292" s="1788">
        <v>0</v>
      </c>
      <c r="G292" s="1789">
        <f t="shared" si="13"/>
        <v>0</v>
      </c>
      <c r="H292" s="315"/>
    </row>
    <row r="293" spans="1:8" s="423" customFormat="1">
      <c r="B293" s="424"/>
      <c r="C293" s="2338" t="s">
        <v>131</v>
      </c>
      <c r="D293" s="1787" t="s">
        <v>66</v>
      </c>
      <c r="E293" s="240">
        <v>1</v>
      </c>
      <c r="F293" s="1788">
        <v>0</v>
      </c>
      <c r="G293" s="1789">
        <f t="shared" si="13"/>
        <v>0</v>
      </c>
      <c r="H293" s="315"/>
    </row>
    <row r="294" spans="1:8" s="423" customFormat="1">
      <c r="B294" s="424"/>
      <c r="C294" s="2338" t="s">
        <v>364</v>
      </c>
      <c r="D294" s="1787" t="s">
        <v>66</v>
      </c>
      <c r="E294" s="240">
        <v>1</v>
      </c>
      <c r="F294" s="1788">
        <v>0</v>
      </c>
      <c r="G294" s="1789">
        <f t="shared" si="13"/>
        <v>0</v>
      </c>
      <c r="H294" s="315"/>
    </row>
    <row r="295" spans="1:8" s="423" customFormat="1" ht="27" customHeight="1">
      <c r="B295" s="424"/>
      <c r="C295" s="2339" t="s">
        <v>166</v>
      </c>
      <c r="D295" s="1787" t="s">
        <v>66</v>
      </c>
      <c r="E295" s="240">
        <v>6</v>
      </c>
      <c r="F295" s="1788">
        <v>0</v>
      </c>
      <c r="G295" s="1789">
        <f t="shared" si="13"/>
        <v>0</v>
      </c>
      <c r="H295" s="315"/>
    </row>
    <row r="296" spans="1:8" s="423" customFormat="1">
      <c r="B296" s="424"/>
      <c r="C296" s="2339" t="s">
        <v>167</v>
      </c>
      <c r="D296" s="1787" t="s">
        <v>66</v>
      </c>
      <c r="E296" s="240">
        <v>6</v>
      </c>
      <c r="F296" s="1788">
        <v>0</v>
      </c>
      <c r="G296" s="1789">
        <f t="shared" si="13"/>
        <v>0</v>
      </c>
      <c r="H296" s="315"/>
    </row>
    <row r="297" spans="1:8" s="423" customFormat="1">
      <c r="B297" s="424"/>
      <c r="C297" s="2339" t="s">
        <v>229</v>
      </c>
      <c r="D297" s="1787" t="s">
        <v>66</v>
      </c>
      <c r="E297" s="240">
        <v>2</v>
      </c>
      <c r="F297" s="1788">
        <v>0</v>
      </c>
      <c r="G297" s="1789">
        <f t="shared" si="13"/>
        <v>0</v>
      </c>
      <c r="H297" s="315"/>
    </row>
    <row r="298" spans="1:8" s="423" customFormat="1">
      <c r="B298" s="424"/>
      <c r="C298" s="2339" t="s">
        <v>230</v>
      </c>
      <c r="D298" s="1787" t="s">
        <v>66</v>
      </c>
      <c r="E298" s="240">
        <v>2</v>
      </c>
      <c r="F298" s="1788">
        <v>0</v>
      </c>
      <c r="G298" s="1789">
        <f t="shared" si="13"/>
        <v>0</v>
      </c>
      <c r="H298" s="315"/>
    </row>
    <row r="299" spans="1:8" s="423" customFormat="1">
      <c r="B299" s="424"/>
      <c r="C299" s="2339" t="s">
        <v>150</v>
      </c>
      <c r="D299" s="1787" t="s">
        <v>66</v>
      </c>
      <c r="E299" s="240">
        <v>2</v>
      </c>
      <c r="F299" s="1788">
        <v>0</v>
      </c>
      <c r="G299" s="1789">
        <f t="shared" si="13"/>
        <v>0</v>
      </c>
      <c r="H299" s="315"/>
    </row>
    <row r="300" spans="1:8" s="423" customFormat="1" ht="23.25" customHeight="1">
      <c r="B300" s="424"/>
      <c r="C300" s="2339" t="s">
        <v>134</v>
      </c>
      <c r="D300" s="1787" t="s">
        <v>66</v>
      </c>
      <c r="E300" s="240">
        <v>1</v>
      </c>
      <c r="F300" s="1788">
        <v>0</v>
      </c>
      <c r="G300" s="1789">
        <f t="shared" si="13"/>
        <v>0</v>
      </c>
      <c r="H300" s="315"/>
    </row>
    <row r="301" spans="1:8" s="423" customFormat="1" ht="27" customHeight="1">
      <c r="B301" s="424"/>
      <c r="C301" s="2339" t="s">
        <v>135</v>
      </c>
      <c r="D301" s="1787" t="s">
        <v>66</v>
      </c>
      <c r="E301" s="240">
        <v>1</v>
      </c>
      <c r="F301" s="1788">
        <v>0</v>
      </c>
      <c r="G301" s="1789">
        <f t="shared" si="13"/>
        <v>0</v>
      </c>
      <c r="H301" s="315"/>
    </row>
    <row r="302" spans="1:8" s="423" customFormat="1">
      <c r="A302" s="312"/>
      <c r="B302" s="411" t="s">
        <v>376</v>
      </c>
      <c r="C302" s="2340" t="s">
        <v>173</v>
      </c>
      <c r="D302" s="2341"/>
      <c r="E302" s="2342"/>
      <c r="F302" s="2343"/>
      <c r="G302" s="2344"/>
      <c r="H302" s="315"/>
    </row>
    <row r="303" spans="1:8" s="423" customFormat="1" ht="72">
      <c r="B303" s="424"/>
      <c r="C303" s="2345" t="s">
        <v>174</v>
      </c>
      <c r="D303" s="1794" t="s">
        <v>66</v>
      </c>
      <c r="E303" s="1795">
        <v>50</v>
      </c>
      <c r="F303" s="1799">
        <v>0</v>
      </c>
      <c r="G303" s="1800">
        <f>E303*F303</f>
        <v>0</v>
      </c>
      <c r="H303" s="315"/>
    </row>
    <row r="304" spans="1:8" s="423" customFormat="1" ht="23.25" customHeight="1">
      <c r="A304" s="388"/>
      <c r="B304" s="433" t="s">
        <v>47</v>
      </c>
      <c r="C304" s="2079" t="s">
        <v>175</v>
      </c>
      <c r="D304" s="426"/>
      <c r="E304" s="427"/>
      <c r="F304" s="428"/>
      <c r="G304" s="386">
        <f>SUM(G98:G303)</f>
        <v>0</v>
      </c>
      <c r="H304" s="315"/>
    </row>
    <row r="305" spans="1:8" s="423" customFormat="1">
      <c r="A305" s="312"/>
      <c r="B305" s="285"/>
      <c r="C305" s="543"/>
      <c r="D305" s="287"/>
      <c r="E305" s="70"/>
      <c r="F305" s="71"/>
      <c r="G305" s="66"/>
      <c r="H305" s="315"/>
    </row>
    <row r="306" spans="1:8" s="423" customFormat="1">
      <c r="A306" s="312"/>
      <c r="B306" s="285"/>
      <c r="C306" s="543"/>
      <c r="D306" s="287"/>
      <c r="E306" s="70"/>
      <c r="F306" s="71"/>
      <c r="G306" s="66"/>
      <c r="H306" s="315"/>
    </row>
    <row r="307" spans="1:8" s="423" customFormat="1" ht="27" customHeight="1">
      <c r="A307" s="312"/>
      <c r="B307" s="285"/>
      <c r="C307" s="543"/>
      <c r="D307" s="287"/>
      <c r="E307" s="70"/>
      <c r="F307" s="71"/>
      <c r="G307" s="66"/>
      <c r="H307" s="315"/>
    </row>
    <row r="308" spans="1:8" s="423" customFormat="1">
      <c r="A308" s="312"/>
      <c r="B308" s="285"/>
      <c r="C308" s="543"/>
      <c r="D308" s="287"/>
      <c r="E308" s="70"/>
      <c r="F308" s="71"/>
      <c r="G308" s="66"/>
      <c r="H308" s="315"/>
    </row>
    <row r="309" spans="1:8" s="423" customFormat="1">
      <c r="A309" s="312"/>
      <c r="B309" s="285"/>
      <c r="C309" s="543"/>
      <c r="D309" s="287"/>
      <c r="E309" s="70"/>
      <c r="F309" s="71"/>
      <c r="G309" s="66"/>
      <c r="H309" s="315"/>
    </row>
    <row r="310" spans="1:8" s="423" customFormat="1">
      <c r="A310" s="312"/>
      <c r="B310" s="285"/>
      <c r="C310" s="543"/>
      <c r="D310" s="287"/>
      <c r="E310" s="70"/>
      <c r="F310" s="71"/>
      <c r="G310" s="66"/>
      <c r="H310" s="315"/>
    </row>
    <row r="311" spans="1:8" s="423" customFormat="1">
      <c r="A311" s="312"/>
      <c r="B311" s="285"/>
      <c r="C311" s="543"/>
      <c r="D311" s="287"/>
      <c r="E311" s="70"/>
      <c r="F311" s="71"/>
      <c r="G311" s="66"/>
      <c r="H311" s="315"/>
    </row>
    <row r="312" spans="1:8" s="423" customFormat="1">
      <c r="A312" s="312"/>
      <c r="B312" s="285"/>
      <c r="C312" s="543"/>
      <c r="D312" s="287"/>
      <c r="E312" s="70"/>
      <c r="F312" s="71"/>
      <c r="G312" s="66"/>
      <c r="H312" s="315"/>
    </row>
    <row r="313" spans="1:8" s="423" customFormat="1" ht="27" customHeight="1">
      <c r="A313" s="312"/>
      <c r="B313" s="285"/>
      <c r="C313" s="543"/>
      <c r="D313" s="287"/>
      <c r="E313" s="70"/>
      <c r="F313" s="71"/>
      <c r="G313" s="66"/>
      <c r="H313" s="315"/>
    </row>
    <row r="314" spans="1:8" s="423" customFormat="1">
      <c r="A314" s="312"/>
      <c r="B314" s="285"/>
      <c r="C314" s="543"/>
      <c r="D314" s="287"/>
      <c r="E314" s="70"/>
      <c r="F314" s="71"/>
      <c r="G314" s="66"/>
      <c r="H314" s="315"/>
    </row>
    <row r="315" spans="1:8" s="423" customFormat="1">
      <c r="A315" s="312"/>
      <c r="B315" s="285"/>
      <c r="C315" s="543"/>
      <c r="D315" s="287"/>
      <c r="E315" s="70"/>
      <c r="F315" s="71"/>
      <c r="G315" s="66"/>
      <c r="H315" s="315"/>
    </row>
    <row r="316" spans="1:8" s="423" customFormat="1">
      <c r="A316" s="312"/>
      <c r="B316" s="285"/>
      <c r="C316" s="543"/>
      <c r="D316" s="287"/>
      <c r="E316" s="70"/>
      <c r="F316" s="71"/>
      <c r="G316" s="66"/>
      <c r="H316" s="315"/>
    </row>
    <row r="317" spans="1:8" s="423" customFormat="1">
      <c r="A317" s="312"/>
      <c r="B317" s="285"/>
      <c r="C317" s="543"/>
      <c r="D317" s="287"/>
      <c r="E317" s="70"/>
      <c r="F317" s="71"/>
      <c r="G317" s="66"/>
      <c r="H317" s="315"/>
    </row>
    <row r="318" spans="1:8" s="423" customFormat="1">
      <c r="A318" s="312"/>
      <c r="B318" s="285"/>
      <c r="C318" s="543"/>
      <c r="D318" s="287"/>
      <c r="E318" s="70"/>
      <c r="F318" s="71"/>
      <c r="G318" s="66"/>
      <c r="H318" s="315"/>
    </row>
    <row r="319" spans="1:8" s="423" customFormat="1">
      <c r="A319" s="312"/>
      <c r="B319" s="285"/>
      <c r="C319" s="543"/>
      <c r="D319" s="287"/>
      <c r="E319" s="70"/>
      <c r="F319" s="71"/>
      <c r="G319" s="66"/>
      <c r="H319" s="315"/>
    </row>
    <row r="320" spans="1:8" s="423" customFormat="1" ht="12.75" customHeight="1">
      <c r="A320" s="312"/>
      <c r="B320" s="285"/>
      <c r="C320" s="543"/>
      <c r="D320" s="287"/>
      <c r="E320" s="70"/>
      <c r="F320" s="71"/>
      <c r="G320" s="66"/>
      <c r="H320" s="315"/>
    </row>
    <row r="321" spans="1:8" s="423" customFormat="1">
      <c r="A321" s="312"/>
      <c r="B321" s="285"/>
      <c r="C321" s="543"/>
      <c r="D321" s="287"/>
      <c r="E321" s="70"/>
      <c r="F321" s="71"/>
      <c r="G321" s="66"/>
      <c r="H321" s="315"/>
    </row>
    <row r="322" spans="1:8" s="423" customFormat="1">
      <c r="A322" s="312"/>
      <c r="B322" s="285"/>
      <c r="C322" s="543"/>
      <c r="D322" s="287"/>
      <c r="E322" s="70"/>
      <c r="F322" s="71"/>
      <c r="G322" s="66"/>
      <c r="H322" s="315"/>
    </row>
    <row r="323" spans="1:8" s="423" customFormat="1">
      <c r="A323" s="312"/>
      <c r="B323" s="285"/>
      <c r="C323" s="543"/>
      <c r="D323" s="287"/>
      <c r="E323" s="70"/>
      <c r="F323" s="71"/>
      <c r="G323" s="66"/>
      <c r="H323" s="315"/>
    </row>
    <row r="324" spans="1:8" s="423" customFormat="1">
      <c r="A324" s="312"/>
      <c r="B324" s="285"/>
      <c r="C324" s="543"/>
      <c r="D324" s="287"/>
      <c r="E324" s="70"/>
      <c r="F324" s="71"/>
      <c r="G324" s="66"/>
      <c r="H324" s="315"/>
    </row>
    <row r="325" spans="1:8" s="423" customFormat="1">
      <c r="A325" s="312"/>
      <c r="B325" s="285"/>
      <c r="C325" s="543"/>
      <c r="D325" s="287"/>
      <c r="E325" s="70"/>
      <c r="F325" s="71"/>
      <c r="G325" s="66"/>
      <c r="H325" s="315"/>
    </row>
    <row r="326" spans="1:8" s="423" customFormat="1">
      <c r="A326" s="312"/>
      <c r="B326" s="285"/>
      <c r="C326" s="543"/>
      <c r="D326" s="287"/>
      <c r="E326" s="70"/>
      <c r="F326" s="71"/>
      <c r="G326" s="66"/>
      <c r="H326" s="315"/>
    </row>
    <row r="327" spans="1:8" s="423" customFormat="1">
      <c r="A327" s="312"/>
      <c r="B327" s="285"/>
      <c r="C327" s="543"/>
      <c r="D327" s="287"/>
      <c r="E327" s="70"/>
      <c r="F327" s="71"/>
      <c r="G327" s="66"/>
      <c r="H327" s="315"/>
    </row>
    <row r="328" spans="1:8" s="423" customFormat="1">
      <c r="A328" s="312"/>
      <c r="B328" s="285"/>
      <c r="C328" s="543"/>
      <c r="D328" s="287"/>
      <c r="E328" s="70"/>
      <c r="F328" s="71"/>
      <c r="G328" s="66"/>
      <c r="H328" s="315"/>
    </row>
    <row r="329" spans="1:8" s="423" customFormat="1">
      <c r="A329" s="312"/>
      <c r="B329" s="285"/>
      <c r="C329" s="543"/>
      <c r="D329" s="287"/>
      <c r="E329" s="70"/>
      <c r="F329" s="71"/>
      <c r="G329" s="66"/>
      <c r="H329" s="315"/>
    </row>
    <row r="330" spans="1:8" s="423" customFormat="1">
      <c r="A330" s="312"/>
      <c r="B330" s="285"/>
      <c r="C330" s="543"/>
      <c r="D330" s="287"/>
      <c r="E330" s="70"/>
      <c r="F330" s="71"/>
      <c r="G330" s="66"/>
      <c r="H330" s="315"/>
    </row>
    <row r="331" spans="1:8" s="423" customFormat="1">
      <c r="A331" s="312"/>
      <c r="B331" s="285"/>
      <c r="C331" s="543"/>
      <c r="D331" s="287"/>
      <c r="E331" s="70"/>
      <c r="F331" s="71"/>
      <c r="G331" s="66"/>
      <c r="H331" s="315"/>
    </row>
    <row r="332" spans="1:8" s="423" customFormat="1">
      <c r="A332" s="312"/>
      <c r="B332" s="285"/>
      <c r="C332" s="543"/>
      <c r="D332" s="287"/>
      <c r="E332" s="70"/>
      <c r="F332" s="71"/>
      <c r="G332" s="66"/>
      <c r="H332" s="315"/>
    </row>
    <row r="333" spans="1:8" s="423" customFormat="1">
      <c r="A333" s="312"/>
      <c r="B333" s="285"/>
      <c r="C333" s="543"/>
      <c r="D333" s="287"/>
      <c r="E333" s="70"/>
      <c r="F333" s="71"/>
      <c r="G333" s="66"/>
      <c r="H333" s="315"/>
    </row>
    <row r="334" spans="1:8" s="423" customFormat="1" ht="12.75" customHeight="1">
      <c r="A334" s="312"/>
      <c r="B334" s="285"/>
      <c r="C334" s="543"/>
      <c r="D334" s="287"/>
      <c r="E334" s="70"/>
      <c r="F334" s="71"/>
      <c r="G334" s="66"/>
      <c r="H334" s="315"/>
    </row>
    <row r="335" spans="1:8" s="423" customFormat="1">
      <c r="A335" s="312"/>
      <c r="B335" s="285"/>
      <c r="C335" s="543"/>
      <c r="D335" s="287"/>
      <c r="E335" s="70"/>
      <c r="F335" s="71"/>
      <c r="G335" s="66"/>
      <c r="H335" s="315"/>
    </row>
    <row r="336" spans="1:8" s="423" customFormat="1">
      <c r="A336" s="312"/>
      <c r="B336" s="285"/>
      <c r="C336" s="543"/>
      <c r="D336" s="287"/>
      <c r="E336" s="70"/>
      <c r="F336" s="71"/>
      <c r="G336" s="66"/>
      <c r="H336" s="315"/>
    </row>
    <row r="337" spans="1:8" s="423" customFormat="1">
      <c r="A337" s="312"/>
      <c r="B337" s="285"/>
      <c r="C337" s="543"/>
      <c r="D337" s="287"/>
      <c r="E337" s="70"/>
      <c r="F337" s="71"/>
      <c r="G337" s="66"/>
      <c r="H337" s="315"/>
    </row>
    <row r="338" spans="1:8" s="423" customFormat="1">
      <c r="A338" s="312"/>
      <c r="B338" s="285"/>
      <c r="C338" s="543"/>
      <c r="D338" s="287"/>
      <c r="E338" s="70"/>
      <c r="F338" s="71"/>
      <c r="G338" s="66"/>
      <c r="H338" s="315"/>
    </row>
    <row r="339" spans="1:8" s="423" customFormat="1">
      <c r="A339" s="312"/>
      <c r="B339" s="285"/>
      <c r="C339" s="543"/>
      <c r="D339" s="287"/>
      <c r="E339" s="70"/>
      <c r="F339" s="71"/>
      <c r="G339" s="66"/>
      <c r="H339" s="315"/>
    </row>
    <row r="340" spans="1:8" s="423" customFormat="1">
      <c r="A340" s="312"/>
      <c r="B340" s="285"/>
      <c r="C340" s="543"/>
      <c r="D340" s="287"/>
      <c r="E340" s="70"/>
      <c r="F340" s="71"/>
      <c r="G340" s="66"/>
      <c r="H340" s="315"/>
    </row>
    <row r="341" spans="1:8" s="423" customFormat="1">
      <c r="A341" s="312"/>
      <c r="B341" s="285"/>
      <c r="C341" s="543"/>
      <c r="D341" s="287"/>
      <c r="E341" s="70"/>
      <c r="F341" s="71"/>
      <c r="G341" s="66"/>
      <c r="H341" s="315"/>
    </row>
    <row r="342" spans="1:8" s="423" customFormat="1">
      <c r="A342" s="312"/>
      <c r="B342" s="285"/>
      <c r="C342" s="543"/>
      <c r="D342" s="287"/>
      <c r="E342" s="70"/>
      <c r="F342" s="71"/>
      <c r="G342" s="66"/>
      <c r="H342" s="315"/>
    </row>
    <row r="343" spans="1:8" s="423" customFormat="1">
      <c r="A343" s="312"/>
      <c r="B343" s="285"/>
      <c r="C343" s="543"/>
      <c r="D343" s="287"/>
      <c r="E343" s="70"/>
      <c r="F343" s="71"/>
      <c r="G343" s="66"/>
      <c r="H343" s="315"/>
    </row>
    <row r="344" spans="1:8" s="423" customFormat="1">
      <c r="A344" s="312"/>
      <c r="B344" s="285"/>
      <c r="C344" s="543"/>
      <c r="D344" s="287"/>
      <c r="E344" s="70"/>
      <c r="F344" s="71"/>
      <c r="G344" s="66"/>
      <c r="H344" s="315"/>
    </row>
  </sheetData>
  <mergeCells count="8">
    <mergeCell ref="B97:G97"/>
    <mergeCell ref="B105:B108"/>
    <mergeCell ref="B44:G44"/>
    <mergeCell ref="B56:B58"/>
    <mergeCell ref="B71:B73"/>
    <mergeCell ref="B74:B76"/>
    <mergeCell ref="B95:G95"/>
    <mergeCell ref="B96:G96"/>
  </mergeCells>
  <pageMargins left="0.75" right="0.75" top="1" bottom="1" header="0" footer="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4D29-A78E-4F8C-B477-1432A1ED5A68}">
  <sheetPr>
    <tabColor rgb="FF00B0F0"/>
  </sheetPr>
  <dimension ref="B2:G26"/>
  <sheetViews>
    <sheetView zoomScaleNormal="100" zoomScaleSheetLayoutView="100" workbookViewId="0">
      <selection activeCell="G13" sqref="G13"/>
    </sheetView>
  </sheetViews>
  <sheetFormatPr defaultRowHeight="12.75"/>
  <cols>
    <col min="1" max="1" width="9.140625" style="73"/>
    <col min="2" max="2" width="9.140625" style="73" customWidth="1"/>
    <col min="3" max="3" width="42.5703125" style="73" customWidth="1"/>
    <col min="4" max="4" width="10.42578125" style="73" customWidth="1"/>
    <col min="5" max="5" width="4.140625" style="73" customWidth="1"/>
    <col min="6" max="6" width="7.42578125" style="73" customWidth="1"/>
    <col min="7" max="7" width="19.140625" style="73" customWidth="1"/>
    <col min="8" max="16384" width="9.140625" style="73"/>
  </cols>
  <sheetData>
    <row r="2" spans="2:7" ht="15.75">
      <c r="B2" s="2"/>
      <c r="C2" s="662" t="s">
        <v>0</v>
      </c>
      <c r="D2" s="4"/>
      <c r="E2" s="5"/>
      <c r="F2" s="6"/>
      <c r="G2" s="7"/>
    </row>
    <row r="4" spans="2:7">
      <c r="B4" s="10" t="s">
        <v>2</v>
      </c>
      <c r="C4" s="11"/>
      <c r="D4" s="12"/>
      <c r="E4" s="12"/>
      <c r="F4" s="12"/>
      <c r="G4" s="13"/>
    </row>
    <row r="5" spans="2:7">
      <c r="B5" s="16" t="s">
        <v>3</v>
      </c>
      <c r="C5" s="17"/>
      <c r="D5" s="18"/>
      <c r="E5" s="19"/>
      <c r="F5" s="19"/>
      <c r="G5" s="18"/>
    </row>
    <row r="6" spans="2:7">
      <c r="B6" s="10" t="s">
        <v>4</v>
      </c>
      <c r="C6" s="11"/>
      <c r="D6" s="12"/>
      <c r="E6" s="12"/>
      <c r="F6" s="12"/>
      <c r="G6" s="13"/>
    </row>
    <row r="7" spans="2:7">
      <c r="B7" s="16" t="s">
        <v>5</v>
      </c>
      <c r="C7" s="17"/>
      <c r="D7" s="19"/>
      <c r="E7" s="19"/>
      <c r="F7" s="19"/>
      <c r="G7" s="18"/>
    </row>
    <row r="8" spans="2:7">
      <c r="B8" s="89"/>
      <c r="C8" s="90"/>
      <c r="D8" s="91"/>
      <c r="E8" s="92"/>
      <c r="F8" s="93"/>
      <c r="G8" s="94"/>
    </row>
    <row r="9" spans="2:7" ht="25.5" customHeight="1">
      <c r="B9" s="2284"/>
      <c r="C9" s="2285" t="s">
        <v>6</v>
      </c>
      <c r="D9" s="2275"/>
      <c r="E9" s="2276"/>
      <c r="F9" s="2277"/>
      <c r="G9" s="2286" t="s">
        <v>10</v>
      </c>
    </row>
    <row r="10" spans="2:7" ht="27" customHeight="1">
      <c r="B10" s="663" t="s">
        <v>7</v>
      </c>
      <c r="C10" s="664" t="s">
        <v>8</v>
      </c>
      <c r="D10" s="2481" t="s">
        <v>867</v>
      </c>
      <c r="E10" s="2481"/>
      <c r="F10" s="2482"/>
      <c r="G10" s="663" t="s">
        <v>2268</v>
      </c>
    </row>
    <row r="11" spans="2:7" ht="27" customHeight="1">
      <c r="B11" s="1540"/>
      <c r="C11" s="664" t="s">
        <v>2013</v>
      </c>
      <c r="D11" s="1536"/>
      <c r="E11" s="1536"/>
      <c r="F11" s="1537"/>
      <c r="G11" s="1541"/>
    </row>
    <row r="12" spans="2:7" ht="27" customHeight="1">
      <c r="B12" s="665" t="s">
        <v>11</v>
      </c>
      <c r="C12" s="666" t="s">
        <v>2014</v>
      </c>
      <c r="D12" s="667"/>
      <c r="E12" s="668"/>
      <c r="F12" s="669"/>
      <c r="G12" s="1556">
        <f>Tišina_VTK!G20</f>
        <v>0</v>
      </c>
    </row>
    <row r="13" spans="2:7" ht="27" customHeight="1">
      <c r="B13" s="665" t="s">
        <v>13</v>
      </c>
      <c r="C13" s="666" t="s">
        <v>2015</v>
      </c>
      <c r="D13" s="667"/>
      <c r="E13" s="668"/>
      <c r="F13" s="669"/>
      <c r="G13" s="1556">
        <f>Tišina_ČRP_KRAJNA!G20</f>
        <v>0</v>
      </c>
    </row>
    <row r="14" spans="2:7" ht="27" customHeight="1">
      <c r="B14" s="1540"/>
      <c r="C14" s="2486" t="s">
        <v>2026</v>
      </c>
      <c r="D14" s="2487"/>
      <c r="E14" s="2487"/>
      <c r="F14" s="2488"/>
      <c r="G14" s="1557">
        <f>SUM(G12:G13)</f>
        <v>0</v>
      </c>
    </row>
    <row r="15" spans="2:7" ht="27" customHeight="1">
      <c r="B15" s="1540"/>
      <c r="C15" s="664" t="s">
        <v>2011</v>
      </c>
      <c r="D15" s="1536"/>
      <c r="E15" s="1536"/>
      <c r="F15" s="1537"/>
      <c r="G15" s="2279"/>
    </row>
    <row r="16" spans="2:7" ht="27" customHeight="1">
      <c r="B16" s="665" t="s">
        <v>11</v>
      </c>
      <c r="C16" s="666" t="s">
        <v>2041</v>
      </c>
      <c r="D16" s="667"/>
      <c r="E16" s="668"/>
      <c r="F16" s="669"/>
      <c r="G16" s="1556">
        <f>Tišina_MČ_V1!G20+Tišina_MČ_V2!G18+Tišina_MČ_V3!G20+Tišina_MČ_V4!G18+Tišina_MČ_V5!G20</f>
        <v>0</v>
      </c>
    </row>
    <row r="17" spans="2:7" ht="27" customHeight="1">
      <c r="B17" s="665" t="s">
        <v>13</v>
      </c>
      <c r="C17" s="2483" t="s">
        <v>2016</v>
      </c>
      <c r="D17" s="2484"/>
      <c r="E17" s="2484"/>
      <c r="F17" s="2485"/>
      <c r="G17" s="1556">
        <f>'Tišina_GR-TR_V0'!G20+Tišina_GR_V1!G20+Tišina_GR_V2!G18+Tišina_GR_V3!G20+'Tišina_GR_TR-regionalka'!G19+Tišina_TR_V4!G20+Tišina_TR_V5!G18</f>
        <v>0</v>
      </c>
    </row>
    <row r="18" spans="2:7" ht="27" customHeight="1">
      <c r="B18" s="665" t="s">
        <v>15</v>
      </c>
      <c r="C18" s="666" t="s">
        <v>2017</v>
      </c>
      <c r="D18" s="667"/>
      <c r="E18" s="668"/>
      <c r="F18" s="669"/>
      <c r="G18" s="1556">
        <f>Tišina_TI_V1!G18+Tišina_TI_V2!G18+Tišina_TI_V3!G20+Tišina_TI_V4!G20</f>
        <v>0</v>
      </c>
    </row>
    <row r="19" spans="2:7" ht="27" customHeight="1">
      <c r="B19" s="665" t="s">
        <v>17</v>
      </c>
      <c r="C19" s="2483" t="s">
        <v>2018</v>
      </c>
      <c r="D19" s="2484"/>
      <c r="E19" s="2484"/>
      <c r="F19" s="2485"/>
      <c r="G19" s="1556">
        <f>Tišina_PET_V1!G20+Tišina_PET_V2!G20+Tišina_PET_V3!G18+Tišina_PET_V4!G20+Tišina_PET_V5!G18</f>
        <v>0</v>
      </c>
    </row>
    <row r="20" spans="2:7" ht="27" customHeight="1">
      <c r="B20" s="665" t="s">
        <v>19</v>
      </c>
      <c r="C20" s="666" t="s">
        <v>2019</v>
      </c>
      <c r="D20" s="667"/>
      <c r="E20" s="668"/>
      <c r="F20" s="669"/>
      <c r="G20" s="1556">
        <f>Tišina_MP_V1!G20</f>
        <v>0</v>
      </c>
    </row>
    <row r="21" spans="2:7" ht="27" customHeight="1">
      <c r="B21" s="665" t="s">
        <v>21</v>
      </c>
      <c r="C21" s="666" t="s">
        <v>2020</v>
      </c>
      <c r="D21" s="667"/>
      <c r="E21" s="668"/>
      <c r="F21" s="669"/>
      <c r="G21" s="1556">
        <f>Tišina_SO_V1!G20+Tišina_SO_V2!G20+Tišina_SO_V3!G20</f>
        <v>0</v>
      </c>
    </row>
    <row r="22" spans="2:7" ht="27" customHeight="1">
      <c r="B22" s="665" t="s">
        <v>23</v>
      </c>
      <c r="C22" s="666" t="s">
        <v>2021</v>
      </c>
      <c r="D22" s="667"/>
      <c r="E22" s="668"/>
      <c r="F22" s="669"/>
      <c r="G22" s="1556">
        <f>Tišina_GED_V1!G20+Tišina_GED_V3!G20</f>
        <v>0</v>
      </c>
    </row>
    <row r="23" spans="2:7" ht="27" customHeight="1">
      <c r="B23" s="665" t="s">
        <v>25</v>
      </c>
      <c r="C23" s="666" t="s">
        <v>2022</v>
      </c>
      <c r="D23" s="667"/>
      <c r="E23" s="668"/>
      <c r="F23" s="669"/>
      <c r="G23" s="1556">
        <f>Tišina_RA_V1!G20+Tišina_RA_V2!G20</f>
        <v>0</v>
      </c>
    </row>
    <row r="24" spans="2:7" ht="27" customHeight="1">
      <c r="B24" s="665" t="s">
        <v>864</v>
      </c>
      <c r="C24" s="2483" t="s">
        <v>2023</v>
      </c>
      <c r="D24" s="2484"/>
      <c r="E24" s="2484"/>
      <c r="F24" s="2485"/>
      <c r="G24" s="1556">
        <f>'Tišina_BO-VAN_V1'!G20+'Tišina_BO-VAN_V2'!G20+'Tišina_BO-VAN_V3'!G20</f>
        <v>0</v>
      </c>
    </row>
    <row r="25" spans="2:7" ht="27" customHeight="1">
      <c r="B25" s="1540"/>
      <c r="C25" s="2486" t="s">
        <v>2027</v>
      </c>
      <c r="D25" s="2487"/>
      <c r="E25" s="2487"/>
      <c r="F25" s="2488"/>
      <c r="G25" s="1557">
        <f>SUM(G16:G24)</f>
        <v>0</v>
      </c>
    </row>
    <row r="26" spans="2:7" ht="27" customHeight="1">
      <c r="B26" s="2280"/>
      <c r="C26" s="2274" t="s">
        <v>27</v>
      </c>
      <c r="D26" s="2281"/>
      <c r="E26" s="2281"/>
      <c r="F26" s="2282"/>
      <c r="G26" s="2278">
        <f>+G25+G14</f>
        <v>0</v>
      </c>
    </row>
  </sheetData>
  <mergeCells count="6">
    <mergeCell ref="D10:F10"/>
    <mergeCell ref="C17:F17"/>
    <mergeCell ref="C19:F19"/>
    <mergeCell ref="C24:F24"/>
    <mergeCell ref="C25:F25"/>
    <mergeCell ref="C14:F14"/>
  </mergeCells>
  <phoneticPr fontId="131" type="noConversion"/>
  <conditionalFormatting sqref="G1:H9 G27:H1048576 G15:H15 H12:H14 H16:H26 G11:H11 H10">
    <cfRule type="duplicateValues" dxfId="0" priority="2"/>
  </conditionalFormatting>
  <pageMargins left="0.7" right="0.7" top="0.75" bottom="0.75" header="0.3" footer="0.3"/>
  <pageSetup paperSize="9" scale="9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B64DF-D45B-4F36-B1AB-A847F8BC3B78}">
  <sheetPr>
    <tabColor rgb="FF00B0F0"/>
  </sheetPr>
  <dimension ref="A2:S193"/>
  <sheetViews>
    <sheetView showZeros="0" topLeftCell="B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47" width="10.42578125" style="1"/>
    <col min="248" max="248" width="7.42578125" style="1" customWidth="1"/>
    <col min="249" max="249" width="37.42578125" style="1" customWidth="1"/>
    <col min="250" max="250" width="10.42578125" style="1"/>
    <col min="251" max="251" width="9.28515625" style="1" customWidth="1"/>
    <col min="252" max="253" width="12.140625" style="1" customWidth="1"/>
    <col min="254" max="254" width="16" style="1" customWidth="1"/>
    <col min="255" max="255" width="26.28515625" style="1" customWidth="1"/>
    <col min="256" max="503" width="10.42578125" style="1"/>
    <col min="504" max="504" width="7.42578125" style="1" customWidth="1"/>
    <col min="505" max="505" width="37.42578125" style="1" customWidth="1"/>
    <col min="506" max="506" width="10.42578125" style="1"/>
    <col min="507" max="507" width="9.28515625" style="1" customWidth="1"/>
    <col min="508" max="509" width="12.140625" style="1" customWidth="1"/>
    <col min="510" max="510" width="16" style="1" customWidth="1"/>
    <col min="511" max="511" width="26.28515625" style="1" customWidth="1"/>
    <col min="512" max="759" width="10.42578125" style="1"/>
    <col min="760" max="760" width="7.42578125" style="1" customWidth="1"/>
    <col min="761" max="761" width="37.42578125" style="1" customWidth="1"/>
    <col min="762" max="762" width="10.42578125" style="1"/>
    <col min="763" max="763" width="9.28515625" style="1" customWidth="1"/>
    <col min="764" max="765" width="12.140625" style="1" customWidth="1"/>
    <col min="766" max="766" width="16" style="1" customWidth="1"/>
    <col min="767" max="767" width="26.28515625" style="1" customWidth="1"/>
    <col min="768" max="1015" width="10.42578125" style="1"/>
    <col min="1016" max="1016" width="7.42578125" style="1" customWidth="1"/>
    <col min="1017" max="1017" width="37.42578125" style="1" customWidth="1"/>
    <col min="1018" max="1018" width="10.42578125" style="1"/>
    <col min="1019" max="1019" width="9.28515625" style="1" customWidth="1"/>
    <col min="1020" max="1021" width="12.140625" style="1" customWidth="1"/>
    <col min="1022" max="1022" width="16" style="1" customWidth="1"/>
    <col min="1023" max="1023" width="26.28515625" style="1" customWidth="1"/>
    <col min="1024" max="1271" width="10.42578125" style="1"/>
    <col min="1272" max="1272" width="7.42578125" style="1" customWidth="1"/>
    <col min="1273" max="1273" width="37.42578125" style="1" customWidth="1"/>
    <col min="1274" max="1274" width="10.42578125" style="1"/>
    <col min="1275" max="1275" width="9.28515625" style="1" customWidth="1"/>
    <col min="1276" max="1277" width="12.140625" style="1" customWidth="1"/>
    <col min="1278" max="1278" width="16" style="1" customWidth="1"/>
    <col min="1279" max="1279" width="26.28515625" style="1" customWidth="1"/>
    <col min="1280" max="1527" width="10.42578125" style="1"/>
    <col min="1528" max="1528" width="7.42578125" style="1" customWidth="1"/>
    <col min="1529" max="1529" width="37.42578125" style="1" customWidth="1"/>
    <col min="1530" max="1530" width="10.42578125" style="1"/>
    <col min="1531" max="1531" width="9.28515625" style="1" customWidth="1"/>
    <col min="1532" max="1533" width="12.140625" style="1" customWidth="1"/>
    <col min="1534" max="1534" width="16" style="1" customWidth="1"/>
    <col min="1535" max="1535" width="26.28515625" style="1" customWidth="1"/>
    <col min="1536" max="1783" width="10.42578125" style="1"/>
    <col min="1784" max="1784" width="7.42578125" style="1" customWidth="1"/>
    <col min="1785" max="1785" width="37.42578125" style="1" customWidth="1"/>
    <col min="1786" max="1786" width="10.42578125" style="1"/>
    <col min="1787" max="1787" width="9.28515625" style="1" customWidth="1"/>
    <col min="1788" max="1789" width="12.140625" style="1" customWidth="1"/>
    <col min="1790" max="1790" width="16" style="1" customWidth="1"/>
    <col min="1791" max="1791" width="26.28515625" style="1" customWidth="1"/>
    <col min="1792" max="2039" width="10.42578125" style="1"/>
    <col min="2040" max="2040" width="7.42578125" style="1" customWidth="1"/>
    <col min="2041" max="2041" width="37.42578125" style="1" customWidth="1"/>
    <col min="2042" max="2042" width="10.42578125" style="1"/>
    <col min="2043" max="2043" width="9.28515625" style="1" customWidth="1"/>
    <col min="2044" max="2045" width="12.140625" style="1" customWidth="1"/>
    <col min="2046" max="2046" width="16" style="1" customWidth="1"/>
    <col min="2047" max="2047" width="26.28515625" style="1" customWidth="1"/>
    <col min="2048" max="2295" width="10.42578125" style="1"/>
    <col min="2296" max="2296" width="7.42578125" style="1" customWidth="1"/>
    <col min="2297" max="2297" width="37.42578125" style="1" customWidth="1"/>
    <col min="2298" max="2298" width="10.42578125" style="1"/>
    <col min="2299" max="2299" width="9.28515625" style="1" customWidth="1"/>
    <col min="2300" max="2301" width="12.140625" style="1" customWidth="1"/>
    <col min="2302" max="2302" width="16" style="1" customWidth="1"/>
    <col min="2303" max="2303" width="26.28515625" style="1" customWidth="1"/>
    <col min="2304" max="2551" width="10.42578125" style="1"/>
    <col min="2552" max="2552" width="7.42578125" style="1" customWidth="1"/>
    <col min="2553" max="2553" width="37.42578125" style="1" customWidth="1"/>
    <col min="2554" max="2554" width="10.42578125" style="1"/>
    <col min="2555" max="2555" width="9.28515625" style="1" customWidth="1"/>
    <col min="2556" max="2557" width="12.140625" style="1" customWidth="1"/>
    <col min="2558" max="2558" width="16" style="1" customWidth="1"/>
    <col min="2559" max="2559" width="26.28515625" style="1" customWidth="1"/>
    <col min="2560" max="2807" width="10.42578125" style="1"/>
    <col min="2808" max="2808" width="7.42578125" style="1" customWidth="1"/>
    <col min="2809" max="2809" width="37.42578125" style="1" customWidth="1"/>
    <col min="2810" max="2810" width="10.42578125" style="1"/>
    <col min="2811" max="2811" width="9.28515625" style="1" customWidth="1"/>
    <col min="2812" max="2813" width="12.140625" style="1" customWidth="1"/>
    <col min="2814" max="2814" width="16" style="1" customWidth="1"/>
    <col min="2815" max="2815" width="26.28515625" style="1" customWidth="1"/>
    <col min="2816" max="3063" width="10.42578125" style="1"/>
    <col min="3064" max="3064" width="7.42578125" style="1" customWidth="1"/>
    <col min="3065" max="3065" width="37.42578125" style="1" customWidth="1"/>
    <col min="3066" max="3066" width="10.42578125" style="1"/>
    <col min="3067" max="3067" width="9.28515625" style="1" customWidth="1"/>
    <col min="3068" max="3069" width="12.140625" style="1" customWidth="1"/>
    <col min="3070" max="3070" width="16" style="1" customWidth="1"/>
    <col min="3071" max="3071" width="26.28515625" style="1" customWidth="1"/>
    <col min="3072" max="3319" width="10.42578125" style="1"/>
    <col min="3320" max="3320" width="7.42578125" style="1" customWidth="1"/>
    <col min="3321" max="3321" width="37.42578125" style="1" customWidth="1"/>
    <col min="3322" max="3322" width="10.42578125" style="1"/>
    <col min="3323" max="3323" width="9.28515625" style="1" customWidth="1"/>
    <col min="3324" max="3325" width="12.140625" style="1" customWidth="1"/>
    <col min="3326" max="3326" width="16" style="1" customWidth="1"/>
    <col min="3327" max="3327" width="26.28515625" style="1" customWidth="1"/>
    <col min="3328" max="3575" width="10.42578125" style="1"/>
    <col min="3576" max="3576" width="7.42578125" style="1" customWidth="1"/>
    <col min="3577" max="3577" width="37.42578125" style="1" customWidth="1"/>
    <col min="3578" max="3578" width="10.42578125" style="1"/>
    <col min="3579" max="3579" width="9.28515625" style="1" customWidth="1"/>
    <col min="3580" max="3581" width="12.140625" style="1" customWidth="1"/>
    <col min="3582" max="3582" width="16" style="1" customWidth="1"/>
    <col min="3583" max="3583" width="26.28515625" style="1" customWidth="1"/>
    <col min="3584" max="3831" width="10.42578125" style="1"/>
    <col min="3832" max="3832" width="7.42578125" style="1" customWidth="1"/>
    <col min="3833" max="3833" width="37.42578125" style="1" customWidth="1"/>
    <col min="3834" max="3834" width="10.42578125" style="1"/>
    <col min="3835" max="3835" width="9.28515625" style="1" customWidth="1"/>
    <col min="3836" max="3837" width="12.140625" style="1" customWidth="1"/>
    <col min="3838" max="3838" width="16" style="1" customWidth="1"/>
    <col min="3839" max="3839" width="26.28515625" style="1" customWidth="1"/>
    <col min="3840" max="4087" width="10.42578125" style="1"/>
    <col min="4088" max="4088" width="7.42578125" style="1" customWidth="1"/>
    <col min="4089" max="4089" width="37.42578125" style="1" customWidth="1"/>
    <col min="4090" max="4090" width="10.42578125" style="1"/>
    <col min="4091" max="4091" width="9.28515625" style="1" customWidth="1"/>
    <col min="4092" max="4093" width="12.140625" style="1" customWidth="1"/>
    <col min="4094" max="4094" width="16" style="1" customWidth="1"/>
    <col min="4095" max="4095" width="26.28515625" style="1" customWidth="1"/>
    <col min="4096" max="4343" width="10.42578125" style="1"/>
    <col min="4344" max="4344" width="7.42578125" style="1" customWidth="1"/>
    <col min="4345" max="4345" width="37.42578125" style="1" customWidth="1"/>
    <col min="4346" max="4346" width="10.42578125" style="1"/>
    <col min="4347" max="4347" width="9.28515625" style="1" customWidth="1"/>
    <col min="4348" max="4349" width="12.140625" style="1" customWidth="1"/>
    <col min="4350" max="4350" width="16" style="1" customWidth="1"/>
    <col min="4351" max="4351" width="26.28515625" style="1" customWidth="1"/>
    <col min="4352" max="4599" width="10.42578125" style="1"/>
    <col min="4600" max="4600" width="7.42578125" style="1" customWidth="1"/>
    <col min="4601" max="4601" width="37.42578125" style="1" customWidth="1"/>
    <col min="4602" max="4602" width="10.42578125" style="1"/>
    <col min="4603" max="4603" width="9.28515625" style="1" customWidth="1"/>
    <col min="4604" max="4605" width="12.140625" style="1" customWidth="1"/>
    <col min="4606" max="4606" width="16" style="1" customWidth="1"/>
    <col min="4607" max="4607" width="26.28515625" style="1" customWidth="1"/>
    <col min="4608" max="4855" width="10.42578125" style="1"/>
    <col min="4856" max="4856" width="7.42578125" style="1" customWidth="1"/>
    <col min="4857" max="4857" width="37.42578125" style="1" customWidth="1"/>
    <col min="4858" max="4858" width="10.42578125" style="1"/>
    <col min="4859" max="4859" width="9.28515625" style="1" customWidth="1"/>
    <col min="4860" max="4861" width="12.140625" style="1" customWidth="1"/>
    <col min="4862" max="4862" width="16" style="1" customWidth="1"/>
    <col min="4863" max="4863" width="26.28515625" style="1" customWidth="1"/>
    <col min="4864" max="5111" width="10.42578125" style="1"/>
    <col min="5112" max="5112" width="7.42578125" style="1" customWidth="1"/>
    <col min="5113" max="5113" width="37.42578125" style="1" customWidth="1"/>
    <col min="5114" max="5114" width="10.42578125" style="1"/>
    <col min="5115" max="5115" width="9.28515625" style="1" customWidth="1"/>
    <col min="5116" max="5117" width="12.140625" style="1" customWidth="1"/>
    <col min="5118" max="5118" width="16" style="1" customWidth="1"/>
    <col min="5119" max="5119" width="26.28515625" style="1" customWidth="1"/>
    <col min="5120" max="5367" width="10.42578125" style="1"/>
    <col min="5368" max="5368" width="7.42578125" style="1" customWidth="1"/>
    <col min="5369" max="5369" width="37.42578125" style="1" customWidth="1"/>
    <col min="5370" max="5370" width="10.42578125" style="1"/>
    <col min="5371" max="5371" width="9.28515625" style="1" customWidth="1"/>
    <col min="5372" max="5373" width="12.140625" style="1" customWidth="1"/>
    <col min="5374" max="5374" width="16" style="1" customWidth="1"/>
    <col min="5375" max="5375" width="26.28515625" style="1" customWidth="1"/>
    <col min="5376" max="5623" width="10.42578125" style="1"/>
    <col min="5624" max="5624" width="7.42578125" style="1" customWidth="1"/>
    <col min="5625" max="5625" width="37.42578125" style="1" customWidth="1"/>
    <col min="5626" max="5626" width="10.42578125" style="1"/>
    <col min="5627" max="5627" width="9.28515625" style="1" customWidth="1"/>
    <col min="5628" max="5629" width="12.140625" style="1" customWidth="1"/>
    <col min="5630" max="5630" width="16" style="1" customWidth="1"/>
    <col min="5631" max="5631" width="26.28515625" style="1" customWidth="1"/>
    <col min="5632" max="5879" width="10.42578125" style="1"/>
    <col min="5880" max="5880" width="7.42578125" style="1" customWidth="1"/>
    <col min="5881" max="5881" width="37.42578125" style="1" customWidth="1"/>
    <col min="5882" max="5882" width="10.42578125" style="1"/>
    <col min="5883" max="5883" width="9.28515625" style="1" customWidth="1"/>
    <col min="5884" max="5885" width="12.140625" style="1" customWidth="1"/>
    <col min="5886" max="5886" width="16" style="1" customWidth="1"/>
    <col min="5887" max="5887" width="26.28515625" style="1" customWidth="1"/>
    <col min="5888" max="6135" width="10.42578125" style="1"/>
    <col min="6136" max="6136" width="7.42578125" style="1" customWidth="1"/>
    <col min="6137" max="6137" width="37.42578125" style="1" customWidth="1"/>
    <col min="6138" max="6138" width="10.42578125" style="1"/>
    <col min="6139" max="6139" width="9.28515625" style="1" customWidth="1"/>
    <col min="6140" max="6141" width="12.140625" style="1" customWidth="1"/>
    <col min="6142" max="6142" width="16" style="1" customWidth="1"/>
    <col min="6143" max="6143" width="26.28515625" style="1" customWidth="1"/>
    <col min="6144" max="6391" width="10.42578125" style="1"/>
    <col min="6392" max="6392" width="7.42578125" style="1" customWidth="1"/>
    <col min="6393" max="6393" width="37.42578125" style="1" customWidth="1"/>
    <col min="6394" max="6394" width="10.42578125" style="1"/>
    <col min="6395" max="6395" width="9.28515625" style="1" customWidth="1"/>
    <col min="6396" max="6397" width="12.140625" style="1" customWidth="1"/>
    <col min="6398" max="6398" width="16" style="1" customWidth="1"/>
    <col min="6399" max="6399" width="26.28515625" style="1" customWidth="1"/>
    <col min="6400" max="6647" width="10.42578125" style="1"/>
    <col min="6648" max="6648" width="7.42578125" style="1" customWidth="1"/>
    <col min="6649" max="6649" width="37.42578125" style="1" customWidth="1"/>
    <col min="6650" max="6650" width="10.42578125" style="1"/>
    <col min="6651" max="6651" width="9.28515625" style="1" customWidth="1"/>
    <col min="6652" max="6653" width="12.140625" style="1" customWidth="1"/>
    <col min="6654" max="6654" width="16" style="1" customWidth="1"/>
    <col min="6655" max="6655" width="26.28515625" style="1" customWidth="1"/>
    <col min="6656" max="6903" width="10.42578125" style="1"/>
    <col min="6904" max="6904" width="7.42578125" style="1" customWidth="1"/>
    <col min="6905" max="6905" width="37.42578125" style="1" customWidth="1"/>
    <col min="6906" max="6906" width="10.42578125" style="1"/>
    <col min="6907" max="6907" width="9.28515625" style="1" customWidth="1"/>
    <col min="6908" max="6909" width="12.140625" style="1" customWidth="1"/>
    <col min="6910" max="6910" width="16" style="1" customWidth="1"/>
    <col min="6911" max="6911" width="26.28515625" style="1" customWidth="1"/>
    <col min="6912" max="7159" width="10.42578125" style="1"/>
    <col min="7160" max="7160" width="7.42578125" style="1" customWidth="1"/>
    <col min="7161" max="7161" width="37.42578125" style="1" customWidth="1"/>
    <col min="7162" max="7162" width="10.42578125" style="1"/>
    <col min="7163" max="7163" width="9.28515625" style="1" customWidth="1"/>
    <col min="7164" max="7165" width="12.140625" style="1" customWidth="1"/>
    <col min="7166" max="7166" width="16" style="1" customWidth="1"/>
    <col min="7167" max="7167" width="26.28515625" style="1" customWidth="1"/>
    <col min="7168" max="7415" width="10.42578125" style="1"/>
    <col min="7416" max="7416" width="7.42578125" style="1" customWidth="1"/>
    <col min="7417" max="7417" width="37.42578125" style="1" customWidth="1"/>
    <col min="7418" max="7418" width="10.42578125" style="1"/>
    <col min="7419" max="7419" width="9.28515625" style="1" customWidth="1"/>
    <col min="7420" max="7421" width="12.140625" style="1" customWidth="1"/>
    <col min="7422" max="7422" width="16" style="1" customWidth="1"/>
    <col min="7423" max="7423" width="26.28515625" style="1" customWidth="1"/>
    <col min="7424" max="7671" width="10.42578125" style="1"/>
    <col min="7672" max="7672" width="7.42578125" style="1" customWidth="1"/>
    <col min="7673" max="7673" width="37.42578125" style="1" customWidth="1"/>
    <col min="7674" max="7674" width="10.42578125" style="1"/>
    <col min="7675" max="7675" width="9.28515625" style="1" customWidth="1"/>
    <col min="7676" max="7677" width="12.140625" style="1" customWidth="1"/>
    <col min="7678" max="7678" width="16" style="1" customWidth="1"/>
    <col min="7679" max="7679" width="26.28515625" style="1" customWidth="1"/>
    <col min="7680" max="7927" width="10.42578125" style="1"/>
    <col min="7928" max="7928" width="7.42578125" style="1" customWidth="1"/>
    <col min="7929" max="7929" width="37.42578125" style="1" customWidth="1"/>
    <col min="7930" max="7930" width="10.42578125" style="1"/>
    <col min="7931" max="7931" width="9.28515625" style="1" customWidth="1"/>
    <col min="7932" max="7933" width="12.140625" style="1" customWidth="1"/>
    <col min="7934" max="7934" width="16" style="1" customWidth="1"/>
    <col min="7935" max="7935" width="26.28515625" style="1" customWidth="1"/>
    <col min="7936" max="8183" width="10.42578125" style="1"/>
    <col min="8184" max="8184" width="7.42578125" style="1" customWidth="1"/>
    <col min="8185" max="8185" width="37.42578125" style="1" customWidth="1"/>
    <col min="8186" max="8186" width="10.42578125" style="1"/>
    <col min="8187" max="8187" width="9.28515625" style="1" customWidth="1"/>
    <col min="8188" max="8189" width="12.140625" style="1" customWidth="1"/>
    <col min="8190" max="8190" width="16" style="1" customWidth="1"/>
    <col min="8191" max="8191" width="26.28515625" style="1" customWidth="1"/>
    <col min="8192" max="8439" width="10.42578125" style="1"/>
    <col min="8440" max="8440" width="7.42578125" style="1" customWidth="1"/>
    <col min="8441" max="8441" width="37.42578125" style="1" customWidth="1"/>
    <col min="8442" max="8442" width="10.42578125" style="1"/>
    <col min="8443" max="8443" width="9.28515625" style="1" customWidth="1"/>
    <col min="8444" max="8445" width="12.140625" style="1" customWidth="1"/>
    <col min="8446" max="8446" width="16" style="1" customWidth="1"/>
    <col min="8447" max="8447" width="26.28515625" style="1" customWidth="1"/>
    <col min="8448" max="8695" width="10.42578125" style="1"/>
    <col min="8696" max="8696" width="7.42578125" style="1" customWidth="1"/>
    <col min="8697" max="8697" width="37.42578125" style="1" customWidth="1"/>
    <col min="8698" max="8698" width="10.42578125" style="1"/>
    <col min="8699" max="8699" width="9.28515625" style="1" customWidth="1"/>
    <col min="8700" max="8701" width="12.140625" style="1" customWidth="1"/>
    <col min="8702" max="8702" width="16" style="1" customWidth="1"/>
    <col min="8703" max="8703" width="26.28515625" style="1" customWidth="1"/>
    <col min="8704" max="8951" width="10.42578125" style="1"/>
    <col min="8952" max="8952" width="7.42578125" style="1" customWidth="1"/>
    <col min="8953" max="8953" width="37.42578125" style="1" customWidth="1"/>
    <col min="8954" max="8954" width="10.42578125" style="1"/>
    <col min="8955" max="8955" width="9.28515625" style="1" customWidth="1"/>
    <col min="8956" max="8957" width="12.140625" style="1" customWidth="1"/>
    <col min="8958" max="8958" width="16" style="1" customWidth="1"/>
    <col min="8959" max="8959" width="26.28515625" style="1" customWidth="1"/>
    <col min="8960" max="9207" width="10.42578125" style="1"/>
    <col min="9208" max="9208" width="7.42578125" style="1" customWidth="1"/>
    <col min="9209" max="9209" width="37.42578125" style="1" customWidth="1"/>
    <col min="9210" max="9210" width="10.42578125" style="1"/>
    <col min="9211" max="9211" width="9.28515625" style="1" customWidth="1"/>
    <col min="9212" max="9213" width="12.140625" style="1" customWidth="1"/>
    <col min="9214" max="9214" width="16" style="1" customWidth="1"/>
    <col min="9215" max="9215" width="26.28515625" style="1" customWidth="1"/>
    <col min="9216" max="9463" width="10.42578125" style="1"/>
    <col min="9464" max="9464" width="7.42578125" style="1" customWidth="1"/>
    <col min="9465" max="9465" width="37.42578125" style="1" customWidth="1"/>
    <col min="9466" max="9466" width="10.42578125" style="1"/>
    <col min="9467" max="9467" width="9.28515625" style="1" customWidth="1"/>
    <col min="9468" max="9469" width="12.140625" style="1" customWidth="1"/>
    <col min="9470" max="9470" width="16" style="1" customWidth="1"/>
    <col min="9471" max="9471" width="26.28515625" style="1" customWidth="1"/>
    <col min="9472" max="9719" width="10.42578125" style="1"/>
    <col min="9720" max="9720" width="7.42578125" style="1" customWidth="1"/>
    <col min="9721" max="9721" width="37.42578125" style="1" customWidth="1"/>
    <col min="9722" max="9722" width="10.42578125" style="1"/>
    <col min="9723" max="9723" width="9.28515625" style="1" customWidth="1"/>
    <col min="9724" max="9725" width="12.140625" style="1" customWidth="1"/>
    <col min="9726" max="9726" width="16" style="1" customWidth="1"/>
    <col min="9727" max="9727" width="26.28515625" style="1" customWidth="1"/>
    <col min="9728" max="9975" width="10.42578125" style="1"/>
    <col min="9976" max="9976" width="7.42578125" style="1" customWidth="1"/>
    <col min="9977" max="9977" width="37.42578125" style="1" customWidth="1"/>
    <col min="9978" max="9978" width="10.42578125" style="1"/>
    <col min="9979" max="9979" width="9.28515625" style="1" customWidth="1"/>
    <col min="9980" max="9981" width="12.140625" style="1" customWidth="1"/>
    <col min="9982" max="9982" width="16" style="1" customWidth="1"/>
    <col min="9983" max="9983" width="26.28515625" style="1" customWidth="1"/>
    <col min="9984" max="10231" width="10.42578125" style="1"/>
    <col min="10232" max="10232" width="7.42578125" style="1" customWidth="1"/>
    <col min="10233" max="10233" width="37.42578125" style="1" customWidth="1"/>
    <col min="10234" max="10234" width="10.42578125" style="1"/>
    <col min="10235" max="10235" width="9.28515625" style="1" customWidth="1"/>
    <col min="10236" max="10237" width="12.140625" style="1" customWidth="1"/>
    <col min="10238" max="10238" width="16" style="1" customWidth="1"/>
    <col min="10239" max="10239" width="26.28515625" style="1" customWidth="1"/>
    <col min="10240" max="10487" width="10.42578125" style="1"/>
    <col min="10488" max="10488" width="7.42578125" style="1" customWidth="1"/>
    <col min="10489" max="10489" width="37.42578125" style="1" customWidth="1"/>
    <col min="10490" max="10490" width="10.42578125" style="1"/>
    <col min="10491" max="10491" width="9.28515625" style="1" customWidth="1"/>
    <col min="10492" max="10493" width="12.140625" style="1" customWidth="1"/>
    <col min="10494" max="10494" width="16" style="1" customWidth="1"/>
    <col min="10495" max="10495" width="26.28515625" style="1" customWidth="1"/>
    <col min="10496" max="10743" width="10.42578125" style="1"/>
    <col min="10744" max="10744" width="7.42578125" style="1" customWidth="1"/>
    <col min="10745" max="10745" width="37.42578125" style="1" customWidth="1"/>
    <col min="10746" max="10746" width="10.42578125" style="1"/>
    <col min="10747" max="10747" width="9.28515625" style="1" customWidth="1"/>
    <col min="10748" max="10749" width="12.140625" style="1" customWidth="1"/>
    <col min="10750" max="10750" width="16" style="1" customWidth="1"/>
    <col min="10751" max="10751" width="26.28515625" style="1" customWidth="1"/>
    <col min="10752" max="10999" width="10.42578125" style="1"/>
    <col min="11000" max="11000" width="7.42578125" style="1" customWidth="1"/>
    <col min="11001" max="11001" width="37.42578125" style="1" customWidth="1"/>
    <col min="11002" max="11002" width="10.42578125" style="1"/>
    <col min="11003" max="11003" width="9.28515625" style="1" customWidth="1"/>
    <col min="11004" max="11005" width="12.140625" style="1" customWidth="1"/>
    <col min="11006" max="11006" width="16" style="1" customWidth="1"/>
    <col min="11007" max="11007" width="26.28515625" style="1" customWidth="1"/>
    <col min="11008" max="11255" width="10.42578125" style="1"/>
    <col min="11256" max="11256" width="7.42578125" style="1" customWidth="1"/>
    <col min="11257" max="11257" width="37.42578125" style="1" customWidth="1"/>
    <col min="11258" max="11258" width="10.42578125" style="1"/>
    <col min="11259" max="11259" width="9.28515625" style="1" customWidth="1"/>
    <col min="11260" max="11261" width="12.140625" style="1" customWidth="1"/>
    <col min="11262" max="11262" width="16" style="1" customWidth="1"/>
    <col min="11263" max="11263" width="26.28515625" style="1" customWidth="1"/>
    <col min="11264" max="11511" width="10.42578125" style="1"/>
    <col min="11512" max="11512" width="7.42578125" style="1" customWidth="1"/>
    <col min="11513" max="11513" width="37.42578125" style="1" customWidth="1"/>
    <col min="11514" max="11514" width="10.42578125" style="1"/>
    <col min="11515" max="11515" width="9.28515625" style="1" customWidth="1"/>
    <col min="11516" max="11517" width="12.140625" style="1" customWidth="1"/>
    <col min="11518" max="11518" width="16" style="1" customWidth="1"/>
    <col min="11519" max="11519" width="26.28515625" style="1" customWidth="1"/>
    <col min="11520" max="11767" width="10.42578125" style="1"/>
    <col min="11768" max="11768" width="7.42578125" style="1" customWidth="1"/>
    <col min="11769" max="11769" width="37.42578125" style="1" customWidth="1"/>
    <col min="11770" max="11770" width="10.42578125" style="1"/>
    <col min="11771" max="11771" width="9.28515625" style="1" customWidth="1"/>
    <col min="11772" max="11773" width="12.140625" style="1" customWidth="1"/>
    <col min="11774" max="11774" width="16" style="1" customWidth="1"/>
    <col min="11775" max="11775" width="26.28515625" style="1" customWidth="1"/>
    <col min="11776" max="12023" width="10.42578125" style="1"/>
    <col min="12024" max="12024" width="7.42578125" style="1" customWidth="1"/>
    <col min="12025" max="12025" width="37.42578125" style="1" customWidth="1"/>
    <col min="12026" max="12026" width="10.42578125" style="1"/>
    <col min="12027" max="12027" width="9.28515625" style="1" customWidth="1"/>
    <col min="12028" max="12029" width="12.140625" style="1" customWidth="1"/>
    <col min="12030" max="12030" width="16" style="1" customWidth="1"/>
    <col min="12031" max="12031" width="26.28515625" style="1" customWidth="1"/>
    <col min="12032" max="12279" width="10.42578125" style="1"/>
    <col min="12280" max="12280" width="7.42578125" style="1" customWidth="1"/>
    <col min="12281" max="12281" width="37.42578125" style="1" customWidth="1"/>
    <col min="12282" max="12282" width="10.42578125" style="1"/>
    <col min="12283" max="12283" width="9.28515625" style="1" customWidth="1"/>
    <col min="12284" max="12285" width="12.140625" style="1" customWidth="1"/>
    <col min="12286" max="12286" width="16" style="1" customWidth="1"/>
    <col min="12287" max="12287" width="26.28515625" style="1" customWidth="1"/>
    <col min="12288" max="12535" width="10.42578125" style="1"/>
    <col min="12536" max="12536" width="7.42578125" style="1" customWidth="1"/>
    <col min="12537" max="12537" width="37.42578125" style="1" customWidth="1"/>
    <col min="12538" max="12538" width="10.42578125" style="1"/>
    <col min="12539" max="12539" width="9.28515625" style="1" customWidth="1"/>
    <col min="12540" max="12541" width="12.140625" style="1" customWidth="1"/>
    <col min="12542" max="12542" width="16" style="1" customWidth="1"/>
    <col min="12543" max="12543" width="26.28515625" style="1" customWidth="1"/>
    <col min="12544" max="12791" width="10.42578125" style="1"/>
    <col min="12792" max="12792" width="7.42578125" style="1" customWidth="1"/>
    <col min="12793" max="12793" width="37.42578125" style="1" customWidth="1"/>
    <col min="12794" max="12794" width="10.42578125" style="1"/>
    <col min="12795" max="12795" width="9.28515625" style="1" customWidth="1"/>
    <col min="12796" max="12797" width="12.140625" style="1" customWidth="1"/>
    <col min="12798" max="12798" width="16" style="1" customWidth="1"/>
    <col min="12799" max="12799" width="26.28515625" style="1" customWidth="1"/>
    <col min="12800" max="13047" width="10.42578125" style="1"/>
    <col min="13048" max="13048" width="7.42578125" style="1" customWidth="1"/>
    <col min="13049" max="13049" width="37.42578125" style="1" customWidth="1"/>
    <col min="13050" max="13050" width="10.42578125" style="1"/>
    <col min="13051" max="13051" width="9.28515625" style="1" customWidth="1"/>
    <col min="13052" max="13053" width="12.140625" style="1" customWidth="1"/>
    <col min="13054" max="13054" width="16" style="1" customWidth="1"/>
    <col min="13055" max="13055" width="26.28515625" style="1" customWidth="1"/>
    <col min="13056" max="13303" width="10.42578125" style="1"/>
    <col min="13304" max="13304" width="7.42578125" style="1" customWidth="1"/>
    <col min="13305" max="13305" width="37.42578125" style="1" customWidth="1"/>
    <col min="13306" max="13306" width="10.42578125" style="1"/>
    <col min="13307" max="13307" width="9.28515625" style="1" customWidth="1"/>
    <col min="13308" max="13309" width="12.140625" style="1" customWidth="1"/>
    <col min="13310" max="13310" width="16" style="1" customWidth="1"/>
    <col min="13311" max="13311" width="26.28515625" style="1" customWidth="1"/>
    <col min="13312" max="13559" width="10.42578125" style="1"/>
    <col min="13560" max="13560" width="7.42578125" style="1" customWidth="1"/>
    <col min="13561" max="13561" width="37.42578125" style="1" customWidth="1"/>
    <col min="13562" max="13562" width="10.42578125" style="1"/>
    <col min="13563" max="13563" width="9.28515625" style="1" customWidth="1"/>
    <col min="13564" max="13565" width="12.140625" style="1" customWidth="1"/>
    <col min="13566" max="13566" width="16" style="1" customWidth="1"/>
    <col min="13567" max="13567" width="26.28515625" style="1" customWidth="1"/>
    <col min="13568" max="13815" width="10.42578125" style="1"/>
    <col min="13816" max="13816" width="7.42578125" style="1" customWidth="1"/>
    <col min="13817" max="13817" width="37.42578125" style="1" customWidth="1"/>
    <col min="13818" max="13818" width="10.42578125" style="1"/>
    <col min="13819" max="13819" width="9.28515625" style="1" customWidth="1"/>
    <col min="13820" max="13821" width="12.140625" style="1" customWidth="1"/>
    <col min="13822" max="13822" width="16" style="1" customWidth="1"/>
    <col min="13823" max="13823" width="26.28515625" style="1" customWidth="1"/>
    <col min="13824" max="14071" width="10.42578125" style="1"/>
    <col min="14072" max="14072" width="7.42578125" style="1" customWidth="1"/>
    <col min="14073" max="14073" width="37.42578125" style="1" customWidth="1"/>
    <col min="14074" max="14074" width="10.42578125" style="1"/>
    <col min="14075" max="14075" width="9.28515625" style="1" customWidth="1"/>
    <col min="14076" max="14077" width="12.140625" style="1" customWidth="1"/>
    <col min="14078" max="14078" width="16" style="1" customWidth="1"/>
    <col min="14079" max="14079" width="26.28515625" style="1" customWidth="1"/>
    <col min="14080" max="14327" width="10.42578125" style="1"/>
    <col min="14328" max="14328" width="7.42578125" style="1" customWidth="1"/>
    <col min="14329" max="14329" width="37.42578125" style="1" customWidth="1"/>
    <col min="14330" max="14330" width="10.42578125" style="1"/>
    <col min="14331" max="14331" width="9.28515625" style="1" customWidth="1"/>
    <col min="14332" max="14333" width="12.140625" style="1" customWidth="1"/>
    <col min="14334" max="14334" width="16" style="1" customWidth="1"/>
    <col min="14335" max="14335" width="26.28515625" style="1" customWidth="1"/>
    <col min="14336" max="14583" width="10.42578125" style="1"/>
    <col min="14584" max="14584" width="7.42578125" style="1" customWidth="1"/>
    <col min="14585" max="14585" width="37.42578125" style="1" customWidth="1"/>
    <col min="14586" max="14586" width="10.42578125" style="1"/>
    <col min="14587" max="14587" width="9.28515625" style="1" customWidth="1"/>
    <col min="14588" max="14589" width="12.140625" style="1" customWidth="1"/>
    <col min="14590" max="14590" width="16" style="1" customWidth="1"/>
    <col min="14591" max="14591" width="26.28515625" style="1" customWidth="1"/>
    <col min="14592" max="14839" width="10.42578125" style="1"/>
    <col min="14840" max="14840" width="7.42578125" style="1" customWidth="1"/>
    <col min="14841" max="14841" width="37.42578125" style="1" customWidth="1"/>
    <col min="14842" max="14842" width="10.42578125" style="1"/>
    <col min="14843" max="14843" width="9.28515625" style="1" customWidth="1"/>
    <col min="14844" max="14845" width="12.140625" style="1" customWidth="1"/>
    <col min="14846" max="14846" width="16" style="1" customWidth="1"/>
    <col min="14847" max="14847" width="26.28515625" style="1" customWidth="1"/>
    <col min="14848" max="15095" width="10.42578125" style="1"/>
    <col min="15096" max="15096" width="7.42578125" style="1" customWidth="1"/>
    <col min="15097" max="15097" width="37.42578125" style="1" customWidth="1"/>
    <col min="15098" max="15098" width="10.42578125" style="1"/>
    <col min="15099" max="15099" width="9.28515625" style="1" customWidth="1"/>
    <col min="15100" max="15101" width="12.140625" style="1" customWidth="1"/>
    <col min="15102" max="15102" width="16" style="1" customWidth="1"/>
    <col min="15103" max="15103" width="26.28515625" style="1" customWidth="1"/>
    <col min="15104" max="15351" width="10.42578125" style="1"/>
    <col min="15352" max="15352" width="7.42578125" style="1" customWidth="1"/>
    <col min="15353" max="15353" width="37.42578125" style="1" customWidth="1"/>
    <col min="15354" max="15354" width="10.42578125" style="1"/>
    <col min="15355" max="15355" width="9.28515625" style="1" customWidth="1"/>
    <col min="15356" max="15357" width="12.140625" style="1" customWidth="1"/>
    <col min="15358" max="15358" width="16" style="1" customWidth="1"/>
    <col min="15359" max="15359" width="26.28515625" style="1" customWidth="1"/>
    <col min="15360" max="15607" width="10.42578125" style="1"/>
    <col min="15608" max="15608" width="7.42578125" style="1" customWidth="1"/>
    <col min="15609" max="15609" width="37.42578125" style="1" customWidth="1"/>
    <col min="15610" max="15610" width="10.42578125" style="1"/>
    <col min="15611" max="15611" width="9.28515625" style="1" customWidth="1"/>
    <col min="15612" max="15613" width="12.140625" style="1" customWidth="1"/>
    <col min="15614" max="15614" width="16" style="1" customWidth="1"/>
    <col min="15615" max="15615" width="26.28515625" style="1" customWidth="1"/>
    <col min="15616" max="15863" width="10.42578125" style="1"/>
    <col min="15864" max="15864" width="7.42578125" style="1" customWidth="1"/>
    <col min="15865" max="15865" width="37.42578125" style="1" customWidth="1"/>
    <col min="15866" max="15866" width="10.42578125" style="1"/>
    <col min="15867" max="15867" width="9.28515625" style="1" customWidth="1"/>
    <col min="15868" max="15869" width="12.140625" style="1" customWidth="1"/>
    <col min="15870" max="15870" width="16" style="1" customWidth="1"/>
    <col min="15871" max="15871" width="26.28515625" style="1" customWidth="1"/>
    <col min="15872" max="16119" width="10.42578125" style="1"/>
    <col min="16120" max="16120" width="7.42578125" style="1" customWidth="1"/>
    <col min="16121" max="16121" width="37.42578125" style="1" customWidth="1"/>
    <col min="16122" max="16122" width="10.42578125" style="1"/>
    <col min="16123" max="16123" width="9.28515625" style="1" customWidth="1"/>
    <col min="16124" max="16125" width="12.140625" style="1" customWidth="1"/>
    <col min="16126" max="16126" width="16" style="1" customWidth="1"/>
    <col min="16127" max="16127" width="26.28515625" style="1" customWidth="1"/>
    <col min="16128" max="16384" width="10.42578125" style="1"/>
  </cols>
  <sheetData>
    <row r="2" spans="1:19" ht="16.149999999999999" customHeight="1">
      <c r="B2" s="2"/>
      <c r="C2" s="72" t="s">
        <v>0</v>
      </c>
      <c r="D2" s="4"/>
      <c r="E2" s="5"/>
      <c r="F2" s="671"/>
      <c r="G2" s="672" t="s">
        <v>1</v>
      </c>
    </row>
    <row r="4" spans="1:19" s="73" customFormat="1" ht="15">
      <c r="B4" s="74" t="s">
        <v>35</v>
      </c>
      <c r="C4" s="673" t="s">
        <v>867</v>
      </c>
      <c r="D4" s="76"/>
      <c r="E4" s="77"/>
      <c r="F4" s="674"/>
      <c r="G4" s="79"/>
      <c r="H4" s="37"/>
    </row>
    <row r="5" spans="1:19" s="73" customFormat="1" ht="12" customHeight="1">
      <c r="B5" s="80"/>
      <c r="C5" s="81"/>
      <c r="D5" s="82"/>
      <c r="E5" s="83"/>
      <c r="F5" s="675"/>
      <c r="G5" s="85"/>
      <c r="H5" s="37"/>
    </row>
    <row r="6" spans="1:19" s="86" customFormat="1" ht="21" customHeight="1">
      <c r="B6" s="676" t="s">
        <v>37</v>
      </c>
      <c r="C6" s="677" t="s">
        <v>868</v>
      </c>
      <c r="D6" s="678"/>
      <c r="E6" s="679"/>
      <c r="F6" s="680"/>
      <c r="G6" s="681"/>
      <c r="H6" s="27"/>
      <c r="I6" s="87"/>
    </row>
    <row r="7" spans="1:19" s="86" customFormat="1" ht="21" customHeight="1">
      <c r="B7" s="80"/>
      <c r="C7" s="81"/>
      <c r="D7" s="82"/>
      <c r="E7" s="83"/>
      <c r="F7" s="675"/>
      <c r="G7" s="88"/>
      <c r="H7" s="27"/>
      <c r="I7" s="87"/>
    </row>
    <row r="8" spans="1:19" s="86" customFormat="1" ht="14.25">
      <c r="B8" s="682" t="s">
        <v>551</v>
      </c>
      <c r="C8" s="683" t="s">
        <v>869</v>
      </c>
      <c r="D8" s="684"/>
      <c r="E8" s="685"/>
      <c r="F8" s="686"/>
      <c r="G8" s="687"/>
      <c r="H8" s="27"/>
      <c r="I8" s="87"/>
    </row>
    <row r="9" spans="1:19" s="86" customFormat="1" ht="14.25">
      <c r="B9" s="80"/>
      <c r="C9" s="81"/>
      <c r="D9" s="82"/>
      <c r="E9" s="83"/>
      <c r="F9" s="675"/>
      <c r="G9" s="88"/>
      <c r="H9" s="27"/>
      <c r="I9" s="87"/>
    </row>
    <row r="10" spans="1:19" s="14" customFormat="1" ht="18" customHeight="1">
      <c r="A10" s="9"/>
      <c r="B10" s="10" t="s">
        <v>38</v>
      </c>
      <c r="C10" s="11"/>
      <c r="D10" s="13"/>
      <c r="E10" s="12"/>
      <c r="F10" s="688"/>
      <c r="G10" s="13"/>
    </row>
    <row r="11" spans="1:19" s="14" customFormat="1" ht="18" customHeight="1">
      <c r="A11" s="15"/>
      <c r="B11" s="16" t="s">
        <v>39</v>
      </c>
      <c r="C11" s="17"/>
      <c r="D11" s="18"/>
      <c r="E11" s="19"/>
      <c r="F11" s="689"/>
      <c r="G11" s="18"/>
    </row>
    <row r="12" spans="1:19" s="14" customFormat="1" ht="18" customHeight="1">
      <c r="A12" s="9"/>
      <c r="B12" s="10" t="s">
        <v>4</v>
      </c>
      <c r="C12" s="11"/>
      <c r="D12" s="12"/>
      <c r="E12" s="12"/>
      <c r="F12" s="688"/>
      <c r="G12" s="13"/>
    </row>
    <row r="13" spans="1:19" s="14" customFormat="1" ht="18" customHeight="1">
      <c r="A13" s="15"/>
      <c r="B13" s="16" t="s">
        <v>5</v>
      </c>
      <c r="C13" s="17"/>
      <c r="D13" s="19"/>
      <c r="E13" s="19"/>
      <c r="F13" s="689"/>
      <c r="G13" s="18"/>
    </row>
    <row r="14" spans="1:19" s="86" customFormat="1" ht="14.25">
      <c r="B14" s="89"/>
      <c r="C14" s="90"/>
      <c r="D14" s="91"/>
      <c r="E14" s="92"/>
      <c r="F14" s="690"/>
      <c r="G14" s="94"/>
      <c r="H14" s="27"/>
      <c r="I14" s="87"/>
    </row>
    <row r="15" spans="1:19" s="86" customFormat="1" ht="18.75" customHeight="1">
      <c r="B15" s="95"/>
      <c r="C15" s="96" t="s">
        <v>40</v>
      </c>
      <c r="D15" s="97"/>
      <c r="E15" s="98"/>
      <c r="F15" s="691"/>
      <c r="G15" s="100"/>
      <c r="H15" s="27"/>
      <c r="I15" s="87"/>
    </row>
    <row r="16" spans="1:19" s="101" customFormat="1" ht="18.75" customHeight="1">
      <c r="B16" s="95" t="s">
        <v>41</v>
      </c>
      <c r="C16" s="96" t="s">
        <v>42</v>
      </c>
      <c r="D16" s="103"/>
      <c r="E16" s="104"/>
      <c r="F16" s="692"/>
      <c r="G16" s="106" t="s">
        <v>10</v>
      </c>
      <c r="H16" s="37"/>
      <c r="I16" s="73"/>
      <c r="J16" s="73"/>
      <c r="K16" s="73"/>
      <c r="L16" s="73"/>
      <c r="M16" s="73"/>
      <c r="N16" s="73"/>
      <c r="O16" s="73"/>
      <c r="P16" s="73"/>
      <c r="Q16" s="73"/>
      <c r="R16" s="73"/>
      <c r="S16" s="73"/>
    </row>
    <row r="17" spans="2:19" s="101" customFormat="1" ht="18.75" customHeight="1">
      <c r="B17" s="693" t="s">
        <v>43</v>
      </c>
      <c r="C17" s="694" t="s">
        <v>44</v>
      </c>
      <c r="D17" s="109"/>
      <c r="E17" s="110"/>
      <c r="F17" s="695"/>
      <c r="G17" s="1408">
        <f>G39</f>
        <v>0</v>
      </c>
      <c r="H17" s="37"/>
      <c r="I17" s="73"/>
      <c r="J17" s="73"/>
      <c r="K17" s="73"/>
      <c r="L17" s="73"/>
      <c r="M17" s="73"/>
      <c r="N17" s="73"/>
      <c r="O17" s="73"/>
      <c r="P17" s="73"/>
      <c r="Q17" s="73"/>
      <c r="R17" s="73"/>
      <c r="S17" s="73"/>
    </row>
    <row r="18" spans="2:19" s="101" customFormat="1" ht="18.75" customHeight="1">
      <c r="B18" s="693" t="s">
        <v>45</v>
      </c>
      <c r="C18" s="694" t="s">
        <v>46</v>
      </c>
      <c r="D18" s="109"/>
      <c r="E18" s="110"/>
      <c r="F18" s="695"/>
      <c r="G18" s="1408">
        <f>G83</f>
        <v>0</v>
      </c>
      <c r="H18" s="37"/>
      <c r="I18" s="73"/>
      <c r="J18" s="73"/>
      <c r="K18" s="73"/>
      <c r="L18" s="73"/>
      <c r="M18" s="73"/>
      <c r="N18" s="73"/>
      <c r="O18" s="73"/>
      <c r="P18" s="73"/>
      <c r="Q18" s="73"/>
      <c r="R18" s="73"/>
      <c r="S18" s="73"/>
    </row>
    <row r="19" spans="2:19" s="101" customFormat="1" ht="18.75" customHeight="1">
      <c r="B19" s="693" t="s">
        <v>47</v>
      </c>
      <c r="C19" s="694" t="s">
        <v>48</v>
      </c>
      <c r="D19" s="109"/>
      <c r="E19" s="110"/>
      <c r="F19" s="695"/>
      <c r="G19" s="1408">
        <f>G193</f>
        <v>0</v>
      </c>
      <c r="H19" s="37"/>
      <c r="I19" s="73"/>
      <c r="J19" s="73"/>
      <c r="K19" s="73"/>
      <c r="L19" s="73"/>
      <c r="M19" s="73"/>
      <c r="N19" s="73"/>
      <c r="O19" s="73"/>
      <c r="P19" s="73"/>
      <c r="Q19" s="73"/>
      <c r="R19" s="73"/>
      <c r="S19" s="73"/>
    </row>
    <row r="20" spans="2:19" s="101" customFormat="1" ht="18.75" customHeight="1">
      <c r="B20" s="2314"/>
      <c r="C20" s="2315" t="s">
        <v>49</v>
      </c>
      <c r="D20" s="2316"/>
      <c r="E20" s="2317"/>
      <c r="F20" s="2318"/>
      <c r="G20" s="2308">
        <f>SUM(G17:G19)</f>
        <v>0</v>
      </c>
      <c r="H20" s="37"/>
      <c r="I20" s="73"/>
      <c r="J20" s="73"/>
      <c r="K20" s="73"/>
      <c r="L20" s="73"/>
      <c r="M20" s="73"/>
      <c r="N20" s="73"/>
      <c r="O20" s="73"/>
      <c r="P20" s="73"/>
      <c r="Q20" s="73"/>
      <c r="R20" s="73"/>
      <c r="S20" s="73"/>
    </row>
    <row r="21" spans="2:19">
      <c r="B21" s="61"/>
      <c r="C21" s="62"/>
      <c r="D21" s="63"/>
      <c r="E21" s="64"/>
      <c r="F21" s="701"/>
    </row>
    <row r="22" spans="2:19">
      <c r="G22" s="118"/>
    </row>
    <row r="23" spans="2:19" ht="24">
      <c r="B23" s="1202" t="s">
        <v>41</v>
      </c>
      <c r="C23" s="1203" t="s">
        <v>51</v>
      </c>
      <c r="D23" s="2263" t="s">
        <v>52</v>
      </c>
      <c r="E23" s="1204" t="s">
        <v>53</v>
      </c>
      <c r="F23" s="2319" t="s">
        <v>54</v>
      </c>
      <c r="G23" s="1206" t="s">
        <v>55</v>
      </c>
    </row>
    <row r="24" spans="2:19">
      <c r="B24" s="125"/>
      <c r="C24" s="126"/>
      <c r="D24" s="127"/>
      <c r="E24" s="128"/>
      <c r="F24" s="708"/>
      <c r="G24" s="130"/>
    </row>
    <row r="25" spans="2:19" s="138" customFormat="1" ht="20.25">
      <c r="B25" s="131" t="s">
        <v>43</v>
      </c>
      <c r="C25" s="132" t="s">
        <v>44</v>
      </c>
      <c r="D25" s="133"/>
      <c r="E25" s="134"/>
      <c r="F25" s="709"/>
      <c r="G25" s="136"/>
      <c r="H25" s="137"/>
    </row>
    <row r="26" spans="2:19" ht="27.75" customHeight="1">
      <c r="B26" s="125">
        <v>1</v>
      </c>
      <c r="C26" s="139" t="s">
        <v>56</v>
      </c>
      <c r="D26" s="140" t="s">
        <v>57</v>
      </c>
      <c r="E26" s="128">
        <v>8564</v>
      </c>
      <c r="F26" s="1591">
        <v>0</v>
      </c>
      <c r="G26" s="1592">
        <f t="shared" ref="G26" si="0">E26*F26</f>
        <v>0</v>
      </c>
    </row>
    <row r="27" spans="2:19">
      <c r="B27" s="125">
        <v>2</v>
      </c>
      <c r="C27" s="139" t="s">
        <v>58</v>
      </c>
      <c r="D27" s="140" t="s">
        <v>57</v>
      </c>
      <c r="E27" s="128">
        <f>E26</f>
        <v>8564</v>
      </c>
      <c r="F27" s="1591">
        <v>0</v>
      </c>
      <c r="G27" s="1592">
        <f>E27*F27</f>
        <v>0</v>
      </c>
    </row>
    <row r="28" spans="2:19" ht="53.25" customHeight="1">
      <c r="B28" s="125">
        <v>3</v>
      </c>
      <c r="C28" s="139" t="s">
        <v>245</v>
      </c>
      <c r="D28" s="140" t="s">
        <v>60</v>
      </c>
      <c r="E28" s="128">
        <v>1</v>
      </c>
      <c r="F28" s="1591">
        <v>0</v>
      </c>
      <c r="G28" s="1592">
        <f t="shared" ref="G28:G38" si="1">E28*F28</f>
        <v>0</v>
      </c>
      <c r="H28" s="143"/>
    </row>
    <row r="29" spans="2:19" ht="127.5" customHeight="1">
      <c r="B29" s="125">
        <v>4</v>
      </c>
      <c r="C29" s="144" t="s">
        <v>61</v>
      </c>
      <c r="D29" s="145" t="s">
        <v>60</v>
      </c>
      <c r="E29" s="128">
        <v>1</v>
      </c>
      <c r="F29" s="1591">
        <v>0</v>
      </c>
      <c r="G29" s="1592">
        <f t="shared" si="1"/>
        <v>0</v>
      </c>
    </row>
    <row r="30" spans="2:19" ht="30.75" customHeight="1">
      <c r="B30" s="125">
        <v>5</v>
      </c>
      <c r="C30" s="144" t="s">
        <v>870</v>
      </c>
      <c r="D30" s="146" t="s">
        <v>60</v>
      </c>
      <c r="E30" s="128">
        <v>3</v>
      </c>
      <c r="F30" s="1591">
        <v>0</v>
      </c>
      <c r="G30" s="1592">
        <f t="shared" si="1"/>
        <v>0</v>
      </c>
    </row>
    <row r="31" spans="2:19" ht="27" customHeight="1">
      <c r="B31" s="125">
        <v>6</v>
      </c>
      <c r="C31" s="147" t="s">
        <v>63</v>
      </c>
      <c r="D31" s="146" t="s">
        <v>60</v>
      </c>
      <c r="E31" s="128">
        <v>8564</v>
      </c>
      <c r="F31" s="1591">
        <v>0</v>
      </c>
      <c r="G31" s="1592">
        <f t="shared" si="1"/>
        <v>0</v>
      </c>
    </row>
    <row r="32" spans="2:19" ht="52.5" customHeight="1">
      <c r="B32" s="125">
        <v>7</v>
      </c>
      <c r="C32" s="147" t="s">
        <v>64</v>
      </c>
      <c r="D32" s="146" t="s">
        <v>60</v>
      </c>
      <c r="E32" s="128">
        <v>1</v>
      </c>
      <c r="F32" s="1591">
        <v>0</v>
      </c>
      <c r="G32" s="1592">
        <f t="shared" si="1"/>
        <v>0</v>
      </c>
    </row>
    <row r="33" spans="2:9" ht="55.5" customHeight="1">
      <c r="B33" s="125">
        <v>8</v>
      </c>
      <c r="C33" s="1080" t="s">
        <v>2292</v>
      </c>
      <c r="D33" s="146" t="s">
        <v>66</v>
      </c>
      <c r="E33" s="712">
        <v>146</v>
      </c>
      <c r="F33" s="1591">
        <v>0</v>
      </c>
      <c r="G33" s="1592">
        <f t="shared" si="1"/>
        <v>0</v>
      </c>
    </row>
    <row r="34" spans="2:9" ht="37.5" customHeight="1">
      <c r="B34" s="125">
        <v>9</v>
      </c>
      <c r="C34" s="1080" t="s">
        <v>2294</v>
      </c>
      <c r="D34" s="146" t="s">
        <v>57</v>
      </c>
      <c r="E34" s="128">
        <f>E26+E103+E104</f>
        <v>9220</v>
      </c>
      <c r="F34" s="1591">
        <v>0</v>
      </c>
      <c r="G34" s="1592">
        <f t="shared" si="1"/>
        <v>0</v>
      </c>
      <c r="H34" s="143"/>
    </row>
    <row r="35" spans="2:9" ht="27.75" customHeight="1">
      <c r="B35" s="125">
        <v>10</v>
      </c>
      <c r="C35" s="1080" t="s">
        <v>2293</v>
      </c>
      <c r="D35" s="146" t="s">
        <v>60</v>
      </c>
      <c r="E35" s="128">
        <f>E26+E103+E104</f>
        <v>9220</v>
      </c>
      <c r="F35" s="1591">
        <v>0</v>
      </c>
      <c r="G35" s="1592">
        <f t="shared" si="1"/>
        <v>0</v>
      </c>
    </row>
    <row r="36" spans="2:9" ht="14.25" customHeight="1">
      <c r="B36" s="125">
        <v>11</v>
      </c>
      <c r="C36" s="147" t="s">
        <v>67</v>
      </c>
      <c r="D36" s="146" t="s">
        <v>60</v>
      </c>
      <c r="E36" s="128">
        <v>1</v>
      </c>
      <c r="F36" s="1591">
        <v>0</v>
      </c>
      <c r="G36" s="1592">
        <f t="shared" si="1"/>
        <v>0</v>
      </c>
    </row>
    <row r="37" spans="2:9" ht="38.25" customHeight="1">
      <c r="B37" s="125">
        <v>12</v>
      </c>
      <c r="C37" s="148" t="s">
        <v>68</v>
      </c>
      <c r="D37" s="146" t="s">
        <v>60</v>
      </c>
      <c r="E37" s="149">
        <v>1</v>
      </c>
      <c r="F37" s="1591">
        <v>0</v>
      </c>
      <c r="G37" s="1592">
        <f t="shared" si="1"/>
        <v>0</v>
      </c>
    </row>
    <row r="38" spans="2:9" ht="39.75" customHeight="1">
      <c r="B38" s="125">
        <v>13</v>
      </c>
      <c r="C38" s="150" t="s">
        <v>69</v>
      </c>
      <c r="D38" s="146" t="s">
        <v>60</v>
      </c>
      <c r="E38" s="149">
        <v>1</v>
      </c>
      <c r="F38" s="1591">
        <v>0</v>
      </c>
      <c r="G38" s="1592">
        <f t="shared" si="1"/>
        <v>0</v>
      </c>
      <c r="H38" s="143"/>
    </row>
    <row r="39" spans="2:9" ht="23.25" customHeight="1">
      <c r="B39" s="713" t="s">
        <v>43</v>
      </c>
      <c r="C39" s="153" t="s">
        <v>70</v>
      </c>
      <c r="D39" s="153"/>
      <c r="E39" s="154"/>
      <c r="F39" s="1593"/>
      <c r="G39" s="1594">
        <f>SUM(G26:G38)</f>
        <v>0</v>
      </c>
    </row>
    <row r="40" spans="2:9">
      <c r="B40" s="125"/>
      <c r="C40" s="126"/>
      <c r="D40" s="127"/>
      <c r="E40" s="128"/>
      <c r="F40" s="708"/>
      <c r="G40" s="130"/>
    </row>
    <row r="41" spans="2:9" ht="24">
      <c r="B41" s="702" t="s">
        <v>41</v>
      </c>
      <c r="C41" s="703" t="s">
        <v>51</v>
      </c>
      <c r="D41" s="704" t="s">
        <v>52</v>
      </c>
      <c r="E41" s="705" t="s">
        <v>53</v>
      </c>
      <c r="F41" s="706" t="s">
        <v>54</v>
      </c>
      <c r="G41" s="707" t="s">
        <v>55</v>
      </c>
    </row>
    <row r="42" spans="2:9">
      <c r="B42" s="125"/>
      <c r="C42" s="163"/>
      <c r="D42" s="140"/>
      <c r="E42" s="128"/>
      <c r="F42" s="708"/>
      <c r="G42" s="130"/>
    </row>
    <row r="43" spans="2:9" s="138" customFormat="1" ht="40.5">
      <c r="B43" s="131" t="s">
        <v>45</v>
      </c>
      <c r="C43" s="164" t="s">
        <v>871</v>
      </c>
      <c r="D43" s="165"/>
      <c r="E43" s="134"/>
      <c r="F43" s="709"/>
      <c r="G43" s="136"/>
      <c r="H43" s="137"/>
    </row>
    <row r="44" spans="2:9" s="166" customFormat="1" ht="68.25" customHeight="1">
      <c r="B44" s="2399" t="s">
        <v>72</v>
      </c>
      <c r="C44" s="2400"/>
      <c r="D44" s="2400"/>
      <c r="E44" s="2400"/>
      <c r="F44" s="2400"/>
      <c r="G44" s="2401"/>
      <c r="H44" s="8"/>
    </row>
    <row r="45" spans="2:9" ht="27.75" customHeight="1">
      <c r="B45" s="167">
        <v>1</v>
      </c>
      <c r="C45" s="139" t="s">
        <v>73</v>
      </c>
      <c r="D45" s="140" t="s">
        <v>74</v>
      </c>
      <c r="E45" s="128">
        <f>4111*0.2*1.2</f>
        <v>986.64</v>
      </c>
      <c r="F45" s="1591">
        <v>0</v>
      </c>
      <c r="G45" s="1591">
        <f t="shared" ref="G45:G82" si="2">E45*F45</f>
        <v>0</v>
      </c>
    </row>
    <row r="46" spans="2:9" ht="36">
      <c r="B46" s="167">
        <v>2</v>
      </c>
      <c r="C46" s="139" t="s">
        <v>75</v>
      </c>
      <c r="D46" s="145" t="s">
        <v>74</v>
      </c>
      <c r="E46" s="128">
        <f>(E26-2700)*1.5*1.2*0.15</f>
        <v>1583.2799999999997</v>
      </c>
      <c r="F46" s="1591">
        <v>0</v>
      </c>
      <c r="G46" s="1591">
        <f t="shared" si="2"/>
        <v>0</v>
      </c>
      <c r="I46" s="270"/>
    </row>
    <row r="47" spans="2:9" ht="42" customHeight="1">
      <c r="B47" s="715" t="s">
        <v>115</v>
      </c>
      <c r="C47" s="139" t="s">
        <v>872</v>
      </c>
      <c r="D47" s="145" t="s">
        <v>74</v>
      </c>
      <c r="E47" s="128">
        <f>2700*1.5*1.2*0.4</f>
        <v>1944</v>
      </c>
      <c r="F47" s="1591">
        <v>0</v>
      </c>
      <c r="G47" s="1591">
        <f t="shared" si="2"/>
        <v>0</v>
      </c>
      <c r="I47" s="270"/>
    </row>
    <row r="48" spans="2:9" ht="39.75" customHeight="1">
      <c r="B48" s="167">
        <v>3</v>
      </c>
      <c r="C48" s="139" t="s">
        <v>76</v>
      </c>
      <c r="D48" s="145" t="s">
        <v>74</v>
      </c>
      <c r="E48" s="128">
        <f>(E26-2700)*1.5*1.2*0.85</f>
        <v>8971.9199999999983</v>
      </c>
      <c r="F48" s="1591">
        <v>0</v>
      </c>
      <c r="G48" s="1591">
        <f t="shared" si="2"/>
        <v>0</v>
      </c>
    </row>
    <row r="49" spans="2:8" ht="39.75" customHeight="1">
      <c r="B49" s="715" t="s">
        <v>122</v>
      </c>
      <c r="C49" s="139" t="s">
        <v>873</v>
      </c>
      <c r="D49" s="145" t="s">
        <v>74</v>
      </c>
      <c r="E49" s="128">
        <f>2700*1.5*1.2*0.6</f>
        <v>2916</v>
      </c>
      <c r="F49" s="1591">
        <v>0</v>
      </c>
      <c r="G49" s="1591">
        <f t="shared" si="2"/>
        <v>0</v>
      </c>
    </row>
    <row r="50" spans="2:8" ht="29.25" customHeight="1">
      <c r="B50" s="167">
        <v>4</v>
      </c>
      <c r="C50" s="716" t="s">
        <v>77</v>
      </c>
      <c r="D50" s="169" t="s">
        <v>78</v>
      </c>
      <c r="E50" s="170">
        <f>E26*1.5</f>
        <v>12846</v>
      </c>
      <c r="F50" s="1591">
        <v>0</v>
      </c>
      <c r="G50" s="1591">
        <f t="shared" si="2"/>
        <v>0</v>
      </c>
    </row>
    <row r="51" spans="2:8" ht="29.25" customHeight="1">
      <c r="B51" s="167">
        <v>5</v>
      </c>
      <c r="C51" s="139" t="s">
        <v>79</v>
      </c>
      <c r="D51" s="145" t="s">
        <v>78</v>
      </c>
      <c r="E51" s="128">
        <f>E26</f>
        <v>8564</v>
      </c>
      <c r="F51" s="1591">
        <v>0</v>
      </c>
      <c r="G51" s="1591">
        <f t="shared" si="2"/>
        <v>0</v>
      </c>
    </row>
    <row r="52" spans="2:8" ht="30.75" customHeight="1">
      <c r="B52" s="717">
        <v>6</v>
      </c>
      <c r="C52" s="718" t="s">
        <v>80</v>
      </c>
      <c r="D52" s="145" t="s">
        <v>74</v>
      </c>
      <c r="E52" s="719"/>
      <c r="F52" s="1591">
        <v>0</v>
      </c>
      <c r="G52" s="1591">
        <f t="shared" si="2"/>
        <v>0</v>
      </c>
    </row>
    <row r="53" spans="2:8" ht="27" customHeight="1">
      <c r="B53" s="167">
        <v>7</v>
      </c>
      <c r="C53" s="139" t="s">
        <v>247</v>
      </c>
      <c r="D53" s="145" t="s">
        <v>74</v>
      </c>
      <c r="E53" s="128">
        <f>E26*1.2*1.1</f>
        <v>11304.48</v>
      </c>
      <c r="F53" s="1591">
        <v>0</v>
      </c>
      <c r="G53" s="1591">
        <f t="shared" si="2"/>
        <v>0</v>
      </c>
    </row>
    <row r="54" spans="2:8" ht="39" customHeight="1">
      <c r="B54" s="167">
        <v>8</v>
      </c>
      <c r="C54" s="144" t="s">
        <v>81</v>
      </c>
      <c r="D54" s="145" t="s">
        <v>74</v>
      </c>
      <c r="E54" s="719">
        <f>E26*1.2*1.5-E53-E52-E55</f>
        <v>951.20999999999913</v>
      </c>
      <c r="F54" s="1591">
        <v>0</v>
      </c>
      <c r="G54" s="1591">
        <f t="shared" si="2"/>
        <v>0</v>
      </c>
    </row>
    <row r="55" spans="2:8" ht="45" customHeight="1">
      <c r="B55" s="167">
        <v>9</v>
      </c>
      <c r="C55" s="397" t="s">
        <v>874</v>
      </c>
      <c r="D55" s="146" t="s">
        <v>74</v>
      </c>
      <c r="E55" s="128">
        <f>(4322-2700)*1.2*0.4+(1242*4*0.4)+75*(15*0.35)</f>
        <v>3159.51</v>
      </c>
      <c r="F55" s="1591">
        <v>0</v>
      </c>
      <c r="G55" s="1591">
        <f t="shared" si="2"/>
        <v>0</v>
      </c>
    </row>
    <row r="56" spans="2:8" ht="41.25" customHeight="1">
      <c r="B56" s="715" t="s">
        <v>865</v>
      </c>
      <c r="C56" s="397" t="s">
        <v>875</v>
      </c>
      <c r="D56" s="146" t="s">
        <v>74</v>
      </c>
      <c r="E56" s="128">
        <f>2700*1.2*0.25</f>
        <v>810</v>
      </c>
      <c r="F56" s="1591">
        <v>0</v>
      </c>
      <c r="G56" s="1591">
        <f t="shared" si="2"/>
        <v>0</v>
      </c>
    </row>
    <row r="57" spans="2:8" s="166" customFormat="1" ht="51" customHeight="1">
      <c r="B57" s="2406">
        <v>11</v>
      </c>
      <c r="C57" s="177" t="s">
        <v>83</v>
      </c>
      <c r="D57" s="146" t="s">
        <v>252</v>
      </c>
      <c r="E57" s="128">
        <v>30</v>
      </c>
      <c r="F57" s="1591">
        <v>0</v>
      </c>
      <c r="G57" s="1591">
        <f t="shared" si="2"/>
        <v>0</v>
      </c>
      <c r="H57" s="8"/>
    </row>
    <row r="58" spans="2:8" s="166" customFormat="1" ht="12.75" customHeight="1">
      <c r="B58" s="2417"/>
      <c r="C58" s="178" t="s">
        <v>84</v>
      </c>
      <c r="D58" s="140" t="s">
        <v>57</v>
      </c>
      <c r="E58" s="128">
        <v>23</v>
      </c>
      <c r="F58" s="1591">
        <v>0</v>
      </c>
      <c r="G58" s="1591"/>
      <c r="H58" s="8"/>
    </row>
    <row r="59" spans="2:8" s="179" customFormat="1" ht="12.75" customHeight="1">
      <c r="B59" s="2407"/>
      <c r="C59" s="178" t="s">
        <v>253</v>
      </c>
      <c r="D59" s="140" t="s">
        <v>57</v>
      </c>
      <c r="E59" s="128">
        <v>5</v>
      </c>
      <c r="F59" s="1591">
        <v>0</v>
      </c>
      <c r="G59" s="1591"/>
      <c r="H59" s="269"/>
    </row>
    <row r="60" spans="2:8" s="179" customFormat="1" ht="28.5" customHeight="1">
      <c r="B60" s="167">
        <v>12</v>
      </c>
      <c r="C60" s="139" t="s">
        <v>876</v>
      </c>
      <c r="D60" s="145" t="s">
        <v>57</v>
      </c>
      <c r="E60" s="128">
        <f>2.5+2.5+580</f>
        <v>585</v>
      </c>
      <c r="F60" s="1591">
        <v>0</v>
      </c>
      <c r="G60" s="1591">
        <f t="shared" si="2"/>
        <v>0</v>
      </c>
      <c r="H60" s="269"/>
    </row>
    <row r="61" spans="2:8" s="179" customFormat="1" ht="27" customHeight="1">
      <c r="B61" s="167">
        <v>13</v>
      </c>
      <c r="C61" s="139" t="s">
        <v>877</v>
      </c>
      <c r="D61" s="140" t="s">
        <v>78</v>
      </c>
      <c r="E61" s="128">
        <f>(2700*1.3)+(380*1.5)+(272*1.5)+(275*1.5)+(315*1.5)</f>
        <v>5373</v>
      </c>
      <c r="F61" s="1591">
        <v>0</v>
      </c>
      <c r="G61" s="1591">
        <f t="shared" si="2"/>
        <v>0</v>
      </c>
      <c r="H61" s="269"/>
    </row>
    <row r="62" spans="2:8" ht="25.5" customHeight="1">
      <c r="B62" s="167">
        <v>14</v>
      </c>
      <c r="C62" s="139" t="s">
        <v>878</v>
      </c>
      <c r="D62" s="140" t="s">
        <v>78</v>
      </c>
      <c r="E62" s="128">
        <f>1500*3</f>
        <v>4500</v>
      </c>
      <c r="F62" s="1591">
        <v>0</v>
      </c>
      <c r="G62" s="1591">
        <f t="shared" si="2"/>
        <v>0</v>
      </c>
      <c r="H62" s="143"/>
    </row>
    <row r="63" spans="2:8" ht="51.75" customHeight="1">
      <c r="B63" s="167">
        <v>15</v>
      </c>
      <c r="C63" s="397" t="s">
        <v>879</v>
      </c>
      <c r="D63" s="145" t="s">
        <v>78</v>
      </c>
      <c r="E63" s="128">
        <v>5</v>
      </c>
      <c r="F63" s="1591">
        <v>0</v>
      </c>
      <c r="G63" s="1591">
        <f t="shared" si="2"/>
        <v>0</v>
      </c>
      <c r="H63" s="143"/>
    </row>
    <row r="64" spans="2:8" ht="64.5" customHeight="1">
      <c r="B64" s="167">
        <v>16</v>
      </c>
      <c r="C64" s="144" t="s">
        <v>880</v>
      </c>
      <c r="D64" s="145" t="s">
        <v>78</v>
      </c>
      <c r="E64" s="128">
        <v>10</v>
      </c>
      <c r="F64" s="1591">
        <v>0</v>
      </c>
      <c r="G64" s="1591">
        <f t="shared" si="2"/>
        <v>0</v>
      </c>
      <c r="H64" s="143"/>
    </row>
    <row r="65" spans="2:8" ht="42" customHeight="1">
      <c r="B65" s="167">
        <v>17</v>
      </c>
      <c r="C65" s="139" t="s">
        <v>90</v>
      </c>
      <c r="D65" s="140" t="s">
        <v>78</v>
      </c>
      <c r="E65" s="128"/>
      <c r="F65" s="1591">
        <v>0</v>
      </c>
      <c r="G65" s="1591">
        <f t="shared" si="2"/>
        <v>0</v>
      </c>
      <c r="H65" s="143"/>
    </row>
    <row r="66" spans="2:8" ht="68.25" customHeight="1">
      <c r="B66" s="167">
        <v>18</v>
      </c>
      <c r="C66" s="139" t="s">
        <v>881</v>
      </c>
      <c r="D66" s="140" t="s">
        <v>78</v>
      </c>
      <c r="E66" s="128">
        <v>10</v>
      </c>
      <c r="F66" s="1591">
        <v>0</v>
      </c>
      <c r="G66" s="1591">
        <f t="shared" si="2"/>
        <v>0</v>
      </c>
      <c r="H66" s="143"/>
    </row>
    <row r="67" spans="2:8" ht="12.75" customHeight="1">
      <c r="B67" s="167">
        <v>19</v>
      </c>
      <c r="C67" s="139" t="s">
        <v>263</v>
      </c>
      <c r="D67" s="145" t="s">
        <v>74</v>
      </c>
      <c r="E67" s="128">
        <f>E45</f>
        <v>986.64</v>
      </c>
      <c r="F67" s="1591">
        <v>0</v>
      </c>
      <c r="G67" s="1591">
        <f t="shared" si="2"/>
        <v>0</v>
      </c>
      <c r="H67" s="143"/>
    </row>
    <row r="68" spans="2:8" ht="12.75" customHeight="1">
      <c r="B68" s="167">
        <v>20</v>
      </c>
      <c r="C68" s="139" t="s">
        <v>264</v>
      </c>
      <c r="D68" s="145" t="s">
        <v>74</v>
      </c>
      <c r="E68" s="128">
        <f>E46+E47+E48+E49-E53+(E61*0.06)+(E62*0.05)+(E65*0.03)</f>
        <v>4658.0999999999976</v>
      </c>
      <c r="F68" s="1591">
        <v>0</v>
      </c>
      <c r="G68" s="1591">
        <f t="shared" si="2"/>
        <v>0</v>
      </c>
      <c r="H68" s="143"/>
    </row>
    <row r="69" spans="2:8" ht="12.75" customHeight="1">
      <c r="B69" s="167">
        <v>21</v>
      </c>
      <c r="C69" s="139" t="s">
        <v>265</v>
      </c>
      <c r="D69" s="145" t="s">
        <v>74</v>
      </c>
      <c r="E69" s="128">
        <f>E68</f>
        <v>4658.0999999999976</v>
      </c>
      <c r="F69" s="1591">
        <v>0</v>
      </c>
      <c r="G69" s="1591">
        <f t="shared" si="2"/>
        <v>0</v>
      </c>
      <c r="H69" s="143"/>
    </row>
    <row r="70" spans="2:8" ht="26.25" customHeight="1">
      <c r="B70" s="167">
        <v>22</v>
      </c>
      <c r="C70" s="139" t="s">
        <v>95</v>
      </c>
      <c r="D70" s="140" t="s">
        <v>74</v>
      </c>
      <c r="E70" s="128">
        <f>(E26*0.75)</f>
        <v>6423</v>
      </c>
      <c r="F70" s="1591">
        <v>0</v>
      </c>
      <c r="G70" s="1591">
        <f t="shared" si="2"/>
        <v>0</v>
      </c>
    </row>
    <row r="71" spans="2:8" ht="50.25" customHeight="1">
      <c r="B71" s="2408">
        <v>23</v>
      </c>
      <c r="C71" s="722" t="s">
        <v>882</v>
      </c>
      <c r="D71" s="194" t="s">
        <v>66</v>
      </c>
      <c r="E71" s="128">
        <v>26</v>
      </c>
      <c r="F71" s="1591">
        <v>0</v>
      </c>
      <c r="G71" s="1591">
        <f t="shared" si="2"/>
        <v>0</v>
      </c>
    </row>
    <row r="72" spans="2:8" ht="14.25" customHeight="1">
      <c r="B72" s="2418"/>
      <c r="C72" s="195" t="s">
        <v>379</v>
      </c>
      <c r="D72" s="194" t="s">
        <v>57</v>
      </c>
      <c r="E72" s="128">
        <v>135</v>
      </c>
      <c r="F72" s="1591">
        <v>0</v>
      </c>
      <c r="G72" s="1591"/>
    </row>
    <row r="73" spans="2:8" ht="15.75" customHeight="1">
      <c r="B73" s="2418"/>
      <c r="C73" s="195" t="s">
        <v>293</v>
      </c>
      <c r="D73" s="194" t="s">
        <v>57</v>
      </c>
      <c r="E73" s="128">
        <v>105</v>
      </c>
      <c r="F73" s="1591">
        <v>0</v>
      </c>
      <c r="G73" s="1591"/>
    </row>
    <row r="74" spans="2:8" s="726" customFormat="1" ht="12.75" customHeight="1">
      <c r="B74" s="2418"/>
      <c r="C74" s="722" t="s">
        <v>883</v>
      </c>
      <c r="D74" s="723" t="s">
        <v>57</v>
      </c>
      <c r="E74" s="724">
        <v>45</v>
      </c>
      <c r="F74" s="1591">
        <v>0</v>
      </c>
      <c r="G74" s="1591"/>
      <c r="H74" s="725"/>
    </row>
    <row r="75" spans="2:8" s="726" customFormat="1" ht="12.75" customHeight="1">
      <c r="B75" s="2418"/>
      <c r="C75" s="722" t="s">
        <v>297</v>
      </c>
      <c r="D75" s="723" t="s">
        <v>57</v>
      </c>
      <c r="E75" s="724">
        <v>32</v>
      </c>
      <c r="F75" s="1591">
        <v>0</v>
      </c>
      <c r="G75" s="1591"/>
      <c r="H75" s="725"/>
    </row>
    <row r="76" spans="2:8" s="166" customFormat="1" ht="40.5" customHeight="1">
      <c r="B76" s="167">
        <v>24</v>
      </c>
      <c r="C76" s="177" t="s">
        <v>298</v>
      </c>
      <c r="D76" s="140" t="s">
        <v>78</v>
      </c>
      <c r="E76" s="128">
        <v>155</v>
      </c>
      <c r="F76" s="1591">
        <v>0</v>
      </c>
      <c r="G76" s="1591">
        <f t="shared" si="2"/>
        <v>0</v>
      </c>
      <c r="H76" s="8"/>
    </row>
    <row r="77" spans="2:8" s="727" customFormat="1" ht="25.5" customHeight="1">
      <c r="B77" s="167">
        <v>25</v>
      </c>
      <c r="C77" s="177" t="s">
        <v>96</v>
      </c>
      <c r="D77" s="140" t="s">
        <v>57</v>
      </c>
      <c r="E77" s="128">
        <f>2700*0.05</f>
        <v>135</v>
      </c>
      <c r="F77" s="1591">
        <v>0</v>
      </c>
      <c r="G77" s="1591">
        <f t="shared" si="2"/>
        <v>0</v>
      </c>
    </row>
    <row r="78" spans="2:8" s="727" customFormat="1" ht="24.75" customHeight="1">
      <c r="B78" s="728" t="s">
        <v>267</v>
      </c>
      <c r="C78" s="177" t="s">
        <v>268</v>
      </c>
      <c r="D78" s="140" t="s">
        <v>57</v>
      </c>
      <c r="E78" s="128">
        <v>55</v>
      </c>
      <c r="F78" s="1591">
        <v>0</v>
      </c>
      <c r="G78" s="1591">
        <f t="shared" si="2"/>
        <v>0</v>
      </c>
    </row>
    <row r="79" spans="2:8" s="727" customFormat="1" ht="25.5" customHeight="1">
      <c r="B79" s="729">
        <v>26</v>
      </c>
      <c r="C79" s="402" t="s">
        <v>269</v>
      </c>
      <c r="D79" s="182" t="s">
        <v>74</v>
      </c>
      <c r="E79" s="183">
        <v>32</v>
      </c>
      <c r="F79" s="1591">
        <v>0</v>
      </c>
      <c r="G79" s="1591">
        <f t="shared" si="2"/>
        <v>0</v>
      </c>
    </row>
    <row r="80" spans="2:8" s="166" customFormat="1" ht="36">
      <c r="B80" s="167">
        <v>27</v>
      </c>
      <c r="C80" s="184" t="s">
        <v>270</v>
      </c>
      <c r="D80" s="182" t="s">
        <v>66</v>
      </c>
      <c r="E80" s="183">
        <v>263</v>
      </c>
      <c r="F80" s="1591">
        <v>0</v>
      </c>
      <c r="G80" s="1591">
        <f t="shared" si="2"/>
        <v>0</v>
      </c>
      <c r="H80" s="8"/>
    </row>
    <row r="81" spans="2:8" s="166" customFormat="1" ht="27.75" customHeight="1">
      <c r="B81" s="729">
        <v>28</v>
      </c>
      <c r="C81" s="184" t="s">
        <v>99</v>
      </c>
      <c r="D81" s="182" t="s">
        <v>74</v>
      </c>
      <c r="E81" s="183">
        <v>12</v>
      </c>
      <c r="F81" s="1591">
        <v>0</v>
      </c>
      <c r="G81" s="1591">
        <f t="shared" si="2"/>
        <v>0</v>
      </c>
      <c r="H81" s="8"/>
    </row>
    <row r="82" spans="2:8" ht="32.25" customHeight="1">
      <c r="B82" s="167">
        <v>29</v>
      </c>
      <c r="C82" s="184" t="s">
        <v>100</v>
      </c>
      <c r="D82" s="182" t="s">
        <v>65</v>
      </c>
      <c r="E82" s="183">
        <v>135</v>
      </c>
      <c r="F82" s="1591">
        <v>0</v>
      </c>
      <c r="G82" s="1591">
        <f t="shared" si="2"/>
        <v>0</v>
      </c>
    </row>
    <row r="83" spans="2:8">
      <c r="B83" s="151" t="s">
        <v>45</v>
      </c>
      <c r="C83" s="152" t="s">
        <v>101</v>
      </c>
      <c r="D83" s="185"/>
      <c r="E83" s="154"/>
      <c r="F83" s="714"/>
      <c r="G83" s="1594">
        <f>SUM(G45:G82)</f>
        <v>0</v>
      </c>
    </row>
    <row r="85" spans="2:8">
      <c r="B85" s="125"/>
      <c r="C85" s="126"/>
      <c r="D85" s="140"/>
      <c r="E85" s="719"/>
      <c r="F85" s="730"/>
      <c r="G85" s="731"/>
    </row>
    <row r="86" spans="2:8" ht="24">
      <c r="B86" s="702" t="s">
        <v>41</v>
      </c>
      <c r="C86" s="703" t="s">
        <v>51</v>
      </c>
      <c r="D86" s="703" t="s">
        <v>52</v>
      </c>
      <c r="E86" s="705" t="s">
        <v>53</v>
      </c>
      <c r="F86" s="706" t="s">
        <v>54</v>
      </c>
      <c r="G86" s="707" t="s">
        <v>55</v>
      </c>
    </row>
    <row r="87" spans="2:8">
      <c r="B87" s="125"/>
      <c r="C87" s="126"/>
      <c r="D87" s="140"/>
      <c r="E87" s="719"/>
      <c r="F87" s="730"/>
      <c r="G87" s="731"/>
    </row>
    <row r="88" spans="2:8" ht="20.25">
      <c r="B88" s="186" t="s">
        <v>47</v>
      </c>
      <c r="C88" s="187" t="s">
        <v>102</v>
      </c>
      <c r="D88" s="165"/>
      <c r="E88" s="134"/>
      <c r="F88" s="709"/>
      <c r="G88" s="136"/>
    </row>
    <row r="89" spans="2:8" ht="18" customHeight="1">
      <c r="B89" s="10" t="s">
        <v>2</v>
      </c>
      <c r="C89" s="11"/>
      <c r="D89" s="12"/>
      <c r="E89" s="12"/>
      <c r="F89" s="688"/>
      <c r="G89" s="13"/>
    </row>
    <row r="90" spans="2:8" ht="18" customHeight="1">
      <c r="B90" s="16" t="s">
        <v>3</v>
      </c>
      <c r="C90" s="17"/>
      <c r="D90" s="18"/>
      <c r="E90" s="19"/>
      <c r="F90" s="689"/>
      <c r="G90" s="18"/>
    </row>
    <row r="91" spans="2:8" ht="18" customHeight="1">
      <c r="B91" s="10" t="s">
        <v>4</v>
      </c>
      <c r="C91" s="11"/>
      <c r="D91" s="12"/>
      <c r="E91" s="12"/>
      <c r="F91" s="688"/>
      <c r="G91" s="13"/>
    </row>
    <row r="92" spans="2:8" ht="18" customHeight="1">
      <c r="B92" s="16" t="s">
        <v>5</v>
      </c>
      <c r="C92" s="17"/>
      <c r="D92" s="19"/>
      <c r="E92" s="19"/>
      <c r="F92" s="689"/>
      <c r="G92" s="18"/>
    </row>
    <row r="93" spans="2:8" ht="18.75" customHeight="1">
      <c r="B93" s="2399" t="s">
        <v>271</v>
      </c>
      <c r="C93" s="2400"/>
      <c r="D93" s="2400"/>
      <c r="E93" s="2400"/>
      <c r="F93" s="2400"/>
      <c r="G93" s="2401"/>
    </row>
    <row r="94" spans="2:8" ht="18.75" customHeight="1">
      <c r="B94" s="2399" t="s">
        <v>104</v>
      </c>
      <c r="C94" s="2400"/>
      <c r="D94" s="2400"/>
      <c r="E94" s="2400"/>
      <c r="F94" s="2400"/>
      <c r="G94" s="2401"/>
    </row>
    <row r="95" spans="2:8" ht="18.75" customHeight="1">
      <c r="B95" s="2399" t="s">
        <v>105</v>
      </c>
      <c r="C95" s="2400"/>
      <c r="D95" s="2400"/>
      <c r="E95" s="2400"/>
      <c r="F95" s="2400"/>
      <c r="G95" s="2401"/>
    </row>
    <row r="96" spans="2:8" ht="24">
      <c r="B96" s="188">
        <v>1</v>
      </c>
      <c r="C96" s="189" t="s">
        <v>106</v>
      </c>
      <c r="D96" s="190"/>
      <c r="E96" s="719"/>
      <c r="F96" s="730"/>
      <c r="G96" s="731"/>
    </row>
    <row r="97" spans="2:10">
      <c r="B97" s="191"/>
      <c r="C97" s="271" t="s">
        <v>179</v>
      </c>
      <c r="D97" s="190" t="s">
        <v>57</v>
      </c>
      <c r="E97" s="719">
        <f>8179*0.9</f>
        <v>7361.1</v>
      </c>
      <c r="F97" s="1591">
        <v>0</v>
      </c>
      <c r="G97" s="1591">
        <f t="shared" ref="G97:G104" si="3">E97*F97</f>
        <v>0</v>
      </c>
    </row>
    <row r="98" spans="2:10">
      <c r="B98" s="191"/>
      <c r="C98" s="271" t="s">
        <v>180</v>
      </c>
      <c r="D98" s="190" t="s">
        <v>57</v>
      </c>
      <c r="E98" s="719">
        <f>8179*0.1</f>
        <v>817.90000000000009</v>
      </c>
      <c r="F98" s="1591">
        <v>0</v>
      </c>
      <c r="G98" s="1591">
        <f t="shared" si="3"/>
        <v>0</v>
      </c>
    </row>
    <row r="99" spans="2:10">
      <c r="B99" s="191"/>
      <c r="C99" s="192" t="s">
        <v>107</v>
      </c>
      <c r="D99" s="190" t="s">
        <v>57</v>
      </c>
      <c r="E99" s="128">
        <f>267*0.9</f>
        <v>240.3</v>
      </c>
      <c r="F99" s="1591">
        <v>0</v>
      </c>
      <c r="G99" s="1591">
        <f t="shared" si="3"/>
        <v>0</v>
      </c>
    </row>
    <row r="100" spans="2:10" ht="24">
      <c r="B100" s="191"/>
      <c r="C100" s="192" t="s">
        <v>884</v>
      </c>
      <c r="D100" s="190" t="s">
        <v>57</v>
      </c>
      <c r="E100" s="719">
        <f>267*0.1</f>
        <v>26.700000000000003</v>
      </c>
      <c r="F100" s="1591">
        <v>0</v>
      </c>
      <c r="G100" s="1591">
        <f t="shared" si="3"/>
        <v>0</v>
      </c>
      <c r="J100" s="1119"/>
    </row>
    <row r="101" spans="2:10">
      <c r="B101" s="191"/>
      <c r="C101" s="192" t="s">
        <v>226</v>
      </c>
      <c r="D101" s="190" t="s">
        <v>57</v>
      </c>
      <c r="E101" s="719">
        <f>118*0.9</f>
        <v>106.2</v>
      </c>
      <c r="F101" s="1591">
        <v>0</v>
      </c>
      <c r="G101" s="1591">
        <f t="shared" si="3"/>
        <v>0</v>
      </c>
    </row>
    <row r="102" spans="2:10" ht="24">
      <c r="B102" s="191"/>
      <c r="C102" s="192" t="s">
        <v>227</v>
      </c>
      <c r="D102" s="190" t="s">
        <v>57</v>
      </c>
      <c r="E102" s="719">
        <f>118*0.1</f>
        <v>11.8</v>
      </c>
      <c r="F102" s="1591">
        <v>0</v>
      </c>
      <c r="G102" s="1591">
        <f t="shared" si="3"/>
        <v>0</v>
      </c>
    </row>
    <row r="103" spans="2:10">
      <c r="B103" s="191"/>
      <c r="C103" s="192" t="s">
        <v>109</v>
      </c>
      <c r="D103" s="190" t="s">
        <v>57</v>
      </c>
      <c r="E103" s="719">
        <f>656*0.9</f>
        <v>590.4</v>
      </c>
      <c r="F103" s="1591">
        <v>0</v>
      </c>
      <c r="G103" s="1591">
        <f t="shared" si="3"/>
        <v>0</v>
      </c>
    </row>
    <row r="104" spans="2:10" ht="24">
      <c r="B104" s="191"/>
      <c r="C104" s="192" t="s">
        <v>110</v>
      </c>
      <c r="D104" s="190" t="s">
        <v>57</v>
      </c>
      <c r="E104" s="719">
        <f>656*0.1</f>
        <v>65.600000000000009</v>
      </c>
      <c r="F104" s="1591">
        <v>0</v>
      </c>
      <c r="G104" s="1591">
        <f t="shared" si="3"/>
        <v>0</v>
      </c>
    </row>
    <row r="105" spans="2:10" ht="36">
      <c r="B105" s="2404" t="s">
        <v>111</v>
      </c>
      <c r="C105" s="193" t="s">
        <v>112</v>
      </c>
      <c r="D105" s="194"/>
      <c r="E105" s="719"/>
      <c r="F105" s="720"/>
      <c r="G105" s="721"/>
    </row>
    <row r="106" spans="2:10">
      <c r="B106" s="2405"/>
      <c r="C106" s="195" t="s">
        <v>113</v>
      </c>
      <c r="D106" s="194" t="s">
        <v>57</v>
      </c>
      <c r="E106" s="719">
        <v>65</v>
      </c>
      <c r="F106" s="1591">
        <v>0</v>
      </c>
      <c r="G106" s="1591">
        <f>E106*F106</f>
        <v>0</v>
      </c>
    </row>
    <row r="107" spans="2:10">
      <c r="B107" s="2405"/>
      <c r="C107" s="195" t="s">
        <v>274</v>
      </c>
      <c r="D107" s="194" t="s">
        <v>57</v>
      </c>
      <c r="E107" s="719">
        <v>20</v>
      </c>
      <c r="F107" s="1591">
        <v>0</v>
      </c>
      <c r="G107" s="1591">
        <f>E107*F107</f>
        <v>0</v>
      </c>
    </row>
    <row r="108" spans="2:10">
      <c r="B108" s="2413"/>
      <c r="C108" s="195" t="s">
        <v>275</v>
      </c>
      <c r="D108" s="194" t="s">
        <v>57</v>
      </c>
      <c r="E108" s="719">
        <v>100</v>
      </c>
      <c r="F108" s="1591">
        <v>0</v>
      </c>
      <c r="G108" s="1591">
        <f t="shared" ref="G108:G112" si="4">E108*F108</f>
        <v>0</v>
      </c>
    </row>
    <row r="109" spans="2:10" ht="36">
      <c r="B109" s="196">
        <v>2</v>
      </c>
      <c r="C109" s="197" t="s">
        <v>114</v>
      </c>
      <c r="D109" s="145" t="s">
        <v>57</v>
      </c>
      <c r="E109" s="732">
        <f>SUM(E97:E104)</f>
        <v>9220</v>
      </c>
      <c r="F109" s="1591">
        <v>0</v>
      </c>
      <c r="G109" s="1591">
        <f t="shared" si="4"/>
        <v>0</v>
      </c>
    </row>
    <row r="110" spans="2:10" ht="36">
      <c r="B110" s="199" t="s">
        <v>115</v>
      </c>
      <c r="C110" s="197" t="s">
        <v>116</v>
      </c>
      <c r="D110" s="145" t="s">
        <v>57</v>
      </c>
      <c r="E110" s="732">
        <f>E109</f>
        <v>9220</v>
      </c>
      <c r="F110" s="1591">
        <v>0</v>
      </c>
      <c r="G110" s="1591">
        <f t="shared" si="4"/>
        <v>0</v>
      </c>
    </row>
    <row r="111" spans="2:10" ht="24">
      <c r="B111" s="199" t="s">
        <v>117</v>
      </c>
      <c r="C111" s="197" t="s">
        <v>118</v>
      </c>
      <c r="D111" s="145" t="s">
        <v>57</v>
      </c>
      <c r="E111" s="732">
        <f>E109</f>
        <v>9220</v>
      </c>
      <c r="F111" s="1591">
        <v>0</v>
      </c>
      <c r="G111" s="1591">
        <f t="shared" si="4"/>
        <v>0</v>
      </c>
    </row>
    <row r="112" spans="2:10" ht="36">
      <c r="B112" s="199" t="s">
        <v>119</v>
      </c>
      <c r="C112" s="197" t="s">
        <v>120</v>
      </c>
      <c r="D112" s="145" t="s">
        <v>57</v>
      </c>
      <c r="E112" s="732">
        <f>E109</f>
        <v>9220</v>
      </c>
      <c r="F112" s="1591">
        <v>0</v>
      </c>
      <c r="G112" s="1591">
        <f t="shared" si="4"/>
        <v>0</v>
      </c>
    </row>
    <row r="113" spans="2:7" ht="24">
      <c r="B113" s="188">
        <v>3</v>
      </c>
      <c r="C113" s="200" t="s">
        <v>121</v>
      </c>
      <c r="D113" s="127"/>
      <c r="E113" s="719"/>
      <c r="F113" s="720">
        <v>0</v>
      </c>
      <c r="G113" s="733"/>
    </row>
    <row r="114" spans="2:7">
      <c r="B114" s="201" t="s">
        <v>122</v>
      </c>
      <c r="C114" s="202" t="s">
        <v>123</v>
      </c>
      <c r="D114" s="203"/>
      <c r="E114" s="204"/>
      <c r="F114" s="1595"/>
      <c r="G114" s="1596"/>
    </row>
    <row r="115" spans="2:7">
      <c r="B115" s="125"/>
      <c r="C115" s="202" t="s">
        <v>210</v>
      </c>
      <c r="D115" s="203"/>
      <c r="E115" s="204"/>
      <c r="F115" s="1595"/>
      <c r="G115" s="1596"/>
    </row>
    <row r="116" spans="2:7">
      <c r="B116" s="125"/>
      <c r="C116" s="280" t="s">
        <v>211</v>
      </c>
      <c r="D116" s="209" t="s">
        <v>66</v>
      </c>
      <c r="E116" s="204">
        <v>99</v>
      </c>
      <c r="F116" s="1597">
        <v>0</v>
      </c>
      <c r="G116" s="1598">
        <f>E116*F116</f>
        <v>0</v>
      </c>
    </row>
    <row r="117" spans="2:7">
      <c r="B117" s="125"/>
      <c r="C117" s="280" t="s">
        <v>212</v>
      </c>
      <c r="D117" s="209" t="s">
        <v>66</v>
      </c>
      <c r="E117" s="204">
        <v>46</v>
      </c>
      <c r="F117" s="1597">
        <v>0</v>
      </c>
      <c r="G117" s="1598">
        <f>E117*F117</f>
        <v>0</v>
      </c>
    </row>
    <row r="118" spans="2:7">
      <c r="B118" s="125"/>
      <c r="C118" s="280" t="s">
        <v>885</v>
      </c>
      <c r="D118" s="209" t="s">
        <v>66</v>
      </c>
      <c r="E118" s="204">
        <v>38</v>
      </c>
      <c r="F118" s="1597">
        <v>0</v>
      </c>
      <c r="G118" s="1598">
        <f>E118*F118</f>
        <v>0</v>
      </c>
    </row>
    <row r="119" spans="2:7">
      <c r="B119" s="125"/>
      <c r="C119" s="280" t="s">
        <v>213</v>
      </c>
      <c r="D119" s="209" t="s">
        <v>66</v>
      </c>
      <c r="E119" s="204">
        <v>72</v>
      </c>
      <c r="F119" s="1597">
        <v>0</v>
      </c>
      <c r="G119" s="1598">
        <f>E119*F119</f>
        <v>0</v>
      </c>
    </row>
    <row r="120" spans="2:7">
      <c r="B120" s="207"/>
      <c r="C120" s="208" t="s">
        <v>214</v>
      </c>
      <c r="D120" s="209" t="s">
        <v>66</v>
      </c>
      <c r="E120" s="204">
        <v>510</v>
      </c>
      <c r="F120" s="1597">
        <v>0</v>
      </c>
      <c r="G120" s="1598">
        <f>E120*F120</f>
        <v>0</v>
      </c>
    </row>
    <row r="121" spans="2:7">
      <c r="B121" s="201" t="s">
        <v>126</v>
      </c>
      <c r="C121" s="212" t="s">
        <v>127</v>
      </c>
      <c r="D121" s="213"/>
      <c r="E121" s="214"/>
      <c r="F121" s="1599"/>
      <c r="G121" s="1600"/>
    </row>
    <row r="122" spans="2:7">
      <c r="B122" s="218"/>
      <c r="C122" s="212" t="s">
        <v>181</v>
      </c>
      <c r="D122" s="735"/>
      <c r="E122" s="736"/>
      <c r="F122" s="1601"/>
      <c r="G122" s="1602"/>
    </row>
    <row r="123" spans="2:7">
      <c r="B123" s="218"/>
      <c r="C123" s="219" t="s">
        <v>182</v>
      </c>
      <c r="D123" s="213" t="s">
        <v>66</v>
      </c>
      <c r="E123" s="214">
        <v>16</v>
      </c>
      <c r="F123" s="1601">
        <v>0</v>
      </c>
      <c r="G123" s="1602">
        <f t="shared" ref="G123:G129" si="5">E123*F123</f>
        <v>0</v>
      </c>
    </row>
    <row r="124" spans="2:7" ht="36">
      <c r="B124" s="218"/>
      <c r="C124" s="222" t="s">
        <v>130</v>
      </c>
      <c r="D124" s="213" t="s">
        <v>66</v>
      </c>
      <c r="E124" s="214">
        <v>16</v>
      </c>
      <c r="F124" s="1601">
        <v>0</v>
      </c>
      <c r="G124" s="1602">
        <f t="shared" si="5"/>
        <v>0</v>
      </c>
    </row>
    <row r="125" spans="2:7">
      <c r="B125" s="218"/>
      <c r="C125" s="222" t="s">
        <v>183</v>
      </c>
      <c r="D125" s="213" t="s">
        <v>66</v>
      </c>
      <c r="E125" s="214">
        <v>16</v>
      </c>
      <c r="F125" s="1601">
        <v>0</v>
      </c>
      <c r="G125" s="1602">
        <f t="shared" si="5"/>
        <v>0</v>
      </c>
    </row>
    <row r="126" spans="2:7">
      <c r="B126" s="218"/>
      <c r="C126" s="222" t="s">
        <v>131</v>
      </c>
      <c r="D126" s="213" t="s">
        <v>66</v>
      </c>
      <c r="E126" s="214">
        <v>16</v>
      </c>
      <c r="F126" s="1601">
        <v>0</v>
      </c>
      <c r="G126" s="1602">
        <f t="shared" si="5"/>
        <v>0</v>
      </c>
    </row>
    <row r="127" spans="2:7">
      <c r="B127" s="218"/>
      <c r="C127" s="234" t="s">
        <v>184</v>
      </c>
      <c r="D127" s="213" t="s">
        <v>66</v>
      </c>
      <c r="E127" s="214">
        <v>32</v>
      </c>
      <c r="F127" s="1601">
        <v>0</v>
      </c>
      <c r="G127" s="1602">
        <f t="shared" si="5"/>
        <v>0</v>
      </c>
    </row>
    <row r="128" spans="2:7">
      <c r="B128" s="218"/>
      <c r="C128" s="234" t="s">
        <v>134</v>
      </c>
      <c r="D128" s="213" t="s">
        <v>66</v>
      </c>
      <c r="E128" s="214">
        <v>16</v>
      </c>
      <c r="F128" s="1601">
        <v>0</v>
      </c>
      <c r="G128" s="1602">
        <f t="shared" si="5"/>
        <v>0</v>
      </c>
    </row>
    <row r="129" spans="2:7">
      <c r="B129" s="218"/>
      <c r="C129" s="235" t="s">
        <v>135</v>
      </c>
      <c r="D129" s="213" t="s">
        <v>66</v>
      </c>
      <c r="E129" s="214">
        <v>16</v>
      </c>
      <c r="F129" s="1601">
        <v>0</v>
      </c>
      <c r="G129" s="1602">
        <f t="shared" si="5"/>
        <v>0</v>
      </c>
    </row>
    <row r="130" spans="2:7">
      <c r="B130" s="201" t="s">
        <v>151</v>
      </c>
      <c r="C130" s="223" t="s">
        <v>137</v>
      </c>
      <c r="D130" s="224"/>
      <c r="E130" s="225"/>
      <c r="F130" s="1603"/>
      <c r="G130" s="1604"/>
    </row>
    <row r="131" spans="2:7">
      <c r="B131" s="218"/>
      <c r="C131" s="223" t="s">
        <v>185</v>
      </c>
      <c r="D131" s="737" t="s">
        <v>66</v>
      </c>
      <c r="E131" s="738"/>
      <c r="F131" s="1605"/>
      <c r="G131" s="1606"/>
    </row>
    <row r="132" spans="2:7">
      <c r="B132" s="218"/>
      <c r="C132" s="228" t="s">
        <v>186</v>
      </c>
      <c r="D132" s="224" t="s">
        <v>66</v>
      </c>
      <c r="E132" s="225">
        <v>15</v>
      </c>
      <c r="F132" s="1605">
        <v>0</v>
      </c>
      <c r="G132" s="1606">
        <f t="shared" ref="G132:G146" si="6">E132*F132</f>
        <v>0</v>
      </c>
    </row>
    <row r="133" spans="2:7">
      <c r="B133" s="218"/>
      <c r="C133" s="228" t="s">
        <v>187</v>
      </c>
      <c r="D133" s="224" t="s">
        <v>66</v>
      </c>
      <c r="E133" s="225">
        <v>30</v>
      </c>
      <c r="F133" s="1605">
        <v>0</v>
      </c>
      <c r="G133" s="1606">
        <f t="shared" si="6"/>
        <v>0</v>
      </c>
    </row>
    <row r="134" spans="2:7">
      <c r="B134" s="218"/>
      <c r="C134" s="231" t="s">
        <v>140</v>
      </c>
      <c r="D134" s="224" t="s">
        <v>66</v>
      </c>
      <c r="E134" s="225">
        <v>15</v>
      </c>
      <c r="F134" s="1605">
        <v>0</v>
      </c>
      <c r="G134" s="1606">
        <f t="shared" si="6"/>
        <v>0</v>
      </c>
    </row>
    <row r="135" spans="2:7">
      <c r="B135" s="218"/>
      <c r="C135" s="231" t="s">
        <v>141</v>
      </c>
      <c r="D135" s="224" t="s">
        <v>66</v>
      </c>
      <c r="E135" s="225">
        <v>15</v>
      </c>
      <c r="F135" s="1605">
        <v>0</v>
      </c>
      <c r="G135" s="1606">
        <f t="shared" si="6"/>
        <v>0</v>
      </c>
    </row>
    <row r="136" spans="2:7">
      <c r="B136" s="218"/>
      <c r="C136" s="231" t="s">
        <v>142</v>
      </c>
      <c r="D136" s="224" t="s">
        <v>66</v>
      </c>
      <c r="E136" s="225">
        <v>15</v>
      </c>
      <c r="F136" s="1605">
        <v>0</v>
      </c>
      <c r="G136" s="1606">
        <f t="shared" si="6"/>
        <v>0</v>
      </c>
    </row>
    <row r="137" spans="2:7">
      <c r="B137" s="218"/>
      <c r="C137" s="231" t="s">
        <v>143</v>
      </c>
      <c r="D137" s="224" t="s">
        <v>66</v>
      </c>
      <c r="E137" s="225">
        <v>15</v>
      </c>
      <c r="F137" s="1605">
        <v>0</v>
      </c>
      <c r="G137" s="1606">
        <f t="shared" si="6"/>
        <v>0</v>
      </c>
    </row>
    <row r="138" spans="2:7">
      <c r="B138" s="218"/>
      <c r="C138" s="231" t="s">
        <v>144</v>
      </c>
      <c r="D138" s="224" t="s">
        <v>66</v>
      </c>
      <c r="E138" s="225">
        <v>15</v>
      </c>
      <c r="F138" s="1605">
        <v>0</v>
      </c>
      <c r="G138" s="1606">
        <f t="shared" si="6"/>
        <v>0</v>
      </c>
    </row>
    <row r="139" spans="2:7">
      <c r="B139" s="218"/>
      <c r="C139" s="231" t="s">
        <v>145</v>
      </c>
      <c r="D139" s="224" t="s">
        <v>66</v>
      </c>
      <c r="E139" s="225">
        <v>15</v>
      </c>
      <c r="F139" s="1605">
        <v>0</v>
      </c>
      <c r="G139" s="1606">
        <f t="shared" si="6"/>
        <v>0</v>
      </c>
    </row>
    <row r="140" spans="2:7">
      <c r="B140" s="218"/>
      <c r="C140" s="231" t="s">
        <v>146</v>
      </c>
      <c r="D140" s="224" t="s">
        <v>66</v>
      </c>
      <c r="E140" s="225">
        <v>15</v>
      </c>
      <c r="F140" s="1605">
        <v>0</v>
      </c>
      <c r="G140" s="1606">
        <f t="shared" si="6"/>
        <v>0</v>
      </c>
    </row>
    <row r="141" spans="2:7">
      <c r="B141" s="218"/>
      <c r="C141" s="232" t="s">
        <v>147</v>
      </c>
      <c r="D141" s="224" t="s">
        <v>66</v>
      </c>
      <c r="E141" s="225">
        <v>15</v>
      </c>
      <c r="F141" s="1605">
        <v>0</v>
      </c>
      <c r="G141" s="1606">
        <f t="shared" si="6"/>
        <v>0</v>
      </c>
    </row>
    <row r="142" spans="2:7">
      <c r="B142" s="218"/>
      <c r="C142" s="232" t="s">
        <v>188</v>
      </c>
      <c r="D142" s="224" t="s">
        <v>66</v>
      </c>
      <c r="E142" s="225">
        <v>15</v>
      </c>
      <c r="F142" s="1605">
        <v>0</v>
      </c>
      <c r="G142" s="1606">
        <f t="shared" si="6"/>
        <v>0</v>
      </c>
    </row>
    <row r="143" spans="2:7">
      <c r="B143" s="218"/>
      <c r="C143" s="232" t="s">
        <v>184</v>
      </c>
      <c r="D143" s="224" t="s">
        <v>66</v>
      </c>
      <c r="E143" s="225">
        <v>30</v>
      </c>
      <c r="F143" s="1605">
        <v>0</v>
      </c>
      <c r="G143" s="1606">
        <f t="shared" si="6"/>
        <v>0</v>
      </c>
    </row>
    <row r="144" spans="2:7">
      <c r="B144" s="218"/>
      <c r="C144" s="232" t="s">
        <v>149</v>
      </c>
      <c r="D144" s="224" t="s">
        <v>66</v>
      </c>
      <c r="E144" s="225">
        <v>15</v>
      </c>
      <c r="F144" s="1605">
        <v>0</v>
      </c>
      <c r="G144" s="1606">
        <f t="shared" si="6"/>
        <v>0</v>
      </c>
    </row>
    <row r="145" spans="2:7">
      <c r="B145" s="218"/>
      <c r="C145" s="232" t="s">
        <v>150</v>
      </c>
      <c r="D145" s="224" t="s">
        <v>66</v>
      </c>
      <c r="E145" s="225">
        <v>45</v>
      </c>
      <c r="F145" s="1605">
        <v>0</v>
      </c>
      <c r="G145" s="1606">
        <f t="shared" si="6"/>
        <v>0</v>
      </c>
    </row>
    <row r="146" spans="2:7">
      <c r="B146" s="218"/>
      <c r="C146" s="233" t="s">
        <v>135</v>
      </c>
      <c r="D146" s="224" t="s">
        <v>66</v>
      </c>
      <c r="E146" s="225">
        <v>15</v>
      </c>
      <c r="F146" s="1605">
        <v>0</v>
      </c>
      <c r="G146" s="1606">
        <f t="shared" si="6"/>
        <v>0</v>
      </c>
    </row>
    <row r="147" spans="2:7">
      <c r="B147" s="201" t="s">
        <v>159</v>
      </c>
      <c r="C147" s="212" t="s">
        <v>152</v>
      </c>
      <c r="D147" s="213"/>
      <c r="E147" s="214"/>
      <c r="F147" s="1599"/>
      <c r="G147" s="1600"/>
    </row>
    <row r="148" spans="2:7">
      <c r="B148" s="218"/>
      <c r="C148" s="212" t="s">
        <v>189</v>
      </c>
      <c r="D148" s="735" t="s">
        <v>66</v>
      </c>
      <c r="E148" s="736"/>
      <c r="F148" s="1601"/>
      <c r="G148" s="1602"/>
    </row>
    <row r="149" spans="2:7">
      <c r="B149" s="218"/>
      <c r="C149" s="219" t="s">
        <v>186</v>
      </c>
      <c r="D149" s="213" t="s">
        <v>66</v>
      </c>
      <c r="E149" s="214">
        <v>38</v>
      </c>
      <c r="F149" s="1601">
        <v>0</v>
      </c>
      <c r="G149" s="1602">
        <f t="shared" ref="G149:G158" si="7">E149*F149</f>
        <v>0</v>
      </c>
    </row>
    <row r="150" spans="2:7" ht="24">
      <c r="B150" s="218"/>
      <c r="C150" s="222" t="s">
        <v>154</v>
      </c>
      <c r="D150" s="213" t="s">
        <v>66</v>
      </c>
      <c r="E150" s="214">
        <v>38</v>
      </c>
      <c r="F150" s="1601">
        <v>0</v>
      </c>
      <c r="G150" s="1602">
        <f t="shared" si="7"/>
        <v>0</v>
      </c>
    </row>
    <row r="151" spans="2:7">
      <c r="B151" s="218"/>
      <c r="C151" s="222" t="s">
        <v>155</v>
      </c>
      <c r="D151" s="213" t="s">
        <v>66</v>
      </c>
      <c r="E151" s="214">
        <v>38</v>
      </c>
      <c r="F151" s="1601">
        <v>0</v>
      </c>
      <c r="G151" s="1602">
        <f t="shared" si="7"/>
        <v>0</v>
      </c>
    </row>
    <row r="152" spans="2:7">
      <c r="B152" s="218"/>
      <c r="C152" s="222" t="s">
        <v>330</v>
      </c>
      <c r="D152" s="213" t="s">
        <v>66</v>
      </c>
      <c r="E152" s="214">
        <v>38</v>
      </c>
      <c r="F152" s="1601">
        <v>0</v>
      </c>
      <c r="G152" s="1602">
        <f t="shared" si="7"/>
        <v>0</v>
      </c>
    </row>
    <row r="153" spans="2:7">
      <c r="B153" s="218"/>
      <c r="C153" s="222" t="s">
        <v>157</v>
      </c>
      <c r="D153" s="213" t="s">
        <v>66</v>
      </c>
      <c r="E153" s="214">
        <v>38</v>
      </c>
      <c r="F153" s="1601">
        <v>0</v>
      </c>
      <c r="G153" s="1602">
        <f t="shared" si="7"/>
        <v>0</v>
      </c>
    </row>
    <row r="154" spans="2:7">
      <c r="B154" s="218"/>
      <c r="C154" s="234" t="s">
        <v>158</v>
      </c>
      <c r="D154" s="213" t="s">
        <v>66</v>
      </c>
      <c r="E154" s="214">
        <v>38</v>
      </c>
      <c r="F154" s="1601">
        <v>0</v>
      </c>
      <c r="G154" s="1602">
        <f t="shared" si="7"/>
        <v>0</v>
      </c>
    </row>
    <row r="155" spans="2:7">
      <c r="B155" s="218"/>
      <c r="C155" s="234" t="s">
        <v>190</v>
      </c>
      <c r="D155" s="213" t="s">
        <v>66</v>
      </c>
      <c r="E155" s="214">
        <v>38</v>
      </c>
      <c r="F155" s="1601">
        <v>0</v>
      </c>
      <c r="G155" s="1602">
        <f t="shared" si="7"/>
        <v>0</v>
      </c>
    </row>
    <row r="156" spans="2:7">
      <c r="B156" s="218"/>
      <c r="C156" s="234" t="s">
        <v>184</v>
      </c>
      <c r="D156" s="213" t="s">
        <v>66</v>
      </c>
      <c r="E156" s="214">
        <v>76</v>
      </c>
      <c r="F156" s="1601">
        <v>0</v>
      </c>
      <c r="G156" s="1602">
        <f t="shared" si="7"/>
        <v>0</v>
      </c>
    </row>
    <row r="157" spans="2:7">
      <c r="B157" s="218"/>
      <c r="C157" s="234" t="s">
        <v>150</v>
      </c>
      <c r="D157" s="213" t="s">
        <v>66</v>
      </c>
      <c r="E157" s="214">
        <v>38</v>
      </c>
      <c r="F157" s="1601">
        <v>0</v>
      </c>
      <c r="G157" s="1602">
        <f t="shared" si="7"/>
        <v>0</v>
      </c>
    </row>
    <row r="158" spans="2:7">
      <c r="B158" s="218"/>
      <c r="C158" s="235" t="s">
        <v>135</v>
      </c>
      <c r="D158" s="213" t="s">
        <v>66</v>
      </c>
      <c r="E158" s="214">
        <v>38</v>
      </c>
      <c r="F158" s="1601">
        <v>0</v>
      </c>
      <c r="G158" s="1602">
        <f t="shared" si="7"/>
        <v>0</v>
      </c>
    </row>
    <row r="159" spans="2:7" ht="24">
      <c r="B159" s="199" t="s">
        <v>331</v>
      </c>
      <c r="C159" s="212" t="s">
        <v>332</v>
      </c>
      <c r="D159" s="735" t="s">
        <v>66</v>
      </c>
      <c r="E159" s="736">
        <v>38</v>
      </c>
      <c r="F159" s="1607">
        <v>0</v>
      </c>
      <c r="G159" s="1602">
        <f>E159*F159</f>
        <v>0</v>
      </c>
    </row>
    <row r="160" spans="2:7">
      <c r="B160" s="201" t="s">
        <v>172</v>
      </c>
      <c r="C160" s="223" t="s">
        <v>886</v>
      </c>
      <c r="D160" s="224"/>
      <c r="E160" s="225"/>
      <c r="F160" s="1603"/>
      <c r="G160" s="1604"/>
    </row>
    <row r="161" spans="2:7">
      <c r="B161" s="218"/>
      <c r="C161" s="223" t="s">
        <v>887</v>
      </c>
      <c r="D161" s="737" t="s">
        <v>66</v>
      </c>
      <c r="E161" s="738"/>
      <c r="F161" s="1605"/>
      <c r="G161" s="1608"/>
    </row>
    <row r="162" spans="2:7">
      <c r="B162" s="218"/>
      <c r="C162" s="228" t="s">
        <v>192</v>
      </c>
      <c r="D162" s="224" t="s">
        <v>66</v>
      </c>
      <c r="E162" s="225">
        <v>2</v>
      </c>
      <c r="F162" s="1605">
        <v>0</v>
      </c>
      <c r="G162" s="1608">
        <f t="shared" ref="G162:G171" si="8">E162*F162</f>
        <v>0</v>
      </c>
    </row>
    <row r="163" spans="2:7">
      <c r="B163" s="218"/>
      <c r="C163" s="232" t="s">
        <v>184</v>
      </c>
      <c r="D163" s="224" t="s">
        <v>66</v>
      </c>
      <c r="E163" s="225">
        <v>4</v>
      </c>
      <c r="F163" s="1605">
        <v>0</v>
      </c>
      <c r="G163" s="1608">
        <f t="shared" si="8"/>
        <v>0</v>
      </c>
    </row>
    <row r="164" spans="2:7">
      <c r="B164" s="218"/>
      <c r="C164" s="232" t="s">
        <v>150</v>
      </c>
      <c r="D164" s="224" t="s">
        <v>66</v>
      </c>
      <c r="E164" s="225">
        <v>2</v>
      </c>
      <c r="F164" s="1605">
        <v>0</v>
      </c>
      <c r="G164" s="1608">
        <f t="shared" si="8"/>
        <v>0</v>
      </c>
    </row>
    <row r="165" spans="2:7">
      <c r="B165" s="218"/>
      <c r="C165" s="233" t="s">
        <v>135</v>
      </c>
      <c r="D165" s="224" t="s">
        <v>66</v>
      </c>
      <c r="E165" s="225">
        <v>2</v>
      </c>
      <c r="F165" s="1605">
        <v>0</v>
      </c>
      <c r="G165" s="1608">
        <f t="shared" si="8"/>
        <v>0</v>
      </c>
    </row>
    <row r="166" spans="2:7">
      <c r="B166" s="218"/>
      <c r="C166" s="223" t="s">
        <v>220</v>
      </c>
      <c r="D166" s="737" t="s">
        <v>66</v>
      </c>
      <c r="E166" s="738"/>
      <c r="F166" s="1605"/>
      <c r="G166" s="1608"/>
    </row>
    <row r="167" spans="2:7">
      <c r="B167" s="218"/>
      <c r="C167" s="228" t="s">
        <v>221</v>
      </c>
      <c r="D167" s="224" t="s">
        <v>66</v>
      </c>
      <c r="E167" s="225">
        <v>14</v>
      </c>
      <c r="F167" s="1605">
        <v>0</v>
      </c>
      <c r="G167" s="1608">
        <f t="shared" si="8"/>
        <v>0</v>
      </c>
    </row>
    <row r="168" spans="2:7">
      <c r="B168" s="218"/>
      <c r="C168" s="739" t="s">
        <v>184</v>
      </c>
      <c r="D168" s="224" t="s">
        <v>66</v>
      </c>
      <c r="E168" s="225">
        <v>28</v>
      </c>
      <c r="F168" s="1605">
        <v>0</v>
      </c>
      <c r="G168" s="1608">
        <f t="shared" si="8"/>
        <v>0</v>
      </c>
    </row>
    <row r="169" spans="2:7">
      <c r="B169" s="218"/>
      <c r="C169" s="739" t="s">
        <v>132</v>
      </c>
      <c r="D169" s="224" t="s">
        <v>66</v>
      </c>
      <c r="E169" s="225">
        <v>14</v>
      </c>
      <c r="F169" s="1605">
        <v>0</v>
      </c>
      <c r="G169" s="1608">
        <f t="shared" si="8"/>
        <v>0</v>
      </c>
    </row>
    <row r="170" spans="2:7">
      <c r="B170" s="218"/>
      <c r="C170" s="739" t="s">
        <v>150</v>
      </c>
      <c r="D170" s="224" t="s">
        <v>66</v>
      </c>
      <c r="E170" s="225">
        <v>14</v>
      </c>
      <c r="F170" s="1605">
        <v>0</v>
      </c>
      <c r="G170" s="1608">
        <f t="shared" si="8"/>
        <v>0</v>
      </c>
    </row>
    <row r="171" spans="2:7">
      <c r="B171" s="218"/>
      <c r="C171" s="740" t="s">
        <v>135</v>
      </c>
      <c r="D171" s="224" t="s">
        <v>66</v>
      </c>
      <c r="E171" s="225">
        <v>14</v>
      </c>
      <c r="F171" s="1605">
        <v>0</v>
      </c>
      <c r="G171" s="1608">
        <f t="shared" si="8"/>
        <v>0</v>
      </c>
    </row>
    <row r="172" spans="2:7">
      <c r="B172" s="218"/>
      <c r="C172" s="223" t="s">
        <v>888</v>
      </c>
      <c r="D172" s="737" t="s">
        <v>66</v>
      </c>
      <c r="E172" s="738"/>
      <c r="F172" s="1605"/>
      <c r="G172" s="1608"/>
    </row>
    <row r="173" spans="2:7">
      <c r="B173" s="218"/>
      <c r="C173" s="228" t="s">
        <v>219</v>
      </c>
      <c r="D173" s="224" t="s">
        <v>66</v>
      </c>
      <c r="E173" s="225">
        <v>17</v>
      </c>
      <c r="F173" s="1605">
        <v>0</v>
      </c>
      <c r="G173" s="1608">
        <f t="shared" ref="G173:G180" si="9">E173*F173</f>
        <v>0</v>
      </c>
    </row>
    <row r="174" spans="2:7">
      <c r="B174" s="218"/>
      <c r="C174" s="232" t="s">
        <v>184</v>
      </c>
      <c r="D174" s="224" t="s">
        <v>66</v>
      </c>
      <c r="E174" s="225">
        <v>34</v>
      </c>
      <c r="F174" s="1605">
        <v>0</v>
      </c>
      <c r="G174" s="1608">
        <f t="shared" si="9"/>
        <v>0</v>
      </c>
    </row>
    <row r="175" spans="2:7">
      <c r="B175" s="218"/>
      <c r="C175" s="232" t="s">
        <v>166</v>
      </c>
      <c r="D175" s="224" t="s">
        <v>66</v>
      </c>
      <c r="E175" s="225">
        <v>17</v>
      </c>
      <c r="F175" s="1605">
        <v>0</v>
      </c>
      <c r="G175" s="1608">
        <f t="shared" si="9"/>
        <v>0</v>
      </c>
    </row>
    <row r="176" spans="2:7">
      <c r="B176" s="218"/>
      <c r="C176" s="232" t="s">
        <v>167</v>
      </c>
      <c r="D176" s="224" t="s">
        <v>66</v>
      </c>
      <c r="E176" s="225">
        <v>17</v>
      </c>
      <c r="F176" s="1605">
        <v>0</v>
      </c>
      <c r="G176" s="1608">
        <f t="shared" si="9"/>
        <v>0</v>
      </c>
    </row>
    <row r="177" spans="2:7">
      <c r="B177" s="218"/>
      <c r="C177" s="232" t="s">
        <v>229</v>
      </c>
      <c r="D177" s="224" t="s">
        <v>66</v>
      </c>
      <c r="E177" s="225">
        <v>17</v>
      </c>
      <c r="F177" s="1605">
        <v>0</v>
      </c>
      <c r="G177" s="1608">
        <f t="shared" si="9"/>
        <v>0</v>
      </c>
    </row>
    <row r="178" spans="2:7">
      <c r="B178" s="218"/>
      <c r="C178" s="232" t="s">
        <v>230</v>
      </c>
      <c r="D178" s="224" t="s">
        <v>66</v>
      </c>
      <c r="E178" s="225">
        <v>17</v>
      </c>
      <c r="F178" s="1605">
        <v>0</v>
      </c>
      <c r="G178" s="1608">
        <f t="shared" si="9"/>
        <v>0</v>
      </c>
    </row>
    <row r="179" spans="2:7">
      <c r="B179" s="218"/>
      <c r="C179" s="232" t="s">
        <v>150</v>
      </c>
      <c r="D179" s="224" t="s">
        <v>66</v>
      </c>
      <c r="E179" s="225">
        <v>17</v>
      </c>
      <c r="F179" s="1605">
        <v>0</v>
      </c>
      <c r="G179" s="1608">
        <f t="shared" si="9"/>
        <v>0</v>
      </c>
    </row>
    <row r="180" spans="2:7">
      <c r="B180" s="218"/>
      <c r="C180" s="233" t="s">
        <v>135</v>
      </c>
      <c r="D180" s="224" t="s">
        <v>66</v>
      </c>
      <c r="E180" s="225">
        <v>17</v>
      </c>
      <c r="F180" s="1605">
        <v>0</v>
      </c>
      <c r="G180" s="1608">
        <f t="shared" si="9"/>
        <v>0</v>
      </c>
    </row>
    <row r="181" spans="2:7">
      <c r="B181" s="201" t="s">
        <v>340</v>
      </c>
      <c r="C181" s="238" t="s">
        <v>169</v>
      </c>
      <c r="D181" s="239"/>
      <c r="E181" s="240"/>
      <c r="F181" s="1609"/>
      <c r="G181" s="1610"/>
    </row>
    <row r="182" spans="2:7">
      <c r="B182" s="218"/>
      <c r="C182" s="238" t="s">
        <v>889</v>
      </c>
      <c r="D182" s="153"/>
      <c r="E182" s="741"/>
      <c r="F182" s="1611"/>
      <c r="G182" s="1612"/>
    </row>
    <row r="183" spans="2:7">
      <c r="B183" s="218"/>
      <c r="C183" s="243" t="s">
        <v>2240</v>
      </c>
      <c r="D183" s="239" t="s">
        <v>66</v>
      </c>
      <c r="E183" s="240">
        <v>2</v>
      </c>
      <c r="F183" s="1611">
        <v>0</v>
      </c>
      <c r="G183" s="1612">
        <f t="shared" ref="G183:G184" si="10">E183*F183</f>
        <v>0</v>
      </c>
    </row>
    <row r="184" spans="2:7">
      <c r="B184" s="218"/>
      <c r="C184" s="246" t="s">
        <v>2241</v>
      </c>
      <c r="D184" s="239" t="s">
        <v>66</v>
      </c>
      <c r="E184" s="240">
        <v>2</v>
      </c>
      <c r="F184" s="1611">
        <v>0</v>
      </c>
      <c r="G184" s="1612">
        <f t="shared" si="10"/>
        <v>0</v>
      </c>
    </row>
    <row r="185" spans="2:7">
      <c r="B185" s="218"/>
      <c r="C185" s="238" t="s">
        <v>198</v>
      </c>
      <c r="D185" s="153"/>
      <c r="E185" s="741"/>
      <c r="F185" s="1611"/>
      <c r="G185" s="1612"/>
    </row>
    <row r="186" spans="2:7" ht="36">
      <c r="B186" s="218"/>
      <c r="C186" s="243" t="s">
        <v>2239</v>
      </c>
      <c r="D186" s="239" t="s">
        <v>66</v>
      </c>
      <c r="E186" s="240">
        <v>163</v>
      </c>
      <c r="F186" s="1611">
        <v>0</v>
      </c>
      <c r="G186" s="1612">
        <f t="shared" ref="G186:G189" si="11">E186*F186</f>
        <v>0</v>
      </c>
    </row>
    <row r="187" spans="2:7">
      <c r="B187" s="218"/>
      <c r="C187" s="246" t="s">
        <v>171</v>
      </c>
      <c r="D187" s="239" t="s">
        <v>66</v>
      </c>
      <c r="E187" s="240">
        <v>163</v>
      </c>
      <c r="F187" s="1611">
        <v>0</v>
      </c>
      <c r="G187" s="1612">
        <f t="shared" si="11"/>
        <v>0</v>
      </c>
    </row>
    <row r="188" spans="2:7" ht="24">
      <c r="B188" s="218"/>
      <c r="C188" s="247" t="s">
        <v>890</v>
      </c>
      <c r="D188" s="239" t="s">
        <v>66</v>
      </c>
      <c r="E188" s="240">
        <v>163</v>
      </c>
      <c r="F188" s="1611">
        <v>0</v>
      </c>
      <c r="G188" s="1612">
        <f t="shared" si="11"/>
        <v>0</v>
      </c>
    </row>
    <row r="189" spans="2:7">
      <c r="B189" s="218"/>
      <c r="C189" s="247" t="s">
        <v>891</v>
      </c>
      <c r="D189" s="239" t="s">
        <v>66</v>
      </c>
      <c r="E189" s="240">
        <v>163</v>
      </c>
      <c r="F189" s="1611">
        <v>0</v>
      </c>
      <c r="G189" s="1612">
        <f t="shared" si="11"/>
        <v>0</v>
      </c>
    </row>
    <row r="190" spans="2:7">
      <c r="B190" s="201" t="s">
        <v>344</v>
      </c>
      <c r="C190" s="742" t="s">
        <v>173</v>
      </c>
      <c r="D190" s="743"/>
      <c r="E190" s="744"/>
      <c r="F190" s="1615"/>
      <c r="G190" s="1616"/>
    </row>
    <row r="191" spans="2:7" ht="60">
      <c r="B191" s="218"/>
      <c r="C191" s="745" t="s">
        <v>174</v>
      </c>
      <c r="D191" s="1166" t="s">
        <v>66</v>
      </c>
      <c r="E191" s="1167">
        <v>1</v>
      </c>
      <c r="F191" s="1617">
        <v>0</v>
      </c>
      <c r="G191" s="1616">
        <f>E191*F191</f>
        <v>0</v>
      </c>
    </row>
    <row r="192" spans="2:7">
      <c r="B192" s="218"/>
      <c r="C192" s="247"/>
      <c r="D192" s="239"/>
      <c r="E192" s="240"/>
      <c r="F192" s="1613"/>
      <c r="G192" s="1614"/>
    </row>
    <row r="193" spans="2:7">
      <c r="B193" s="258" t="s">
        <v>47</v>
      </c>
      <c r="C193" s="259" t="s">
        <v>175</v>
      </c>
      <c r="D193" s="260"/>
      <c r="E193" s="261"/>
      <c r="F193" s="1618"/>
      <c r="G193" s="1612">
        <f>SUM(G97:G191)</f>
        <v>0</v>
      </c>
    </row>
  </sheetData>
  <mergeCells count="7">
    <mergeCell ref="B105:B108"/>
    <mergeCell ref="B44:G44"/>
    <mergeCell ref="B57:B59"/>
    <mergeCell ref="B71:B75"/>
    <mergeCell ref="B93:G93"/>
    <mergeCell ref="B94:G94"/>
    <mergeCell ref="B95:G95"/>
  </mergeCells>
  <pageMargins left="0.25" right="0.25" top="0.75" bottom="0.75" header="0.3" footer="0.3"/>
  <pageSetup paperSize="9" scale="84" orientation="portrait" r:id="rId1"/>
  <headerFooter alignWithMargins="0">
    <oddFooter>&amp;C&amp;8&amp;P/&amp;N</oddFooter>
  </headerFooter>
  <rowBreaks count="3" manualBreakCount="3">
    <brk id="21" max="16383" man="1"/>
    <brk id="40" max="16383" man="1"/>
    <brk id="8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A7FB-0274-4C06-8C67-CFF1477604AD}">
  <sheetPr>
    <tabColor rgb="FFFFC000"/>
  </sheetPr>
  <dimension ref="A1:AC162"/>
  <sheetViews>
    <sheetView topLeftCell="A25" zoomScaleNormal="100" zoomScaleSheetLayoutView="100" workbookViewId="0">
      <selection activeCell="C30" sqref="C30"/>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2.7109375" style="8" bestFit="1" customWidth="1"/>
    <col min="9" max="9" width="15.7109375" style="1" customWidth="1"/>
    <col min="10" max="10" width="7.7109375" style="1" bestFit="1" customWidth="1"/>
    <col min="11" max="12" width="6.140625" style="1" bestFit="1" customWidth="1"/>
    <col min="13" max="14" width="7.140625" style="1" bestFit="1" customWidth="1"/>
    <col min="15"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12</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G157</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467</v>
      </c>
      <c r="F23" s="141">
        <v>0</v>
      </c>
      <c r="G23" s="142">
        <f t="shared" ref="G23" si="0">E23*F23</f>
        <v>0</v>
      </c>
    </row>
    <row r="24" spans="2:29">
      <c r="B24" s="125">
        <v>2</v>
      </c>
      <c r="C24" s="139" t="s">
        <v>58</v>
      </c>
      <c r="D24" s="140" t="s">
        <v>57</v>
      </c>
      <c r="E24" s="128">
        <v>467</v>
      </c>
      <c r="F24" s="141">
        <v>0</v>
      </c>
      <c r="G24" s="142">
        <f>E24*F24</f>
        <v>0</v>
      </c>
    </row>
    <row r="25" spans="2:29" ht="53.25" customHeight="1">
      <c r="B25" s="125">
        <v>3</v>
      </c>
      <c r="C25" s="139" t="s">
        <v>59</v>
      </c>
      <c r="D25" s="140" t="s">
        <v>60</v>
      </c>
      <c r="E25" s="128">
        <v>1</v>
      </c>
      <c r="F25" s="141">
        <v>0</v>
      </c>
      <c r="G25" s="142">
        <f t="shared" ref="G25:G35" si="1">E25*F25</f>
        <v>0</v>
      </c>
      <c r="H25" s="143"/>
    </row>
    <row r="26" spans="2:29" ht="124.5" customHeight="1">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467</v>
      </c>
      <c r="F28" s="141">
        <v>0</v>
      </c>
      <c r="G28" s="142">
        <f t="shared" si="1"/>
        <v>0</v>
      </c>
    </row>
    <row r="29" spans="2:29" ht="52.5" customHeight="1">
      <c r="B29" s="125">
        <v>7</v>
      </c>
      <c r="C29" s="147" t="s">
        <v>64</v>
      </c>
      <c r="D29" s="146" t="s">
        <v>60</v>
      </c>
      <c r="E29" s="128">
        <v>1</v>
      </c>
      <c r="F29" s="141">
        <v>0</v>
      </c>
      <c r="G29" s="142">
        <f t="shared" si="1"/>
        <v>0</v>
      </c>
    </row>
    <row r="30" spans="2:29" ht="48">
      <c r="B30" s="125">
        <v>8</v>
      </c>
      <c r="C30" s="1080" t="s">
        <v>2292</v>
      </c>
      <c r="D30" s="146" t="s">
        <v>66</v>
      </c>
      <c r="E30" s="128">
        <v>38</v>
      </c>
      <c r="F30" s="141">
        <v>0</v>
      </c>
      <c r="G30" s="142">
        <f t="shared" si="1"/>
        <v>0</v>
      </c>
    </row>
    <row r="31" spans="2:29" ht="37.5" customHeight="1">
      <c r="B31" s="125">
        <v>9</v>
      </c>
      <c r="C31" s="1080" t="s">
        <v>2294</v>
      </c>
      <c r="D31" s="146" t="s">
        <v>57</v>
      </c>
      <c r="E31" s="128">
        <v>749</v>
      </c>
      <c r="F31" s="141">
        <v>0</v>
      </c>
      <c r="G31" s="142">
        <f t="shared" si="1"/>
        <v>0</v>
      </c>
      <c r="H31" s="143"/>
    </row>
    <row r="32" spans="2:29" ht="27.75" customHeight="1">
      <c r="B32" s="125">
        <v>10</v>
      </c>
      <c r="C32" s="1080" t="s">
        <v>2293</v>
      </c>
      <c r="D32" s="146" t="s">
        <v>57</v>
      </c>
      <c r="E32" s="128">
        <v>749</v>
      </c>
      <c r="F32" s="141">
        <v>0</v>
      </c>
      <c r="G32" s="142">
        <f t="shared" si="1"/>
        <v>0</v>
      </c>
    </row>
    <row r="33" spans="2:28" ht="14.25" customHeight="1">
      <c r="B33" s="125">
        <v>11</v>
      </c>
      <c r="C33" s="147" t="s">
        <v>67</v>
      </c>
      <c r="D33" s="146" t="s">
        <v>60</v>
      </c>
      <c r="E33" s="128">
        <v>1</v>
      </c>
      <c r="F33" s="141">
        <v>0</v>
      </c>
      <c r="G33" s="142">
        <f t="shared" si="1"/>
        <v>0</v>
      </c>
    </row>
    <row r="34" spans="2:28"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c r="Z34" s="8"/>
      <c r="AA34" s="8"/>
      <c r="AB34" s="8"/>
    </row>
    <row r="35" spans="2:28" ht="38.25" customHeight="1">
      <c r="B35" s="125">
        <v>13</v>
      </c>
      <c r="C35" s="150" t="s">
        <v>69</v>
      </c>
      <c r="D35" s="146" t="s">
        <v>60</v>
      </c>
      <c r="E35" s="149">
        <v>3</v>
      </c>
      <c r="F35" s="141">
        <v>0</v>
      </c>
      <c r="G35" s="142">
        <f t="shared" si="1"/>
        <v>0</v>
      </c>
      <c r="I35" s="8"/>
      <c r="J35" s="8"/>
      <c r="K35" s="8"/>
      <c r="L35" s="8"/>
      <c r="M35" s="8"/>
      <c r="N35" s="8"/>
      <c r="O35" s="8"/>
      <c r="P35" s="8"/>
      <c r="Q35" s="8"/>
      <c r="R35" s="8"/>
      <c r="S35" s="8"/>
      <c r="T35" s="8"/>
      <c r="U35" s="8"/>
      <c r="V35" s="8"/>
      <c r="W35" s="8"/>
      <c r="X35" s="8"/>
      <c r="Y35" s="8"/>
      <c r="Z35" s="8"/>
      <c r="AA35" s="8"/>
      <c r="AB35" s="8"/>
    </row>
    <row r="36" spans="2:28">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c r="Z36" s="8"/>
      <c r="AA36" s="8"/>
      <c r="AB36" s="8"/>
    </row>
    <row r="37" spans="2:28">
      <c r="B37" s="125"/>
      <c r="C37" s="126"/>
      <c r="D37" s="127"/>
      <c r="E37" s="128"/>
      <c r="F37" s="129"/>
      <c r="G37" s="130"/>
      <c r="I37" s="8"/>
      <c r="J37" s="8"/>
      <c r="K37" s="8"/>
      <c r="L37" s="8"/>
      <c r="M37" s="8"/>
      <c r="N37" s="8"/>
      <c r="O37" s="8"/>
      <c r="P37" s="8"/>
      <c r="Q37" s="8"/>
      <c r="R37" s="8"/>
      <c r="S37" s="8"/>
      <c r="T37" s="8"/>
      <c r="U37" s="8"/>
      <c r="V37" s="8"/>
      <c r="W37" s="8"/>
      <c r="X37" s="8"/>
      <c r="Y37" s="8"/>
      <c r="Z37" s="8"/>
      <c r="AA37" s="8"/>
      <c r="AB37" s="8"/>
    </row>
    <row r="38" spans="2:28"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c r="Z38" s="8"/>
      <c r="AA38" s="8"/>
      <c r="AB38" s="8"/>
    </row>
    <row r="39" spans="2:28">
      <c r="B39" s="125"/>
      <c r="C39" s="163"/>
      <c r="D39" s="140"/>
      <c r="E39" s="128"/>
      <c r="F39" s="129"/>
      <c r="G39" s="130"/>
      <c r="I39" s="8"/>
      <c r="J39" s="8"/>
      <c r="K39" s="8"/>
      <c r="L39" s="8"/>
      <c r="M39" s="8"/>
      <c r="N39" s="8"/>
      <c r="O39" s="8"/>
      <c r="P39" s="8"/>
      <c r="Q39" s="8"/>
      <c r="R39" s="8"/>
      <c r="S39" s="8"/>
      <c r="T39" s="8"/>
      <c r="U39" s="8"/>
      <c r="V39" s="8"/>
      <c r="W39" s="8"/>
      <c r="X39" s="8"/>
      <c r="Y39" s="8"/>
      <c r="Z39" s="8"/>
      <c r="AA39" s="8"/>
      <c r="AB39" s="8"/>
    </row>
    <row r="40" spans="2:28"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c r="Z40" s="8"/>
      <c r="AA40" s="8"/>
      <c r="AB40" s="8"/>
    </row>
    <row r="41" spans="2:28" s="166" customFormat="1" ht="71.25" customHeight="1">
      <c r="B41" s="2399" t="s">
        <v>72</v>
      </c>
      <c r="C41" s="2400"/>
      <c r="D41" s="2400"/>
      <c r="E41" s="2400"/>
      <c r="F41" s="2400"/>
      <c r="G41" s="2401"/>
      <c r="H41" s="8"/>
      <c r="I41" s="8"/>
      <c r="J41" s="8"/>
      <c r="K41" s="8"/>
      <c r="L41" s="8"/>
      <c r="M41" s="8"/>
      <c r="N41" s="8"/>
      <c r="O41" s="8"/>
      <c r="P41" s="8"/>
      <c r="Q41" s="8"/>
      <c r="R41" s="8"/>
      <c r="S41" s="8"/>
      <c r="T41" s="8"/>
      <c r="U41" s="8"/>
      <c r="V41" s="8"/>
      <c r="W41" s="8"/>
      <c r="X41" s="8"/>
      <c r="Y41" s="8"/>
      <c r="Z41" s="8"/>
      <c r="AA41" s="8"/>
      <c r="AB41" s="8"/>
    </row>
    <row r="42" spans="2:28" ht="24">
      <c r="B42" s="167">
        <v>1</v>
      </c>
      <c r="C42" s="139" t="s">
        <v>73</v>
      </c>
      <c r="D42" s="140" t="s">
        <v>74</v>
      </c>
      <c r="E42" s="128">
        <v>24</v>
      </c>
      <c r="F42" s="141">
        <v>0</v>
      </c>
      <c r="G42" s="142">
        <f t="shared" ref="G42:G65" si="2">E42*F42</f>
        <v>0</v>
      </c>
      <c r="I42" s="8"/>
      <c r="J42" s="8"/>
      <c r="K42" s="8"/>
      <c r="L42" s="8"/>
      <c r="M42" s="8"/>
      <c r="N42" s="8"/>
      <c r="O42" s="8"/>
      <c r="P42" s="8"/>
      <c r="Q42" s="8"/>
      <c r="R42" s="8"/>
      <c r="S42" s="8"/>
      <c r="T42" s="8"/>
      <c r="U42" s="8"/>
      <c r="V42" s="8"/>
      <c r="W42" s="8"/>
      <c r="X42" s="8"/>
      <c r="Y42" s="8"/>
      <c r="Z42" s="8"/>
      <c r="AA42" s="8"/>
      <c r="AB42" s="8"/>
    </row>
    <row r="43" spans="2:28" ht="36">
      <c r="B43" s="167">
        <v>2</v>
      </c>
      <c r="C43" s="139" t="s">
        <v>75</v>
      </c>
      <c r="D43" s="145" t="s">
        <v>74</v>
      </c>
      <c r="E43" s="128">
        <v>17</v>
      </c>
      <c r="F43" s="141">
        <v>0</v>
      </c>
      <c r="G43" s="142">
        <f t="shared" si="2"/>
        <v>0</v>
      </c>
      <c r="I43" s="8"/>
      <c r="J43" s="8"/>
      <c r="K43" s="8"/>
      <c r="L43" s="8"/>
      <c r="M43" s="8"/>
      <c r="N43" s="8"/>
      <c r="O43" s="8"/>
      <c r="P43" s="8"/>
      <c r="Q43" s="8"/>
      <c r="R43" s="8"/>
      <c r="S43" s="8"/>
      <c r="T43" s="8"/>
      <c r="U43" s="8"/>
      <c r="V43" s="8"/>
      <c r="W43" s="8"/>
      <c r="X43" s="8"/>
      <c r="Y43" s="8"/>
      <c r="Z43" s="8"/>
      <c r="AA43" s="8"/>
      <c r="AB43" s="8"/>
    </row>
    <row r="44" spans="2:28" ht="39.75" customHeight="1">
      <c r="B44" s="167">
        <v>3</v>
      </c>
      <c r="C44" s="139" t="s">
        <v>76</v>
      </c>
      <c r="D44" s="145" t="s">
        <v>74</v>
      </c>
      <c r="E44" s="128">
        <v>829</v>
      </c>
      <c r="F44" s="141">
        <v>0</v>
      </c>
      <c r="G44" s="142">
        <f t="shared" si="2"/>
        <v>0</v>
      </c>
      <c r="I44" s="8"/>
      <c r="J44" s="8"/>
      <c r="K44" s="8"/>
      <c r="L44" s="8"/>
      <c r="M44" s="8"/>
      <c r="N44" s="8"/>
      <c r="O44" s="8"/>
      <c r="P44" s="8"/>
      <c r="Q44" s="8"/>
      <c r="R44" s="8"/>
      <c r="S44" s="8"/>
      <c r="T44" s="8"/>
      <c r="U44" s="8"/>
      <c r="V44" s="8"/>
      <c r="W44" s="8"/>
      <c r="X44" s="8"/>
      <c r="Y44" s="8"/>
      <c r="Z44" s="8"/>
      <c r="AA44" s="8"/>
      <c r="AB44" s="8"/>
    </row>
    <row r="45" spans="2:28" ht="24">
      <c r="B45" s="167">
        <v>4</v>
      </c>
      <c r="C45" s="168" t="s">
        <v>77</v>
      </c>
      <c r="D45" s="169" t="s">
        <v>78</v>
      </c>
      <c r="E45" s="170">
        <v>2056</v>
      </c>
      <c r="F45" s="141">
        <v>0</v>
      </c>
      <c r="G45" s="142">
        <f t="shared" si="2"/>
        <v>0</v>
      </c>
      <c r="I45" s="8"/>
      <c r="J45" s="8"/>
      <c r="K45" s="8"/>
      <c r="L45" s="8"/>
      <c r="M45" s="8"/>
      <c r="N45" s="8"/>
      <c r="O45" s="8"/>
      <c r="P45" s="8"/>
      <c r="Q45" s="8"/>
      <c r="R45" s="8"/>
      <c r="S45" s="8"/>
      <c r="T45" s="8"/>
      <c r="U45" s="8"/>
      <c r="V45" s="8"/>
      <c r="W45" s="8"/>
      <c r="X45" s="8"/>
      <c r="Y45" s="8"/>
      <c r="Z45" s="8"/>
      <c r="AA45" s="8"/>
      <c r="AB45" s="8"/>
    </row>
    <row r="46" spans="2:28" ht="29.25" customHeight="1">
      <c r="B46" s="167">
        <v>5</v>
      </c>
      <c r="C46" s="139" t="s">
        <v>79</v>
      </c>
      <c r="D46" s="145" t="s">
        <v>78</v>
      </c>
      <c r="E46" s="128">
        <v>607</v>
      </c>
      <c r="F46" s="141">
        <v>0</v>
      </c>
      <c r="G46" s="142">
        <f t="shared" si="2"/>
        <v>0</v>
      </c>
      <c r="I46" s="8"/>
      <c r="J46" s="8"/>
      <c r="K46" s="8"/>
      <c r="L46" s="8"/>
      <c r="M46" s="8"/>
      <c r="N46" s="8"/>
      <c r="O46" s="8"/>
      <c r="P46" s="8"/>
      <c r="Q46" s="8"/>
      <c r="R46" s="8"/>
      <c r="S46" s="8"/>
      <c r="T46" s="8"/>
      <c r="U46" s="8"/>
      <c r="V46" s="8"/>
      <c r="W46" s="8"/>
      <c r="X46" s="8"/>
      <c r="Y46" s="8"/>
      <c r="Z46" s="8"/>
      <c r="AA46" s="8"/>
      <c r="AB46" s="8"/>
    </row>
    <row r="47" spans="2:28" ht="27" customHeight="1">
      <c r="B47" s="167">
        <v>6</v>
      </c>
      <c r="C47" s="139" t="s">
        <v>80</v>
      </c>
      <c r="D47" s="145" t="s">
        <v>74</v>
      </c>
      <c r="E47" s="128">
        <v>183</v>
      </c>
      <c r="F47" s="141">
        <v>0</v>
      </c>
      <c r="G47" s="142">
        <f t="shared" si="2"/>
        <v>0</v>
      </c>
      <c r="I47" s="8"/>
      <c r="J47" s="8"/>
      <c r="K47" s="8"/>
      <c r="L47" s="8"/>
      <c r="M47" s="8"/>
      <c r="N47" s="8"/>
      <c r="O47" s="8"/>
      <c r="P47" s="8"/>
      <c r="Q47" s="8"/>
      <c r="R47" s="8"/>
      <c r="S47" s="8"/>
      <c r="T47" s="8"/>
      <c r="U47" s="8"/>
      <c r="V47" s="8"/>
      <c r="W47" s="8"/>
      <c r="X47" s="8"/>
      <c r="Y47" s="8"/>
      <c r="Z47" s="8"/>
      <c r="AA47" s="8"/>
      <c r="AB47" s="8"/>
    </row>
    <row r="48" spans="2:28" s="176" customFormat="1" ht="36">
      <c r="B48" s="167">
        <v>7</v>
      </c>
      <c r="C48" s="171" t="s">
        <v>81</v>
      </c>
      <c r="D48" s="172" t="s">
        <v>74</v>
      </c>
      <c r="E48" s="173">
        <v>383</v>
      </c>
      <c r="F48" s="141">
        <v>0</v>
      </c>
      <c r="G48" s="175">
        <f t="shared" si="2"/>
        <v>0</v>
      </c>
      <c r="H48" s="8"/>
      <c r="I48" s="8"/>
      <c r="J48" s="8"/>
      <c r="K48" s="8"/>
      <c r="L48" s="8"/>
      <c r="M48" s="8"/>
      <c r="N48" s="8"/>
      <c r="O48" s="8"/>
      <c r="P48" s="8"/>
      <c r="Q48" s="8"/>
      <c r="R48" s="8"/>
      <c r="S48" s="8"/>
      <c r="T48" s="8"/>
      <c r="U48" s="8"/>
      <c r="V48" s="8"/>
      <c r="W48" s="8"/>
      <c r="X48" s="8"/>
      <c r="Y48" s="8"/>
      <c r="Z48" s="8"/>
      <c r="AA48" s="8"/>
      <c r="AB48" s="8"/>
    </row>
    <row r="49" spans="2:28" s="166" customFormat="1" ht="36">
      <c r="B49" s="167">
        <v>8</v>
      </c>
      <c r="C49" s="177" t="s">
        <v>82</v>
      </c>
      <c r="D49" s="146" t="s">
        <v>74</v>
      </c>
      <c r="E49" s="128">
        <v>304</v>
      </c>
      <c r="F49" s="141">
        <v>0</v>
      </c>
      <c r="G49" s="142">
        <f t="shared" si="2"/>
        <v>0</v>
      </c>
      <c r="H49" s="8"/>
      <c r="I49" s="8"/>
      <c r="J49" s="8"/>
      <c r="K49" s="8"/>
      <c r="L49" s="8"/>
      <c r="M49" s="8"/>
      <c r="N49" s="8"/>
      <c r="O49" s="8"/>
      <c r="P49" s="8"/>
      <c r="Q49" s="8"/>
      <c r="R49" s="8"/>
      <c r="S49" s="8"/>
      <c r="T49" s="8"/>
      <c r="U49" s="8"/>
      <c r="V49" s="8"/>
      <c r="W49" s="8"/>
      <c r="X49" s="8"/>
      <c r="Y49" s="8"/>
      <c r="Z49" s="8"/>
      <c r="AA49" s="8"/>
      <c r="AB49" s="8"/>
    </row>
    <row r="50" spans="2:28" s="179" customFormat="1" ht="51" customHeight="1">
      <c r="B50" s="2406">
        <v>9</v>
      </c>
      <c r="C50" s="178" t="s">
        <v>83</v>
      </c>
      <c r="D50" s="140"/>
      <c r="E50" s="128"/>
      <c r="F50" s="141"/>
      <c r="G50" s="142"/>
      <c r="H50" s="8"/>
      <c r="I50" s="8"/>
      <c r="J50" s="8"/>
      <c r="K50" s="8"/>
      <c r="L50" s="8"/>
      <c r="M50" s="8"/>
      <c r="N50" s="8"/>
      <c r="O50" s="8"/>
      <c r="P50" s="8"/>
      <c r="Q50" s="8"/>
      <c r="R50" s="8"/>
      <c r="S50" s="8"/>
      <c r="T50" s="8"/>
      <c r="U50" s="8"/>
      <c r="V50" s="8"/>
      <c r="W50" s="8"/>
      <c r="X50" s="8"/>
      <c r="Y50" s="8"/>
      <c r="Z50" s="8"/>
      <c r="AA50" s="8"/>
      <c r="AB50" s="8"/>
    </row>
    <row r="51" spans="2:28" s="179" customFormat="1" ht="15" customHeight="1">
      <c r="B51" s="2407"/>
      <c r="C51" s="178" t="s">
        <v>84</v>
      </c>
      <c r="D51" s="140" t="s">
        <v>57</v>
      </c>
      <c r="E51" s="128">
        <v>5</v>
      </c>
      <c r="F51" s="141">
        <v>0</v>
      </c>
      <c r="G51" s="142">
        <f t="shared" ref="G51" si="3">E51*F51</f>
        <v>0</v>
      </c>
      <c r="H51" s="8"/>
      <c r="I51" s="8"/>
      <c r="J51" s="8"/>
      <c r="K51" s="8"/>
      <c r="L51" s="8"/>
      <c r="M51" s="8"/>
      <c r="N51" s="8"/>
      <c r="O51" s="8"/>
      <c r="P51" s="8"/>
      <c r="Q51" s="8"/>
      <c r="R51" s="8"/>
      <c r="S51" s="8"/>
      <c r="T51" s="8"/>
      <c r="U51" s="8"/>
      <c r="V51" s="8"/>
      <c r="W51" s="8"/>
      <c r="X51" s="8"/>
      <c r="Y51" s="8"/>
      <c r="Z51" s="8"/>
      <c r="AA51" s="8"/>
      <c r="AB51" s="8"/>
    </row>
    <row r="52" spans="2:28" ht="25.5" customHeight="1">
      <c r="B52" s="167">
        <v>10</v>
      </c>
      <c r="C52" s="139" t="s">
        <v>85</v>
      </c>
      <c r="D52" s="145" t="s">
        <v>57</v>
      </c>
      <c r="E52" s="128">
        <v>1130</v>
      </c>
      <c r="F52" s="141">
        <v>0</v>
      </c>
      <c r="G52" s="142">
        <f t="shared" si="2"/>
        <v>0</v>
      </c>
      <c r="I52" s="8"/>
      <c r="J52" s="8"/>
      <c r="K52" s="8"/>
      <c r="L52" s="8"/>
      <c r="M52" s="8"/>
      <c r="N52" s="8"/>
      <c r="O52" s="8"/>
      <c r="P52" s="8"/>
      <c r="Q52" s="8"/>
      <c r="R52" s="8"/>
      <c r="S52" s="8"/>
      <c r="T52" s="8"/>
      <c r="U52" s="8"/>
      <c r="V52" s="8"/>
      <c r="W52" s="8"/>
      <c r="X52" s="8"/>
      <c r="Y52" s="8"/>
      <c r="Z52" s="8"/>
      <c r="AA52" s="8"/>
      <c r="AB52" s="8"/>
    </row>
    <row r="53" spans="2:28" ht="24">
      <c r="B53" s="167">
        <v>11</v>
      </c>
      <c r="C53" s="139" t="s">
        <v>86</v>
      </c>
      <c r="D53" s="140" t="s">
        <v>78</v>
      </c>
      <c r="E53" s="128">
        <v>840</v>
      </c>
      <c r="F53" s="141">
        <v>0</v>
      </c>
      <c r="G53" s="142">
        <f t="shared" si="2"/>
        <v>0</v>
      </c>
      <c r="I53" s="8"/>
      <c r="J53" s="8"/>
      <c r="K53" s="8"/>
      <c r="L53" s="8"/>
      <c r="M53" s="8"/>
      <c r="N53" s="8"/>
      <c r="O53" s="8"/>
      <c r="P53" s="8"/>
      <c r="Q53" s="8"/>
      <c r="R53" s="8"/>
      <c r="S53" s="8"/>
      <c r="T53" s="8"/>
      <c r="U53" s="8"/>
      <c r="V53" s="8"/>
      <c r="W53" s="8"/>
      <c r="X53" s="8"/>
      <c r="Y53" s="8"/>
      <c r="Z53" s="8"/>
      <c r="AA53" s="8"/>
      <c r="AB53" s="8"/>
    </row>
    <row r="54" spans="2:28" ht="49.5" customHeight="1">
      <c r="B54" s="167">
        <v>12</v>
      </c>
      <c r="C54" s="180" t="s">
        <v>87</v>
      </c>
      <c r="D54" s="140" t="s">
        <v>78</v>
      </c>
      <c r="E54" s="128">
        <v>840</v>
      </c>
      <c r="F54" s="141">
        <v>0</v>
      </c>
      <c r="G54" s="142">
        <f t="shared" si="2"/>
        <v>0</v>
      </c>
      <c r="I54" s="8"/>
      <c r="J54" s="8"/>
      <c r="K54" s="8"/>
      <c r="L54" s="8"/>
      <c r="M54" s="8"/>
      <c r="N54" s="8"/>
      <c r="O54" s="8"/>
      <c r="P54" s="8"/>
      <c r="Q54" s="8"/>
      <c r="R54" s="8"/>
      <c r="S54" s="8"/>
      <c r="T54" s="8"/>
      <c r="U54" s="8"/>
      <c r="V54" s="8"/>
      <c r="W54" s="8"/>
      <c r="X54" s="8"/>
      <c r="Y54" s="8"/>
      <c r="Z54" s="8"/>
      <c r="AA54" s="8"/>
      <c r="AB54" s="8"/>
    </row>
    <row r="55" spans="2:28" ht="48">
      <c r="B55" s="167">
        <v>13</v>
      </c>
      <c r="C55" s="139" t="s">
        <v>88</v>
      </c>
      <c r="D55" s="145" t="s">
        <v>78</v>
      </c>
      <c r="E55" s="128">
        <v>840</v>
      </c>
      <c r="F55" s="141">
        <v>0</v>
      </c>
      <c r="G55" s="142">
        <f t="shared" si="2"/>
        <v>0</v>
      </c>
      <c r="I55" s="8"/>
      <c r="J55" s="8"/>
      <c r="K55" s="8"/>
      <c r="L55" s="8"/>
      <c r="M55" s="8"/>
      <c r="N55" s="8"/>
      <c r="O55" s="8"/>
      <c r="P55" s="8"/>
      <c r="Q55" s="8"/>
      <c r="R55" s="8"/>
      <c r="S55" s="8"/>
      <c r="T55" s="8"/>
      <c r="U55" s="8"/>
      <c r="V55" s="8"/>
      <c r="W55" s="8"/>
      <c r="X55" s="8"/>
      <c r="Y55" s="8"/>
      <c r="Z55" s="8"/>
      <c r="AA55" s="8"/>
      <c r="AB55" s="8"/>
    </row>
    <row r="56" spans="2:28" ht="60">
      <c r="B56" s="167">
        <v>14</v>
      </c>
      <c r="C56" s="139" t="s">
        <v>89</v>
      </c>
      <c r="D56" s="145" t="s">
        <v>78</v>
      </c>
      <c r="E56" s="128">
        <v>1176</v>
      </c>
      <c r="F56" s="141">
        <v>0</v>
      </c>
      <c r="G56" s="142">
        <f>E56*F56</f>
        <v>0</v>
      </c>
      <c r="I56" s="8"/>
      <c r="J56" s="8"/>
      <c r="K56" s="8"/>
      <c r="L56" s="8"/>
      <c r="M56" s="8"/>
      <c r="N56" s="8"/>
      <c r="O56" s="8"/>
      <c r="P56" s="8"/>
      <c r="Q56" s="8"/>
      <c r="R56" s="8"/>
      <c r="S56" s="8"/>
      <c r="T56" s="8"/>
      <c r="U56" s="8"/>
      <c r="V56" s="8"/>
      <c r="W56" s="8"/>
      <c r="X56" s="8"/>
      <c r="Y56" s="8"/>
      <c r="Z56" s="8"/>
      <c r="AA56" s="8"/>
      <c r="AB56" s="8"/>
    </row>
    <row r="57" spans="2:28" ht="38.25" customHeight="1">
      <c r="B57" s="167">
        <v>15</v>
      </c>
      <c r="C57" s="139" t="s">
        <v>90</v>
      </c>
      <c r="D57" s="140" t="s">
        <v>78</v>
      </c>
      <c r="E57" s="128">
        <v>336</v>
      </c>
      <c r="F57" s="141">
        <v>0</v>
      </c>
      <c r="G57" s="142">
        <f t="shared" si="2"/>
        <v>0</v>
      </c>
      <c r="I57" s="8"/>
      <c r="J57" s="8"/>
      <c r="K57" s="8"/>
      <c r="L57" s="8"/>
      <c r="M57" s="8"/>
      <c r="N57" s="8"/>
      <c r="O57" s="8"/>
      <c r="P57" s="8"/>
      <c r="Q57" s="8"/>
      <c r="R57" s="8"/>
      <c r="S57" s="8"/>
      <c r="T57" s="8"/>
      <c r="U57" s="8"/>
      <c r="V57" s="8"/>
      <c r="W57" s="8"/>
      <c r="X57" s="8"/>
      <c r="Y57" s="8"/>
      <c r="Z57" s="8"/>
      <c r="AA57" s="8"/>
      <c r="AB57" s="8"/>
    </row>
    <row r="58" spans="2:28" ht="26.25" customHeight="1">
      <c r="B58" s="167">
        <v>16</v>
      </c>
      <c r="C58" s="171" t="s">
        <v>91</v>
      </c>
      <c r="D58" s="172" t="s">
        <v>74</v>
      </c>
      <c r="E58" s="173">
        <v>24</v>
      </c>
      <c r="F58" s="141">
        <v>0</v>
      </c>
      <c r="G58" s="175">
        <f t="shared" si="2"/>
        <v>0</v>
      </c>
      <c r="I58" s="8"/>
      <c r="J58" s="8"/>
      <c r="K58" s="8"/>
      <c r="L58" s="8"/>
      <c r="M58" s="8"/>
      <c r="N58" s="8"/>
      <c r="O58" s="8"/>
      <c r="P58" s="8"/>
      <c r="Q58" s="8"/>
      <c r="R58" s="8"/>
      <c r="S58" s="8"/>
      <c r="T58" s="8"/>
      <c r="U58" s="8"/>
      <c r="V58" s="8"/>
      <c r="W58" s="8"/>
      <c r="X58" s="8"/>
      <c r="Y58" s="8"/>
      <c r="Z58" s="8"/>
      <c r="AA58" s="8"/>
      <c r="AB58" s="8"/>
    </row>
    <row r="59" spans="2:28" s="176" customFormat="1" ht="24">
      <c r="B59" s="167">
        <v>17</v>
      </c>
      <c r="C59" s="171" t="s">
        <v>92</v>
      </c>
      <c r="D59" s="172" t="s">
        <v>74</v>
      </c>
      <c r="E59" s="173">
        <v>846</v>
      </c>
      <c r="F59" s="141">
        <v>0</v>
      </c>
      <c r="G59" s="175">
        <f t="shared" si="2"/>
        <v>0</v>
      </c>
      <c r="H59" s="8"/>
      <c r="I59" s="8"/>
      <c r="J59" s="8"/>
      <c r="K59" s="8"/>
      <c r="L59" s="8"/>
      <c r="M59" s="8"/>
      <c r="N59" s="8"/>
      <c r="O59" s="8"/>
      <c r="P59" s="8"/>
      <c r="Q59" s="8"/>
      <c r="R59" s="8"/>
      <c r="S59" s="8"/>
      <c r="T59" s="8"/>
      <c r="U59" s="8"/>
      <c r="V59" s="8"/>
      <c r="W59" s="8"/>
      <c r="X59" s="8"/>
      <c r="Y59" s="8"/>
      <c r="Z59" s="8"/>
      <c r="AA59" s="8"/>
      <c r="AB59" s="8"/>
    </row>
    <row r="60" spans="2:28" s="176" customFormat="1">
      <c r="B60" s="167">
        <v>18</v>
      </c>
      <c r="C60" s="171" t="s">
        <v>93</v>
      </c>
      <c r="D60" s="172" t="s">
        <v>74</v>
      </c>
      <c r="E60" s="173">
        <v>846</v>
      </c>
      <c r="F60" s="141">
        <v>0</v>
      </c>
      <c r="G60" s="175">
        <f t="shared" si="2"/>
        <v>0</v>
      </c>
      <c r="H60" s="8"/>
      <c r="I60" s="8"/>
      <c r="J60" s="8"/>
      <c r="K60" s="8"/>
      <c r="L60" s="8"/>
      <c r="M60" s="8"/>
      <c r="N60" s="8"/>
      <c r="O60" s="8"/>
      <c r="P60" s="8"/>
      <c r="Q60" s="8"/>
      <c r="R60" s="8"/>
      <c r="S60" s="8"/>
      <c r="T60" s="8"/>
      <c r="U60" s="8"/>
      <c r="V60" s="8"/>
      <c r="W60" s="8"/>
      <c r="X60" s="8"/>
      <c r="Y60" s="8"/>
      <c r="Z60" s="8"/>
      <c r="AA60" s="8"/>
      <c r="AB60" s="8"/>
    </row>
    <row r="61" spans="2:28" ht="24">
      <c r="B61" s="167">
        <v>19</v>
      </c>
      <c r="C61" s="171" t="s">
        <v>94</v>
      </c>
      <c r="D61" s="172" t="s">
        <v>78</v>
      </c>
      <c r="E61" s="173">
        <v>840</v>
      </c>
      <c r="F61" s="141">
        <v>0</v>
      </c>
      <c r="G61" s="175">
        <f t="shared" si="2"/>
        <v>0</v>
      </c>
      <c r="I61" s="8"/>
      <c r="J61" s="8"/>
      <c r="K61" s="8"/>
      <c r="L61" s="8"/>
      <c r="M61" s="8"/>
      <c r="N61" s="8"/>
      <c r="O61" s="8"/>
      <c r="P61" s="8"/>
      <c r="Q61" s="8"/>
      <c r="R61" s="8"/>
      <c r="S61" s="8"/>
      <c r="T61" s="8"/>
      <c r="U61" s="8"/>
      <c r="V61" s="8"/>
      <c r="W61" s="8"/>
      <c r="X61" s="8"/>
      <c r="Y61" s="8"/>
      <c r="Z61" s="8"/>
      <c r="AA61" s="8"/>
      <c r="AB61" s="8"/>
    </row>
    <row r="62" spans="2:28" ht="27" customHeight="1">
      <c r="B62" s="167">
        <v>20</v>
      </c>
      <c r="C62" s="139" t="s">
        <v>95</v>
      </c>
      <c r="D62" s="140" t="s">
        <v>78</v>
      </c>
      <c r="E62" s="128">
        <v>699</v>
      </c>
      <c r="F62" s="141">
        <v>0</v>
      </c>
      <c r="G62" s="142">
        <f t="shared" si="2"/>
        <v>0</v>
      </c>
      <c r="I62" s="8"/>
      <c r="J62" s="8"/>
      <c r="K62" s="8"/>
      <c r="L62" s="8"/>
      <c r="M62" s="8"/>
      <c r="N62" s="8"/>
      <c r="O62" s="8"/>
      <c r="P62" s="8"/>
      <c r="Q62" s="8"/>
      <c r="R62" s="8"/>
      <c r="S62" s="8"/>
      <c r="T62" s="8"/>
      <c r="U62" s="8"/>
      <c r="V62" s="8"/>
      <c r="W62" s="8"/>
      <c r="X62" s="8"/>
      <c r="Y62" s="8"/>
      <c r="Z62" s="8"/>
      <c r="AA62" s="8"/>
      <c r="AB62" s="8"/>
    </row>
    <row r="63" spans="2:28" ht="25.5" customHeight="1">
      <c r="B63" s="167">
        <v>21</v>
      </c>
      <c r="C63" s="177" t="s">
        <v>96</v>
      </c>
      <c r="D63" s="140" t="s">
        <v>57</v>
      </c>
      <c r="E63" s="128">
        <v>10</v>
      </c>
      <c r="F63" s="141">
        <v>0</v>
      </c>
      <c r="G63" s="142">
        <f t="shared" si="2"/>
        <v>0</v>
      </c>
      <c r="I63" s="8"/>
      <c r="J63" s="8"/>
      <c r="K63" s="8"/>
      <c r="L63" s="8"/>
      <c r="M63" s="8"/>
      <c r="N63" s="8"/>
      <c r="O63" s="8"/>
      <c r="P63" s="8"/>
      <c r="Q63" s="8"/>
      <c r="R63" s="8"/>
      <c r="S63" s="8"/>
      <c r="T63" s="8"/>
      <c r="U63" s="8"/>
      <c r="V63" s="8"/>
      <c r="W63" s="8"/>
      <c r="X63" s="8"/>
      <c r="Y63" s="8"/>
      <c r="Z63" s="8"/>
      <c r="AA63" s="8"/>
      <c r="AB63" s="8"/>
    </row>
    <row r="64" spans="2:28" ht="29.25" customHeight="1">
      <c r="B64" s="167">
        <v>22</v>
      </c>
      <c r="C64" s="181" t="s">
        <v>97</v>
      </c>
      <c r="D64" s="182" t="s">
        <v>74</v>
      </c>
      <c r="E64" s="183">
        <v>1</v>
      </c>
      <c r="F64" s="141">
        <v>0</v>
      </c>
      <c r="G64" s="142">
        <f t="shared" si="2"/>
        <v>0</v>
      </c>
      <c r="I64" s="8"/>
      <c r="J64" s="8"/>
      <c r="K64" s="8"/>
      <c r="L64" s="8"/>
      <c r="M64" s="8"/>
      <c r="N64" s="8"/>
      <c r="O64" s="8"/>
      <c r="P64" s="8"/>
      <c r="Q64" s="8"/>
      <c r="R64" s="8"/>
      <c r="S64" s="8"/>
      <c r="T64" s="8"/>
      <c r="U64" s="8"/>
      <c r="V64" s="8"/>
      <c r="W64" s="8"/>
      <c r="X64" s="8"/>
      <c r="Y64" s="8"/>
      <c r="Z64" s="8"/>
      <c r="AA64" s="8"/>
      <c r="AB64" s="8"/>
    </row>
    <row r="65" spans="1:28" ht="30" customHeight="1">
      <c r="B65" s="167">
        <v>23</v>
      </c>
      <c r="C65" s="184" t="s">
        <v>98</v>
      </c>
      <c r="D65" s="182" t="s">
        <v>66</v>
      </c>
      <c r="E65" s="128">
        <v>52</v>
      </c>
      <c r="F65" s="141">
        <v>0</v>
      </c>
      <c r="G65" s="142">
        <f t="shared" si="2"/>
        <v>0</v>
      </c>
      <c r="I65" s="8"/>
      <c r="J65" s="8"/>
      <c r="K65" s="8"/>
      <c r="L65" s="8"/>
      <c r="M65" s="8"/>
      <c r="N65" s="8"/>
      <c r="O65" s="8"/>
      <c r="P65" s="8"/>
      <c r="Q65" s="8"/>
      <c r="R65" s="8"/>
      <c r="S65" s="8"/>
      <c r="T65" s="8"/>
      <c r="U65" s="8"/>
      <c r="V65" s="8"/>
      <c r="W65" s="8"/>
      <c r="X65" s="8"/>
      <c r="Y65" s="8"/>
      <c r="Z65" s="8"/>
      <c r="AA65" s="8"/>
      <c r="AB65" s="8"/>
    </row>
    <row r="66" spans="1:28" ht="30" customHeight="1">
      <c r="B66" s="167">
        <v>24</v>
      </c>
      <c r="C66" s="184" t="s">
        <v>99</v>
      </c>
      <c r="D66" s="182" t="s">
        <v>74</v>
      </c>
      <c r="E66" s="183">
        <v>4</v>
      </c>
      <c r="F66" s="141">
        <v>0</v>
      </c>
      <c r="G66" s="142">
        <f>E66*F66</f>
        <v>0</v>
      </c>
      <c r="I66" s="8"/>
      <c r="J66" s="8"/>
      <c r="K66" s="8"/>
      <c r="L66" s="8"/>
      <c r="M66" s="8"/>
      <c r="N66" s="8"/>
      <c r="O66" s="8"/>
      <c r="P66" s="8"/>
      <c r="Q66" s="8"/>
      <c r="R66" s="8"/>
      <c r="S66" s="8"/>
      <c r="T66" s="8"/>
      <c r="U66" s="8"/>
      <c r="V66" s="8"/>
      <c r="W66" s="8"/>
      <c r="X66" s="8"/>
      <c r="Y66" s="8"/>
      <c r="Z66" s="8"/>
      <c r="AA66" s="8"/>
      <c r="AB66" s="8"/>
    </row>
    <row r="67" spans="1:28" ht="24">
      <c r="B67" s="167">
        <v>25</v>
      </c>
      <c r="C67" s="184" t="s">
        <v>100</v>
      </c>
      <c r="D67" s="182" t="s">
        <v>65</v>
      </c>
      <c r="E67" s="183">
        <v>82</v>
      </c>
      <c r="F67" s="141">
        <v>0</v>
      </c>
      <c r="G67" s="142">
        <f>E67*F67</f>
        <v>0</v>
      </c>
      <c r="I67" s="8"/>
      <c r="J67" s="8"/>
      <c r="K67" s="8"/>
      <c r="L67" s="8"/>
      <c r="M67" s="8"/>
      <c r="N67" s="8"/>
      <c r="O67" s="8"/>
      <c r="P67" s="8"/>
      <c r="Q67" s="8"/>
      <c r="R67" s="8"/>
      <c r="S67" s="8"/>
      <c r="T67" s="8"/>
      <c r="U67" s="8"/>
      <c r="V67" s="8"/>
      <c r="W67" s="8"/>
      <c r="X67" s="8"/>
      <c r="Y67" s="8"/>
      <c r="Z67" s="8"/>
      <c r="AA67" s="8"/>
      <c r="AB67" s="8"/>
    </row>
    <row r="68" spans="1:28">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c r="Z68" s="8"/>
      <c r="AA68" s="8"/>
      <c r="AB68" s="8"/>
    </row>
    <row r="69" spans="1:28">
      <c r="B69" s="125"/>
      <c r="C69" s="126"/>
      <c r="D69" s="127"/>
      <c r="E69" s="128"/>
      <c r="F69" s="129"/>
      <c r="G69" s="130"/>
      <c r="I69" s="8"/>
      <c r="J69" s="8"/>
      <c r="K69" s="8"/>
      <c r="L69" s="8"/>
      <c r="M69" s="8"/>
      <c r="N69" s="8"/>
      <c r="O69" s="8"/>
      <c r="P69" s="8"/>
      <c r="Q69" s="8"/>
      <c r="R69" s="8"/>
      <c r="S69" s="8"/>
      <c r="T69" s="8"/>
      <c r="U69" s="8"/>
      <c r="V69" s="8"/>
      <c r="W69" s="8"/>
      <c r="X69" s="8"/>
      <c r="Y69" s="8"/>
      <c r="Z69" s="8"/>
      <c r="AA69" s="8"/>
      <c r="AB69" s="8"/>
    </row>
    <row r="70" spans="1:28"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c r="Z70" s="8"/>
      <c r="AA70" s="8"/>
      <c r="AB70" s="8"/>
    </row>
    <row r="71" spans="1:28">
      <c r="B71" s="125"/>
      <c r="C71" s="126"/>
      <c r="D71" s="140"/>
      <c r="E71" s="128"/>
      <c r="F71" s="129"/>
      <c r="G71" s="130"/>
      <c r="I71" s="8"/>
      <c r="J71" s="8"/>
      <c r="K71" s="8"/>
      <c r="L71" s="8"/>
      <c r="M71" s="8"/>
      <c r="N71" s="8"/>
      <c r="O71" s="8"/>
      <c r="P71" s="8"/>
      <c r="Q71" s="8"/>
      <c r="R71" s="8"/>
      <c r="S71" s="8"/>
      <c r="T71" s="8"/>
      <c r="U71" s="8"/>
      <c r="V71" s="8"/>
      <c r="W71" s="8"/>
      <c r="X71" s="8"/>
      <c r="Y71" s="8"/>
      <c r="Z71" s="8"/>
      <c r="AA71" s="8"/>
      <c r="AB71" s="8"/>
    </row>
    <row r="72" spans="1:28"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c r="Z72" s="8"/>
      <c r="AA72" s="8"/>
      <c r="AB72" s="8"/>
    </row>
    <row r="73" spans="1:28"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c r="Z73" s="8"/>
      <c r="AA73" s="8"/>
      <c r="AB73" s="8"/>
    </row>
    <row r="74" spans="1:28"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c r="Z74" s="8"/>
      <c r="AA74" s="8"/>
      <c r="AB74" s="8"/>
    </row>
    <row r="75" spans="1:28"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c r="Z75" s="8"/>
      <c r="AA75" s="8"/>
      <c r="AB75" s="8"/>
    </row>
    <row r="76" spans="1:28"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c r="Z76" s="8"/>
      <c r="AA76" s="8"/>
      <c r="AB76" s="8"/>
    </row>
    <row r="77" spans="1:28" s="166" customFormat="1" ht="31.5" customHeight="1">
      <c r="B77" s="2399" t="s">
        <v>103</v>
      </c>
      <c r="C77" s="2400"/>
      <c r="D77" s="2400"/>
      <c r="E77" s="2400"/>
      <c r="F77" s="2400"/>
      <c r="G77" s="2401"/>
      <c r="H77" s="8"/>
      <c r="I77" s="8"/>
      <c r="J77" s="8"/>
      <c r="K77" s="8"/>
      <c r="L77" s="8"/>
      <c r="M77" s="8"/>
      <c r="N77" s="8"/>
      <c r="O77" s="8"/>
      <c r="P77" s="8"/>
      <c r="Q77" s="8"/>
      <c r="R77" s="8"/>
      <c r="S77" s="8"/>
      <c r="T77" s="8"/>
      <c r="U77" s="8"/>
      <c r="V77" s="8"/>
      <c r="W77" s="8"/>
      <c r="X77" s="8"/>
      <c r="Y77" s="8"/>
      <c r="Z77" s="8"/>
      <c r="AA77" s="8"/>
      <c r="AB77" s="8"/>
    </row>
    <row r="78" spans="1:28" s="166" customFormat="1" ht="18.75" customHeight="1">
      <c r="B78" s="2399" t="s">
        <v>104</v>
      </c>
      <c r="C78" s="2400"/>
      <c r="D78" s="2400"/>
      <c r="E78" s="2400"/>
      <c r="F78" s="2400"/>
      <c r="G78" s="2401"/>
      <c r="H78" s="8"/>
      <c r="I78" s="8"/>
      <c r="J78" s="8"/>
      <c r="K78" s="8"/>
      <c r="L78" s="8"/>
      <c r="M78" s="8"/>
      <c r="N78" s="8"/>
      <c r="O78" s="8"/>
      <c r="P78" s="8"/>
      <c r="Q78" s="8"/>
      <c r="R78" s="8"/>
      <c r="S78" s="8"/>
      <c r="T78" s="8"/>
      <c r="U78" s="8"/>
      <c r="V78" s="8"/>
      <c r="W78" s="8"/>
      <c r="X78" s="8"/>
      <c r="Y78" s="8"/>
      <c r="Z78" s="8"/>
      <c r="AA78" s="8"/>
      <c r="AB78" s="8"/>
    </row>
    <row r="79" spans="1:28" s="166" customFormat="1" ht="18.75" customHeight="1">
      <c r="B79" s="2399" t="s">
        <v>105</v>
      </c>
      <c r="C79" s="2400"/>
      <c r="D79" s="2400"/>
      <c r="E79" s="2400"/>
      <c r="F79" s="2400"/>
      <c r="G79" s="2401"/>
      <c r="H79" s="8"/>
      <c r="I79" s="8"/>
      <c r="J79" s="8"/>
      <c r="K79" s="8"/>
      <c r="L79" s="8"/>
      <c r="M79" s="8"/>
      <c r="N79" s="8"/>
      <c r="O79" s="8"/>
      <c r="P79" s="8"/>
      <c r="Q79" s="8"/>
      <c r="R79" s="8"/>
      <c r="S79" s="8"/>
      <c r="T79" s="8"/>
      <c r="U79" s="8"/>
      <c r="V79" s="8"/>
      <c r="W79" s="8"/>
      <c r="X79" s="8"/>
      <c r="Y79" s="8"/>
      <c r="Z79" s="8"/>
      <c r="AA79" s="8"/>
      <c r="AB79" s="8"/>
    </row>
    <row r="80" spans="1:28" ht="30" customHeight="1">
      <c r="B80" s="188">
        <v>1</v>
      </c>
      <c r="C80" s="189" t="s">
        <v>106</v>
      </c>
      <c r="D80" s="190"/>
      <c r="E80" s="128"/>
      <c r="F80" s="129"/>
      <c r="G80" s="130"/>
      <c r="I80" s="8"/>
      <c r="J80" s="8"/>
      <c r="K80" s="8"/>
      <c r="L80" s="8"/>
      <c r="M80" s="8"/>
      <c r="N80" s="8"/>
      <c r="O80" s="8"/>
      <c r="P80" s="8"/>
      <c r="Q80" s="8"/>
      <c r="R80" s="8"/>
      <c r="S80" s="8"/>
      <c r="T80" s="8"/>
      <c r="U80" s="8"/>
      <c r="V80" s="8"/>
      <c r="W80" s="8"/>
      <c r="X80" s="8"/>
      <c r="Y80" s="8"/>
      <c r="Z80" s="8"/>
      <c r="AA80" s="8"/>
      <c r="AB80" s="8"/>
    </row>
    <row r="81" spans="2:28" s="179" customFormat="1" ht="18.75" customHeight="1">
      <c r="B81" s="191"/>
      <c r="C81" s="192" t="s">
        <v>107</v>
      </c>
      <c r="D81" s="190" t="s">
        <v>57</v>
      </c>
      <c r="E81" s="128">
        <v>420</v>
      </c>
      <c r="F81" s="141">
        <v>0</v>
      </c>
      <c r="G81" s="142">
        <f t="shared" ref="G81:G90" si="4">E81*F81</f>
        <v>0</v>
      </c>
      <c r="H81" s="8"/>
      <c r="I81" s="8"/>
      <c r="J81" s="8"/>
      <c r="K81" s="8"/>
      <c r="L81" s="8"/>
      <c r="M81" s="8"/>
      <c r="N81" s="8"/>
      <c r="O81" s="8"/>
      <c r="P81" s="8"/>
      <c r="Q81" s="8"/>
      <c r="R81" s="8"/>
      <c r="S81" s="8"/>
      <c r="T81" s="8"/>
      <c r="U81" s="8"/>
      <c r="V81" s="8"/>
      <c r="W81" s="8"/>
      <c r="X81" s="8"/>
      <c r="Y81" s="8"/>
      <c r="Z81" s="8"/>
      <c r="AA81" s="8"/>
      <c r="AB81" s="8"/>
    </row>
    <row r="82" spans="2:28" s="179" customFormat="1" ht="24.75" customHeight="1">
      <c r="B82" s="191"/>
      <c r="C82" s="192" t="s">
        <v>108</v>
      </c>
      <c r="D82" s="190" t="s">
        <v>57</v>
      </c>
      <c r="E82" s="128">
        <v>47</v>
      </c>
      <c r="F82" s="141">
        <v>0</v>
      </c>
      <c r="G82" s="142">
        <f t="shared" si="4"/>
        <v>0</v>
      </c>
      <c r="H82" s="8"/>
      <c r="I82" s="8"/>
      <c r="J82" s="8"/>
      <c r="K82" s="8"/>
      <c r="L82" s="8"/>
      <c r="M82" s="8"/>
      <c r="N82" s="8"/>
      <c r="O82" s="8"/>
      <c r="P82" s="8"/>
      <c r="Q82" s="8"/>
      <c r="R82" s="8"/>
      <c r="S82" s="8"/>
      <c r="T82" s="8"/>
      <c r="U82" s="8"/>
      <c r="V82" s="8"/>
      <c r="W82" s="8"/>
      <c r="X82" s="8"/>
      <c r="Y82" s="8"/>
      <c r="Z82" s="8"/>
      <c r="AA82" s="8"/>
      <c r="AB82" s="8"/>
    </row>
    <row r="83" spans="2:28" s="179" customFormat="1" ht="19.5" customHeight="1">
      <c r="B83" s="191"/>
      <c r="C83" s="192" t="s">
        <v>109</v>
      </c>
      <c r="D83" s="190" t="s">
        <v>57</v>
      </c>
      <c r="E83" s="128">
        <v>253</v>
      </c>
      <c r="F83" s="141">
        <v>0</v>
      </c>
      <c r="G83" s="142">
        <f t="shared" si="4"/>
        <v>0</v>
      </c>
      <c r="H83" s="8"/>
      <c r="I83" s="8"/>
      <c r="J83" s="8"/>
      <c r="K83" s="8"/>
      <c r="L83" s="8"/>
      <c r="M83" s="8"/>
      <c r="N83" s="8"/>
      <c r="O83" s="8"/>
      <c r="P83" s="8"/>
      <c r="Q83" s="8"/>
      <c r="R83" s="8"/>
      <c r="S83" s="8"/>
      <c r="T83" s="8"/>
      <c r="U83" s="8"/>
      <c r="V83" s="8"/>
      <c r="W83" s="8"/>
      <c r="X83" s="8"/>
      <c r="Y83" s="8"/>
      <c r="Z83" s="8"/>
      <c r="AA83" s="8"/>
      <c r="AB83" s="8"/>
    </row>
    <row r="84" spans="2:28" s="179" customFormat="1" ht="27.75" customHeight="1">
      <c r="B84" s="191"/>
      <c r="C84" s="192" t="s">
        <v>110</v>
      </c>
      <c r="D84" s="190" t="s">
        <v>57</v>
      </c>
      <c r="E84" s="128">
        <v>29</v>
      </c>
      <c r="F84" s="141">
        <v>0</v>
      </c>
      <c r="G84" s="142">
        <f t="shared" si="4"/>
        <v>0</v>
      </c>
      <c r="H84" s="8"/>
      <c r="I84" s="8"/>
      <c r="J84" s="8"/>
      <c r="K84" s="8"/>
      <c r="L84" s="8"/>
      <c r="M84" s="8"/>
      <c r="N84" s="8"/>
      <c r="O84" s="8"/>
      <c r="P84" s="8"/>
      <c r="Q84" s="8"/>
      <c r="R84" s="8"/>
      <c r="S84" s="8"/>
      <c r="T84" s="8"/>
      <c r="U84" s="8"/>
      <c r="V84" s="8"/>
      <c r="W84" s="8"/>
      <c r="X84" s="8"/>
      <c r="Y84" s="8"/>
      <c r="Z84" s="8"/>
      <c r="AA84" s="8"/>
      <c r="AB84" s="8"/>
    </row>
    <row r="85" spans="2:28" s="179" customFormat="1" ht="36">
      <c r="B85" s="2404" t="s">
        <v>111</v>
      </c>
      <c r="C85" s="193" t="s">
        <v>112</v>
      </c>
      <c r="D85" s="194"/>
      <c r="E85" s="128"/>
      <c r="F85" s="141"/>
      <c r="G85" s="142"/>
      <c r="H85" s="8"/>
      <c r="I85" s="8"/>
      <c r="J85" s="8"/>
      <c r="K85" s="8"/>
      <c r="L85" s="8"/>
      <c r="M85" s="8"/>
      <c r="N85" s="8"/>
      <c r="O85" s="8"/>
      <c r="P85" s="8"/>
      <c r="Q85" s="8"/>
      <c r="R85" s="8"/>
      <c r="S85" s="8"/>
      <c r="T85" s="8"/>
      <c r="U85" s="8"/>
      <c r="V85" s="8"/>
      <c r="W85" s="8"/>
      <c r="X85" s="8"/>
      <c r="Y85" s="8"/>
      <c r="Z85" s="8"/>
      <c r="AA85" s="8"/>
      <c r="AB85" s="8"/>
    </row>
    <row r="86" spans="2:28" s="179" customFormat="1">
      <c r="B86" s="2405"/>
      <c r="C86" s="195" t="s">
        <v>113</v>
      </c>
      <c r="D86" s="194" t="s">
        <v>57</v>
      </c>
      <c r="E86" s="128">
        <v>467</v>
      </c>
      <c r="F86" s="141">
        <v>0</v>
      </c>
      <c r="G86" s="142">
        <f t="shared" si="4"/>
        <v>0</v>
      </c>
      <c r="H86" s="8"/>
      <c r="I86" s="8"/>
      <c r="J86" s="8"/>
      <c r="K86" s="8"/>
      <c r="L86" s="8"/>
      <c r="M86" s="8"/>
      <c r="N86" s="8"/>
      <c r="O86" s="8"/>
      <c r="P86" s="8"/>
      <c r="Q86" s="8"/>
      <c r="R86" s="8"/>
      <c r="S86" s="8"/>
      <c r="T86" s="8"/>
      <c r="U86" s="8"/>
      <c r="V86" s="8"/>
      <c r="W86" s="8"/>
      <c r="X86" s="8"/>
      <c r="Y86" s="8"/>
      <c r="Z86" s="8"/>
      <c r="AA86" s="8"/>
      <c r="AB86" s="8"/>
    </row>
    <row r="87" spans="2:28" ht="36">
      <c r="B87" s="196">
        <v>2</v>
      </c>
      <c r="C87" s="197" t="s">
        <v>114</v>
      </c>
      <c r="D87" s="145" t="s">
        <v>57</v>
      </c>
      <c r="E87" s="198">
        <v>749</v>
      </c>
      <c r="F87" s="141">
        <v>0</v>
      </c>
      <c r="G87" s="142">
        <f t="shared" si="4"/>
        <v>0</v>
      </c>
      <c r="I87" s="8"/>
      <c r="J87" s="8"/>
      <c r="K87" s="8"/>
      <c r="L87" s="8"/>
      <c r="M87" s="8"/>
      <c r="N87" s="8"/>
      <c r="O87" s="8"/>
      <c r="P87" s="8"/>
      <c r="Q87" s="8"/>
      <c r="R87" s="8"/>
      <c r="S87" s="8"/>
      <c r="T87" s="8"/>
      <c r="U87" s="8"/>
      <c r="V87" s="8"/>
      <c r="W87" s="8"/>
      <c r="X87" s="8"/>
      <c r="Y87" s="8"/>
      <c r="Z87" s="8"/>
      <c r="AA87" s="8"/>
      <c r="AB87" s="8"/>
    </row>
    <row r="88" spans="2:28" ht="36">
      <c r="B88" s="199" t="s">
        <v>115</v>
      </c>
      <c r="C88" s="197" t="s">
        <v>116</v>
      </c>
      <c r="D88" s="145" t="s">
        <v>57</v>
      </c>
      <c r="E88" s="198">
        <v>749</v>
      </c>
      <c r="F88" s="141">
        <v>0</v>
      </c>
      <c r="G88" s="142">
        <f t="shared" si="4"/>
        <v>0</v>
      </c>
      <c r="I88" s="8"/>
      <c r="J88" s="8"/>
      <c r="K88" s="8"/>
      <c r="L88" s="8"/>
      <c r="M88" s="8"/>
      <c r="N88" s="8"/>
      <c r="O88" s="8"/>
      <c r="P88" s="8"/>
      <c r="Q88" s="8"/>
      <c r="R88" s="8"/>
      <c r="S88" s="8"/>
      <c r="T88" s="8"/>
      <c r="U88" s="8"/>
      <c r="V88" s="8"/>
      <c r="W88" s="8"/>
      <c r="X88" s="8"/>
      <c r="Y88" s="8"/>
      <c r="Z88" s="8"/>
      <c r="AA88" s="8"/>
      <c r="AB88" s="8"/>
    </row>
    <row r="89" spans="2:28" ht="24">
      <c r="B89" s="199" t="s">
        <v>117</v>
      </c>
      <c r="C89" s="197" t="s">
        <v>118</v>
      </c>
      <c r="D89" s="145" t="s">
        <v>57</v>
      </c>
      <c r="E89" s="198">
        <v>749</v>
      </c>
      <c r="F89" s="141">
        <v>0</v>
      </c>
      <c r="G89" s="142">
        <f t="shared" si="4"/>
        <v>0</v>
      </c>
      <c r="I89" s="8"/>
      <c r="J89" s="8"/>
      <c r="K89" s="8"/>
      <c r="L89" s="8"/>
      <c r="M89" s="8"/>
      <c r="N89" s="8"/>
      <c r="O89" s="8"/>
      <c r="P89" s="8"/>
      <c r="Q89" s="8"/>
      <c r="R89" s="8"/>
      <c r="S89" s="8"/>
      <c r="T89" s="8"/>
      <c r="U89" s="8"/>
      <c r="V89" s="8"/>
      <c r="W89" s="8"/>
      <c r="X89" s="8"/>
      <c r="Y89" s="8"/>
      <c r="Z89" s="8"/>
      <c r="AA89" s="8"/>
      <c r="AB89" s="8"/>
    </row>
    <row r="90" spans="2:28" ht="36">
      <c r="B90" s="199" t="s">
        <v>119</v>
      </c>
      <c r="C90" s="197" t="s">
        <v>120</v>
      </c>
      <c r="D90" s="145" t="s">
        <v>57</v>
      </c>
      <c r="E90" s="198">
        <v>749</v>
      </c>
      <c r="F90" s="141">
        <v>0</v>
      </c>
      <c r="G90" s="142">
        <f t="shared" si="4"/>
        <v>0</v>
      </c>
      <c r="I90" s="8"/>
      <c r="J90" s="8"/>
      <c r="K90" s="8"/>
      <c r="L90" s="8"/>
      <c r="M90" s="8"/>
      <c r="N90" s="8"/>
      <c r="O90" s="8"/>
      <c r="P90" s="8"/>
      <c r="Q90" s="8"/>
      <c r="R90" s="8"/>
      <c r="S90" s="8"/>
      <c r="T90" s="8"/>
      <c r="U90" s="8"/>
      <c r="V90" s="8"/>
      <c r="W90" s="8"/>
      <c r="X90" s="8"/>
      <c r="Y90" s="8"/>
      <c r="Z90" s="8"/>
      <c r="AA90" s="8"/>
      <c r="AB90" s="8"/>
    </row>
    <row r="91" spans="2:28" ht="24">
      <c r="B91" s="188">
        <v>3</v>
      </c>
      <c r="C91" s="200" t="s">
        <v>121</v>
      </c>
      <c r="D91" s="127"/>
      <c r="E91" s="128"/>
      <c r="F91" s="141"/>
      <c r="G91" s="142"/>
      <c r="I91" s="8"/>
      <c r="J91" s="8"/>
      <c r="K91" s="8"/>
      <c r="L91" s="8"/>
      <c r="M91" s="8"/>
      <c r="N91" s="8"/>
      <c r="O91" s="8"/>
      <c r="P91" s="8"/>
      <c r="Q91" s="8"/>
      <c r="R91" s="8"/>
      <c r="S91" s="8"/>
      <c r="T91" s="8"/>
      <c r="U91" s="8"/>
      <c r="V91" s="8"/>
      <c r="W91" s="8"/>
      <c r="X91" s="8"/>
      <c r="Y91" s="8"/>
      <c r="Z91" s="8"/>
      <c r="AA91" s="8"/>
      <c r="AB91" s="8"/>
    </row>
    <row r="92" spans="2:28">
      <c r="B92" s="201" t="s">
        <v>122</v>
      </c>
      <c r="C92" s="202" t="s">
        <v>123</v>
      </c>
      <c r="D92" s="203"/>
      <c r="E92" s="204"/>
      <c r="F92" s="205"/>
      <c r="G92" s="206"/>
      <c r="I92" s="8"/>
      <c r="J92" s="8"/>
      <c r="K92" s="8"/>
      <c r="L92" s="8"/>
      <c r="M92" s="8"/>
      <c r="N92" s="8"/>
      <c r="O92" s="8"/>
      <c r="P92" s="8"/>
      <c r="Q92" s="8"/>
      <c r="R92" s="8"/>
      <c r="S92" s="8"/>
      <c r="T92" s="8"/>
      <c r="U92" s="8"/>
      <c r="V92" s="8"/>
      <c r="W92" s="8"/>
      <c r="X92" s="8"/>
      <c r="Y92" s="8"/>
      <c r="Z92" s="8"/>
      <c r="AA92" s="8"/>
      <c r="AB92" s="8"/>
    </row>
    <row r="93" spans="2:28">
      <c r="B93" s="125"/>
      <c r="C93" s="202" t="s">
        <v>124</v>
      </c>
      <c r="D93" s="203"/>
      <c r="E93" s="204"/>
      <c r="F93" s="205"/>
      <c r="G93" s="206"/>
      <c r="I93" s="8"/>
      <c r="J93" s="8"/>
      <c r="K93" s="8"/>
      <c r="L93" s="8"/>
      <c r="M93" s="8"/>
      <c r="N93" s="8"/>
      <c r="O93" s="8"/>
      <c r="P93" s="8"/>
      <c r="Q93" s="8"/>
      <c r="R93" s="8"/>
      <c r="S93" s="8"/>
      <c r="T93" s="8"/>
      <c r="U93" s="8"/>
      <c r="V93" s="8"/>
      <c r="W93" s="8"/>
      <c r="X93" s="8"/>
      <c r="Y93" s="8"/>
      <c r="Z93" s="8"/>
      <c r="AA93" s="8"/>
      <c r="AB93" s="8"/>
    </row>
    <row r="94" spans="2:28" s="179" customFormat="1" ht="18" customHeight="1">
      <c r="B94" s="207"/>
      <c r="C94" s="208" t="s">
        <v>125</v>
      </c>
      <c r="D94" s="209" t="s">
        <v>66</v>
      </c>
      <c r="E94" s="204">
        <v>2</v>
      </c>
      <c r="F94" s="210">
        <v>0</v>
      </c>
      <c r="G94" s="211">
        <f t="shared" ref="G94" si="5">E94*F94</f>
        <v>0</v>
      </c>
      <c r="H94" s="8"/>
      <c r="I94" s="8"/>
      <c r="J94" s="8"/>
      <c r="K94" s="8"/>
      <c r="L94" s="8"/>
      <c r="M94" s="8"/>
      <c r="N94" s="8"/>
      <c r="O94" s="8"/>
      <c r="P94" s="8"/>
      <c r="Q94" s="8"/>
      <c r="R94" s="8"/>
      <c r="S94" s="8"/>
      <c r="T94" s="8"/>
      <c r="U94" s="8"/>
      <c r="V94" s="8"/>
      <c r="W94" s="8"/>
      <c r="X94" s="8"/>
      <c r="Y94" s="8"/>
      <c r="Z94" s="8"/>
      <c r="AA94" s="8"/>
      <c r="AB94" s="8"/>
    </row>
    <row r="95" spans="2:28" s="217" customFormat="1">
      <c r="B95" s="201" t="s">
        <v>126</v>
      </c>
      <c r="C95" s="212" t="s">
        <v>127</v>
      </c>
      <c r="D95" s="213"/>
      <c r="E95" s="214"/>
      <c r="F95" s="215"/>
      <c r="G95" s="216"/>
      <c r="H95" s="8"/>
      <c r="I95" s="8"/>
      <c r="J95" s="8"/>
      <c r="K95" s="8"/>
      <c r="L95" s="8"/>
      <c r="M95" s="8"/>
      <c r="N95" s="8"/>
      <c r="O95" s="8"/>
      <c r="P95" s="8"/>
      <c r="Q95" s="8"/>
      <c r="R95" s="8"/>
      <c r="S95" s="8"/>
      <c r="T95" s="8"/>
      <c r="U95" s="8"/>
      <c r="V95" s="8"/>
      <c r="W95" s="8"/>
      <c r="X95" s="8"/>
      <c r="Y95" s="8"/>
      <c r="Z95" s="8"/>
      <c r="AA95" s="8"/>
      <c r="AB95" s="8"/>
    </row>
    <row r="96" spans="2:28" s="217" customFormat="1">
      <c r="B96" s="218"/>
      <c r="C96" s="212" t="s">
        <v>128</v>
      </c>
      <c r="D96" s="213"/>
      <c r="E96" s="214"/>
      <c r="F96" s="215"/>
      <c r="G96" s="216"/>
      <c r="H96" s="8"/>
      <c r="I96" s="8"/>
      <c r="J96" s="8"/>
      <c r="K96" s="8"/>
      <c r="L96" s="8"/>
      <c r="M96" s="8"/>
      <c r="N96" s="8"/>
      <c r="O96" s="8"/>
      <c r="P96" s="8"/>
      <c r="Q96" s="8"/>
      <c r="R96" s="8"/>
      <c r="S96" s="8"/>
      <c r="T96" s="8"/>
      <c r="U96" s="8"/>
      <c r="V96" s="8"/>
      <c r="W96" s="8"/>
      <c r="X96" s="8"/>
      <c r="Y96" s="8"/>
      <c r="Z96" s="8"/>
      <c r="AA96" s="8"/>
      <c r="AB96" s="8"/>
    </row>
    <row r="97" spans="2:28" s="217" customFormat="1">
      <c r="B97" s="218"/>
      <c r="C97" s="219" t="s">
        <v>129</v>
      </c>
      <c r="D97" s="213" t="s">
        <v>66</v>
      </c>
      <c r="E97" s="214">
        <v>1</v>
      </c>
      <c r="F97" s="220">
        <v>0</v>
      </c>
      <c r="G97" s="221">
        <f t="shared" ref="G97:G103" si="6">E97*F97</f>
        <v>0</v>
      </c>
      <c r="H97" s="8"/>
      <c r="I97" s="8"/>
      <c r="J97" s="8"/>
      <c r="K97" s="8"/>
      <c r="L97" s="8"/>
      <c r="M97" s="8"/>
      <c r="N97" s="8"/>
      <c r="O97" s="8"/>
      <c r="P97" s="8"/>
      <c r="Q97" s="8"/>
      <c r="R97" s="8"/>
      <c r="S97" s="8"/>
      <c r="T97" s="8"/>
      <c r="U97" s="8"/>
      <c r="V97" s="8"/>
      <c r="W97" s="8"/>
      <c r="X97" s="8"/>
      <c r="Y97" s="8"/>
      <c r="Z97" s="8"/>
      <c r="AA97" s="8"/>
      <c r="AB97" s="8"/>
    </row>
    <row r="98" spans="2:28" s="217" customFormat="1" ht="38.25" customHeight="1">
      <c r="B98" s="218"/>
      <c r="C98" s="222" t="s">
        <v>130</v>
      </c>
      <c r="D98" s="213" t="s">
        <v>66</v>
      </c>
      <c r="E98" s="214">
        <v>1</v>
      </c>
      <c r="F98" s="220">
        <v>0</v>
      </c>
      <c r="G98" s="221">
        <f t="shared" si="6"/>
        <v>0</v>
      </c>
      <c r="H98" s="8"/>
      <c r="I98" s="8"/>
      <c r="J98" s="8"/>
      <c r="K98" s="8"/>
      <c r="L98" s="8"/>
      <c r="M98" s="8"/>
      <c r="N98" s="8"/>
      <c r="O98" s="8"/>
      <c r="P98" s="8"/>
      <c r="Q98" s="8"/>
      <c r="R98" s="8"/>
      <c r="S98" s="8"/>
      <c r="T98" s="8"/>
      <c r="U98" s="8"/>
      <c r="V98" s="8"/>
      <c r="W98" s="8"/>
      <c r="X98" s="8"/>
      <c r="Y98" s="8"/>
      <c r="Z98" s="8"/>
      <c r="AA98" s="8"/>
      <c r="AB98" s="8"/>
    </row>
    <row r="99" spans="2:28" s="217" customFormat="1">
      <c r="B99" s="218"/>
      <c r="C99" s="222" t="s">
        <v>131</v>
      </c>
      <c r="D99" s="213" t="s">
        <v>66</v>
      </c>
      <c r="E99" s="214">
        <v>1</v>
      </c>
      <c r="F99" s="220">
        <v>0</v>
      </c>
      <c r="G99" s="221">
        <f t="shared" si="6"/>
        <v>0</v>
      </c>
      <c r="H99" s="8"/>
      <c r="I99" s="8"/>
      <c r="J99" s="8"/>
      <c r="K99" s="8"/>
      <c r="L99" s="8"/>
      <c r="M99" s="8"/>
      <c r="N99" s="8"/>
      <c r="O99" s="8"/>
      <c r="P99" s="8"/>
      <c r="Q99" s="8"/>
      <c r="R99" s="8"/>
      <c r="S99" s="8"/>
      <c r="T99" s="8"/>
      <c r="U99" s="8"/>
      <c r="V99" s="8"/>
      <c r="W99" s="8"/>
      <c r="X99" s="8"/>
      <c r="Y99" s="8"/>
      <c r="Z99" s="8"/>
      <c r="AA99" s="8"/>
      <c r="AB99" s="8"/>
    </row>
    <row r="100" spans="2:28" s="217" customFormat="1">
      <c r="B100" s="218"/>
      <c r="C100" s="222" t="s">
        <v>132</v>
      </c>
      <c r="D100" s="213" t="s">
        <v>66</v>
      </c>
      <c r="E100" s="214">
        <v>2</v>
      </c>
      <c r="F100" s="220">
        <v>0</v>
      </c>
      <c r="G100" s="221">
        <f t="shared" si="6"/>
        <v>0</v>
      </c>
      <c r="H100" s="8"/>
      <c r="I100" s="8"/>
      <c r="J100" s="8"/>
      <c r="K100" s="8"/>
      <c r="L100" s="8"/>
      <c r="M100" s="8"/>
      <c r="N100" s="8"/>
      <c r="O100" s="8"/>
      <c r="P100" s="8"/>
      <c r="Q100" s="8"/>
      <c r="R100" s="8"/>
      <c r="S100" s="8"/>
      <c r="T100" s="8"/>
      <c r="U100" s="8"/>
      <c r="V100" s="8"/>
      <c r="W100" s="8"/>
      <c r="X100" s="8"/>
      <c r="Y100" s="8"/>
      <c r="Z100" s="8"/>
      <c r="AA100" s="8"/>
      <c r="AB100" s="8"/>
    </row>
    <row r="101" spans="2:28" s="217" customFormat="1">
      <c r="B101" s="218"/>
      <c r="C101" s="222" t="s">
        <v>133</v>
      </c>
      <c r="D101" s="213" t="s">
        <v>66</v>
      </c>
      <c r="E101" s="214">
        <v>2</v>
      </c>
      <c r="F101" s="220">
        <v>0</v>
      </c>
      <c r="G101" s="221">
        <f t="shared" si="6"/>
        <v>0</v>
      </c>
      <c r="H101" s="8"/>
      <c r="I101" s="8"/>
      <c r="J101" s="8"/>
      <c r="K101" s="8"/>
      <c r="L101" s="8"/>
      <c r="M101" s="8"/>
      <c r="N101" s="8"/>
      <c r="O101" s="8"/>
      <c r="P101" s="8"/>
      <c r="Q101" s="8"/>
      <c r="R101" s="8"/>
      <c r="S101" s="8"/>
      <c r="T101" s="8"/>
      <c r="U101" s="8"/>
      <c r="V101" s="8"/>
      <c r="W101" s="8"/>
      <c r="X101" s="8"/>
      <c r="Y101" s="8"/>
      <c r="Z101" s="8"/>
      <c r="AA101" s="8"/>
      <c r="AB101" s="8"/>
    </row>
    <row r="102" spans="2:28" s="217" customFormat="1">
      <c r="B102" s="218"/>
      <c r="C102" s="222" t="s">
        <v>134</v>
      </c>
      <c r="D102" s="213" t="s">
        <v>66</v>
      </c>
      <c r="E102" s="214">
        <v>1</v>
      </c>
      <c r="F102" s="220">
        <v>0</v>
      </c>
      <c r="G102" s="221">
        <f t="shared" si="6"/>
        <v>0</v>
      </c>
      <c r="H102" s="8"/>
      <c r="I102" s="8"/>
      <c r="J102" s="8"/>
      <c r="K102" s="8"/>
      <c r="L102" s="8"/>
      <c r="M102" s="8"/>
      <c r="N102" s="8"/>
      <c r="O102" s="8"/>
      <c r="P102" s="8"/>
      <c r="Q102" s="8"/>
      <c r="R102" s="8"/>
      <c r="S102" s="8"/>
      <c r="T102" s="8"/>
      <c r="U102" s="8"/>
      <c r="V102" s="8"/>
      <c r="W102" s="8"/>
      <c r="X102" s="8"/>
      <c r="Y102" s="8"/>
      <c r="Z102" s="8"/>
      <c r="AA102" s="8"/>
      <c r="AB102" s="8"/>
    </row>
    <row r="103" spans="2:28" s="217" customFormat="1">
      <c r="B103" s="218"/>
      <c r="C103" s="222" t="s">
        <v>135</v>
      </c>
      <c r="D103" s="213" t="s">
        <v>66</v>
      </c>
      <c r="E103" s="214">
        <v>1</v>
      </c>
      <c r="F103" s="220">
        <v>0</v>
      </c>
      <c r="G103" s="221">
        <f t="shared" si="6"/>
        <v>0</v>
      </c>
      <c r="H103" s="8"/>
      <c r="I103" s="8"/>
      <c r="J103" s="8"/>
      <c r="K103" s="8"/>
      <c r="L103" s="8"/>
      <c r="M103" s="8"/>
      <c r="N103" s="8"/>
      <c r="O103" s="8"/>
      <c r="P103" s="8"/>
      <c r="Q103" s="8"/>
      <c r="R103" s="8"/>
      <c r="S103" s="8"/>
      <c r="T103" s="8"/>
      <c r="U103" s="8"/>
      <c r="V103" s="8"/>
      <c r="W103" s="8"/>
      <c r="X103" s="8"/>
      <c r="Y103" s="8"/>
      <c r="Z103" s="8"/>
      <c r="AA103" s="8"/>
      <c r="AB103" s="8"/>
    </row>
    <row r="104" spans="2:28"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c r="W104" s="8"/>
      <c r="X104" s="8"/>
      <c r="Y104" s="8"/>
      <c r="Z104" s="8"/>
      <c r="AA104" s="8"/>
      <c r="AB104" s="8"/>
    </row>
    <row r="105" spans="2:28" s="217" customFormat="1">
      <c r="B105" s="218"/>
      <c r="C105" s="223" t="s">
        <v>138</v>
      </c>
      <c r="D105" s="224"/>
      <c r="E105" s="225"/>
      <c r="F105" s="226"/>
      <c r="G105" s="227"/>
      <c r="H105" s="8"/>
      <c r="I105" s="8"/>
      <c r="J105" s="8"/>
      <c r="K105" s="8"/>
      <c r="L105" s="8"/>
      <c r="M105" s="8"/>
      <c r="N105" s="8"/>
      <c r="O105" s="8"/>
      <c r="P105" s="8"/>
      <c r="Q105" s="8"/>
      <c r="R105" s="8"/>
      <c r="S105" s="8"/>
      <c r="T105" s="8"/>
      <c r="U105" s="8"/>
      <c r="V105" s="8"/>
      <c r="W105" s="8"/>
      <c r="X105" s="8"/>
      <c r="Y105" s="8"/>
      <c r="Z105" s="8"/>
      <c r="AA105" s="8"/>
      <c r="AB105" s="8"/>
    </row>
    <row r="106" spans="2:28" s="217" customFormat="1">
      <c r="B106" s="218"/>
      <c r="C106" s="228" t="s">
        <v>129</v>
      </c>
      <c r="D106" s="224" t="s">
        <v>66</v>
      </c>
      <c r="E106" s="225">
        <v>2</v>
      </c>
      <c r="F106" s="229">
        <v>0</v>
      </c>
      <c r="G106" s="230">
        <f t="shared" ref="G106:G120" si="7">E106*F106</f>
        <v>0</v>
      </c>
      <c r="H106" s="8"/>
      <c r="I106" s="8"/>
      <c r="J106" s="8"/>
      <c r="K106" s="8"/>
      <c r="L106" s="8"/>
      <c r="M106" s="8"/>
      <c r="N106" s="8"/>
      <c r="O106" s="8"/>
      <c r="P106" s="8"/>
      <c r="Q106" s="8"/>
      <c r="R106" s="8"/>
      <c r="S106" s="8"/>
      <c r="T106" s="8"/>
      <c r="U106" s="8"/>
      <c r="V106" s="8"/>
      <c r="W106" s="8"/>
      <c r="X106" s="8"/>
      <c r="Y106" s="8"/>
      <c r="Z106" s="8"/>
      <c r="AA106" s="8"/>
      <c r="AB106" s="8"/>
    </row>
    <row r="107" spans="2:28" s="217" customFormat="1">
      <c r="B107" s="218"/>
      <c r="C107" s="228" t="s">
        <v>139</v>
      </c>
      <c r="D107" s="224" t="s">
        <v>66</v>
      </c>
      <c r="E107" s="225">
        <v>4</v>
      </c>
      <c r="F107" s="229">
        <v>0</v>
      </c>
      <c r="G107" s="230">
        <f t="shared" si="7"/>
        <v>0</v>
      </c>
      <c r="H107" s="8"/>
      <c r="I107" s="8"/>
      <c r="J107" s="8"/>
      <c r="K107" s="8"/>
      <c r="L107" s="8"/>
      <c r="M107" s="8"/>
      <c r="N107" s="8"/>
      <c r="O107" s="8"/>
      <c r="P107" s="8"/>
      <c r="Q107" s="8"/>
      <c r="R107" s="8"/>
      <c r="S107" s="8"/>
      <c r="T107" s="8"/>
      <c r="U107" s="8"/>
      <c r="V107" s="8"/>
      <c r="W107" s="8"/>
      <c r="X107" s="8"/>
      <c r="Y107" s="8"/>
      <c r="Z107" s="8"/>
      <c r="AA107" s="8"/>
      <c r="AB107" s="8"/>
    </row>
    <row r="108" spans="2:28" s="217" customFormat="1" ht="12.75" customHeight="1">
      <c r="B108" s="218"/>
      <c r="C108" s="231" t="s">
        <v>140</v>
      </c>
      <c r="D108" s="224" t="s">
        <v>66</v>
      </c>
      <c r="E108" s="225">
        <v>1</v>
      </c>
      <c r="F108" s="229">
        <v>0</v>
      </c>
      <c r="G108" s="230">
        <f t="shared" si="7"/>
        <v>0</v>
      </c>
      <c r="H108" s="8"/>
      <c r="I108" s="8"/>
      <c r="J108" s="8"/>
      <c r="K108" s="8"/>
      <c r="L108" s="8"/>
      <c r="M108" s="8"/>
      <c r="N108" s="8"/>
      <c r="O108" s="8"/>
      <c r="P108" s="8"/>
      <c r="Q108" s="8"/>
      <c r="R108" s="8"/>
      <c r="S108" s="8"/>
      <c r="T108" s="8"/>
      <c r="U108" s="8"/>
      <c r="V108" s="8"/>
      <c r="W108" s="8"/>
      <c r="X108" s="8"/>
      <c r="Y108" s="8"/>
      <c r="Z108" s="8"/>
      <c r="AA108" s="8"/>
      <c r="AB108" s="8"/>
    </row>
    <row r="109" spans="2:28" s="217" customFormat="1">
      <c r="B109" s="218"/>
      <c r="C109" s="231" t="s">
        <v>141</v>
      </c>
      <c r="D109" s="224" t="s">
        <v>66</v>
      </c>
      <c r="E109" s="225">
        <v>2</v>
      </c>
      <c r="F109" s="229">
        <v>0</v>
      </c>
      <c r="G109" s="230">
        <f t="shared" si="7"/>
        <v>0</v>
      </c>
      <c r="H109" s="8"/>
      <c r="I109" s="8"/>
      <c r="J109" s="8"/>
      <c r="K109" s="8"/>
      <c r="L109" s="8"/>
      <c r="M109" s="8"/>
      <c r="N109" s="8"/>
      <c r="O109" s="8"/>
      <c r="P109" s="8"/>
      <c r="Q109" s="8"/>
      <c r="R109" s="8"/>
      <c r="S109" s="8"/>
      <c r="T109" s="8"/>
      <c r="U109" s="8"/>
      <c r="V109" s="8"/>
      <c r="W109" s="8"/>
      <c r="X109" s="8"/>
      <c r="Y109" s="8"/>
      <c r="Z109" s="8"/>
      <c r="AA109" s="8"/>
      <c r="AB109" s="8"/>
    </row>
    <row r="110" spans="2:28" s="217" customFormat="1">
      <c r="B110" s="218"/>
      <c r="C110" s="231" t="s">
        <v>142</v>
      </c>
      <c r="D110" s="224" t="s">
        <v>66</v>
      </c>
      <c r="E110" s="225">
        <v>2</v>
      </c>
      <c r="F110" s="229">
        <v>0</v>
      </c>
      <c r="G110" s="230">
        <f t="shared" si="7"/>
        <v>0</v>
      </c>
      <c r="H110" s="8"/>
      <c r="I110" s="8"/>
      <c r="J110" s="8"/>
      <c r="K110" s="8"/>
      <c r="L110" s="8"/>
      <c r="M110" s="8"/>
      <c r="N110" s="8"/>
      <c r="O110" s="8"/>
      <c r="P110" s="8"/>
      <c r="Q110" s="8"/>
      <c r="R110" s="8"/>
      <c r="S110" s="8"/>
      <c r="T110" s="8"/>
      <c r="U110" s="8"/>
      <c r="V110" s="8"/>
      <c r="W110" s="8"/>
      <c r="X110" s="8"/>
      <c r="Y110" s="8"/>
      <c r="Z110" s="8"/>
      <c r="AA110" s="8"/>
      <c r="AB110" s="8"/>
    </row>
    <row r="111" spans="2:28" s="217" customFormat="1">
      <c r="B111" s="218"/>
      <c r="C111" s="231" t="s">
        <v>143</v>
      </c>
      <c r="D111" s="224" t="s">
        <v>66</v>
      </c>
      <c r="E111" s="225">
        <v>2</v>
      </c>
      <c r="F111" s="229">
        <v>0</v>
      </c>
      <c r="G111" s="230">
        <f t="shared" si="7"/>
        <v>0</v>
      </c>
      <c r="H111" s="8"/>
      <c r="I111" s="8"/>
      <c r="J111" s="8"/>
      <c r="K111" s="8"/>
      <c r="L111" s="8"/>
      <c r="M111" s="8"/>
      <c r="N111" s="8"/>
      <c r="O111" s="8"/>
      <c r="P111" s="8"/>
      <c r="Q111" s="8"/>
      <c r="R111" s="8"/>
      <c r="S111" s="8"/>
      <c r="T111" s="8"/>
      <c r="U111" s="8"/>
      <c r="V111" s="8"/>
      <c r="W111" s="8"/>
      <c r="X111" s="8"/>
      <c r="Y111" s="8"/>
      <c r="Z111" s="8"/>
      <c r="AA111" s="8"/>
      <c r="AB111" s="8"/>
    </row>
    <row r="112" spans="2:28" s="217" customFormat="1">
      <c r="B112" s="218"/>
      <c r="C112" s="231" t="s">
        <v>155</v>
      </c>
      <c r="D112" s="224" t="s">
        <v>66</v>
      </c>
      <c r="E112" s="225">
        <v>2</v>
      </c>
      <c r="F112" s="229">
        <v>0</v>
      </c>
      <c r="G112" s="230">
        <f t="shared" si="7"/>
        <v>0</v>
      </c>
      <c r="H112" s="8"/>
      <c r="I112" s="8"/>
      <c r="J112" s="8"/>
      <c r="K112" s="8"/>
      <c r="L112" s="8"/>
      <c r="M112" s="8"/>
      <c r="N112" s="8"/>
      <c r="O112" s="8"/>
      <c r="P112" s="8"/>
      <c r="Q112" s="8"/>
      <c r="R112" s="8"/>
      <c r="S112" s="8"/>
      <c r="T112" s="8"/>
      <c r="U112" s="8"/>
      <c r="V112" s="8"/>
      <c r="W112" s="8"/>
      <c r="X112" s="8"/>
      <c r="Y112" s="8"/>
      <c r="Z112" s="8"/>
      <c r="AA112" s="8"/>
      <c r="AB112" s="8"/>
    </row>
    <row r="113" spans="2:28" s="217" customFormat="1">
      <c r="B113" s="218"/>
      <c r="C113" s="231" t="s">
        <v>145</v>
      </c>
      <c r="D113" s="224" t="s">
        <v>66</v>
      </c>
      <c r="E113" s="225">
        <v>2</v>
      </c>
      <c r="F113" s="229">
        <v>0</v>
      </c>
      <c r="G113" s="230">
        <f t="shared" si="7"/>
        <v>0</v>
      </c>
      <c r="H113" s="8"/>
      <c r="I113" s="8"/>
      <c r="J113" s="8"/>
      <c r="K113" s="8"/>
      <c r="L113" s="8"/>
      <c r="M113" s="8"/>
      <c r="N113" s="8"/>
      <c r="O113" s="8"/>
      <c r="P113" s="8"/>
      <c r="Q113" s="8"/>
      <c r="R113" s="8"/>
      <c r="S113" s="8"/>
      <c r="T113" s="8"/>
      <c r="U113" s="8"/>
      <c r="V113" s="8"/>
      <c r="W113" s="8"/>
      <c r="X113" s="8"/>
      <c r="Y113" s="8"/>
      <c r="Z113" s="8"/>
      <c r="AA113" s="8"/>
      <c r="AB113" s="8"/>
    </row>
    <row r="114" spans="2:28" s="217" customFormat="1">
      <c r="B114" s="218"/>
      <c r="C114" s="231" t="s">
        <v>146</v>
      </c>
      <c r="D114" s="224" t="s">
        <v>66</v>
      </c>
      <c r="E114" s="225">
        <v>2</v>
      </c>
      <c r="F114" s="229">
        <v>0</v>
      </c>
      <c r="G114" s="230">
        <f t="shared" si="7"/>
        <v>0</v>
      </c>
      <c r="H114" s="8"/>
      <c r="I114" s="8"/>
      <c r="J114" s="8"/>
      <c r="K114" s="8"/>
      <c r="L114" s="8"/>
      <c r="M114" s="8"/>
      <c r="N114" s="8"/>
      <c r="O114" s="8"/>
      <c r="P114" s="8"/>
      <c r="Q114" s="8"/>
      <c r="R114" s="8"/>
      <c r="S114" s="8"/>
      <c r="T114" s="8"/>
      <c r="U114" s="8"/>
      <c r="V114" s="8"/>
      <c r="W114" s="8"/>
      <c r="X114" s="8"/>
      <c r="Y114" s="8"/>
      <c r="Z114" s="8"/>
      <c r="AA114" s="8"/>
      <c r="AB114" s="8"/>
    </row>
    <row r="115" spans="2:28" s="217" customFormat="1">
      <c r="B115" s="218"/>
      <c r="C115" s="232" t="s">
        <v>147</v>
      </c>
      <c r="D115" s="224" t="s">
        <v>66</v>
      </c>
      <c r="E115" s="225">
        <v>2</v>
      </c>
      <c r="F115" s="229">
        <v>0</v>
      </c>
      <c r="G115" s="230">
        <f t="shared" si="7"/>
        <v>0</v>
      </c>
      <c r="H115" s="8"/>
      <c r="I115" s="8"/>
      <c r="J115" s="8"/>
      <c r="K115" s="8"/>
      <c r="L115" s="8"/>
      <c r="M115" s="8"/>
      <c r="N115" s="8"/>
      <c r="O115" s="8"/>
      <c r="P115" s="8"/>
      <c r="Q115" s="8"/>
      <c r="R115" s="8"/>
      <c r="S115" s="8"/>
      <c r="T115" s="8"/>
      <c r="U115" s="8"/>
      <c r="V115" s="8"/>
      <c r="W115" s="8"/>
      <c r="X115" s="8"/>
      <c r="Y115" s="8"/>
      <c r="Z115" s="8"/>
      <c r="AA115" s="8"/>
      <c r="AB115" s="8"/>
    </row>
    <row r="116" spans="2:28" s="217" customFormat="1">
      <c r="B116" s="218"/>
      <c r="C116" s="232" t="s">
        <v>132</v>
      </c>
      <c r="D116" s="224" t="s">
        <v>66</v>
      </c>
      <c r="E116" s="225">
        <v>4</v>
      </c>
      <c r="F116" s="229">
        <v>0</v>
      </c>
      <c r="G116" s="230">
        <f t="shared" si="7"/>
        <v>0</v>
      </c>
      <c r="H116" s="8"/>
      <c r="I116" s="8"/>
      <c r="J116" s="8"/>
      <c r="K116" s="8"/>
      <c r="L116" s="8"/>
      <c r="M116" s="8"/>
      <c r="N116" s="8"/>
      <c r="O116" s="8"/>
      <c r="P116" s="8"/>
      <c r="Q116" s="8"/>
      <c r="R116" s="8"/>
      <c r="S116" s="8"/>
      <c r="T116" s="8"/>
      <c r="U116" s="8"/>
      <c r="V116" s="8"/>
      <c r="W116" s="8"/>
      <c r="X116" s="8"/>
      <c r="Y116" s="8"/>
      <c r="Z116" s="8"/>
      <c r="AA116" s="8"/>
      <c r="AB116" s="8"/>
    </row>
    <row r="117" spans="2:28" s="217" customFormat="1">
      <c r="B117" s="218"/>
      <c r="C117" s="232" t="s">
        <v>148</v>
      </c>
      <c r="D117" s="224" t="s">
        <v>66</v>
      </c>
      <c r="E117" s="225">
        <v>4</v>
      </c>
      <c r="F117" s="229">
        <v>0</v>
      </c>
      <c r="G117" s="230">
        <f t="shared" si="7"/>
        <v>0</v>
      </c>
      <c r="H117" s="8"/>
      <c r="I117" s="8"/>
      <c r="J117" s="8"/>
      <c r="K117" s="8"/>
      <c r="L117" s="8"/>
      <c r="M117" s="8"/>
      <c r="N117" s="8"/>
      <c r="O117" s="8"/>
      <c r="P117" s="8"/>
      <c r="Q117" s="8"/>
      <c r="R117" s="8"/>
      <c r="S117" s="8"/>
      <c r="T117" s="8"/>
      <c r="U117" s="8"/>
      <c r="V117" s="8"/>
      <c r="W117" s="8"/>
      <c r="X117" s="8"/>
      <c r="Y117" s="8"/>
      <c r="Z117" s="8"/>
      <c r="AA117" s="8"/>
      <c r="AB117" s="8"/>
    </row>
    <row r="118" spans="2:28" s="217" customFormat="1">
      <c r="B118" s="218"/>
      <c r="C118" s="232" t="s">
        <v>149</v>
      </c>
      <c r="D118" s="224" t="s">
        <v>66</v>
      </c>
      <c r="E118" s="225">
        <v>1</v>
      </c>
      <c r="F118" s="229">
        <v>0</v>
      </c>
      <c r="G118" s="230">
        <f t="shared" si="7"/>
        <v>0</v>
      </c>
      <c r="H118" s="8"/>
      <c r="I118" s="8"/>
      <c r="J118" s="8"/>
      <c r="K118" s="8"/>
      <c r="L118" s="8"/>
      <c r="M118" s="8"/>
      <c r="N118" s="8"/>
      <c r="O118" s="8"/>
      <c r="P118" s="8"/>
      <c r="Q118" s="8"/>
      <c r="R118" s="8"/>
      <c r="S118" s="8"/>
      <c r="T118" s="8"/>
      <c r="U118" s="8"/>
      <c r="V118" s="8"/>
      <c r="W118" s="8"/>
      <c r="X118" s="8"/>
      <c r="Y118" s="8"/>
      <c r="Z118" s="8"/>
      <c r="AA118" s="8"/>
      <c r="AB118" s="8"/>
    </row>
    <row r="119" spans="2:28" s="217" customFormat="1">
      <c r="B119" s="218"/>
      <c r="C119" s="232" t="s">
        <v>150</v>
      </c>
      <c r="D119" s="224" t="s">
        <v>66</v>
      </c>
      <c r="E119" s="225">
        <v>4</v>
      </c>
      <c r="F119" s="229">
        <v>0</v>
      </c>
      <c r="G119" s="230">
        <f t="shared" si="7"/>
        <v>0</v>
      </c>
      <c r="H119" s="8"/>
      <c r="I119" s="8"/>
      <c r="J119" s="8"/>
      <c r="K119" s="8"/>
      <c r="L119" s="8"/>
      <c r="M119" s="8"/>
      <c r="N119" s="8"/>
      <c r="O119" s="8"/>
      <c r="P119" s="8"/>
      <c r="Q119" s="8"/>
      <c r="R119" s="8"/>
      <c r="S119" s="8"/>
      <c r="T119" s="8"/>
      <c r="U119" s="8"/>
      <c r="V119" s="8"/>
      <c r="W119" s="8"/>
      <c r="X119" s="8"/>
      <c r="Y119" s="8"/>
      <c r="Z119" s="8"/>
      <c r="AA119" s="8"/>
      <c r="AB119" s="8"/>
    </row>
    <row r="120" spans="2:28" s="217" customFormat="1">
      <c r="B120" s="218"/>
      <c r="C120" s="233" t="s">
        <v>135</v>
      </c>
      <c r="D120" s="224" t="s">
        <v>66</v>
      </c>
      <c r="E120" s="225">
        <v>3</v>
      </c>
      <c r="F120" s="229">
        <v>0</v>
      </c>
      <c r="G120" s="230">
        <f t="shared" si="7"/>
        <v>0</v>
      </c>
      <c r="H120" s="8"/>
      <c r="I120" s="8"/>
      <c r="J120" s="8"/>
      <c r="K120" s="8"/>
      <c r="L120" s="8"/>
      <c r="M120" s="8"/>
      <c r="N120" s="8"/>
      <c r="O120" s="8"/>
      <c r="P120" s="8"/>
      <c r="Q120" s="8"/>
      <c r="R120" s="8"/>
      <c r="S120" s="8"/>
      <c r="T120" s="8"/>
      <c r="U120" s="8"/>
      <c r="V120" s="8"/>
      <c r="W120" s="8"/>
      <c r="X120" s="8"/>
      <c r="Y120" s="8"/>
      <c r="Z120" s="8"/>
      <c r="AA120" s="8"/>
      <c r="AB120" s="8"/>
    </row>
    <row r="121" spans="2:28" s="217" customFormat="1">
      <c r="B121" s="201" t="s">
        <v>151</v>
      </c>
      <c r="C121" s="212" t="s">
        <v>152</v>
      </c>
      <c r="D121" s="213"/>
      <c r="E121" s="214"/>
      <c r="F121" s="215"/>
      <c r="G121" s="216"/>
      <c r="H121" s="8"/>
      <c r="I121" s="8"/>
      <c r="J121" s="8"/>
      <c r="K121" s="8"/>
      <c r="L121" s="8"/>
      <c r="M121" s="8"/>
      <c r="N121" s="8"/>
      <c r="O121" s="8"/>
      <c r="P121" s="8"/>
      <c r="Q121" s="8"/>
      <c r="R121" s="8"/>
      <c r="S121" s="8"/>
      <c r="T121" s="8"/>
      <c r="U121" s="8"/>
      <c r="V121" s="8"/>
      <c r="W121" s="8"/>
      <c r="X121" s="8"/>
      <c r="Y121" s="8"/>
      <c r="Z121" s="8"/>
      <c r="AA121" s="8"/>
      <c r="AB121" s="8"/>
    </row>
    <row r="122" spans="2:28" s="217" customFormat="1">
      <c r="B122" s="218"/>
      <c r="C122" s="212" t="s">
        <v>153</v>
      </c>
      <c r="D122" s="213"/>
      <c r="E122" s="214"/>
      <c r="F122" s="215"/>
      <c r="G122" s="216"/>
      <c r="H122" s="8"/>
      <c r="I122" s="8"/>
      <c r="J122" s="8"/>
      <c r="K122" s="8"/>
      <c r="L122" s="8"/>
      <c r="M122" s="8"/>
      <c r="N122" s="8"/>
      <c r="O122" s="8"/>
      <c r="P122" s="8"/>
      <c r="Q122" s="8"/>
      <c r="R122" s="8"/>
      <c r="S122" s="8"/>
      <c r="T122" s="8"/>
      <c r="U122" s="8"/>
      <c r="V122" s="8"/>
      <c r="W122" s="8"/>
      <c r="X122" s="8"/>
      <c r="Y122" s="8"/>
      <c r="Z122" s="8"/>
      <c r="AA122" s="8"/>
      <c r="AB122" s="8"/>
    </row>
    <row r="123" spans="2:28" s="217" customFormat="1">
      <c r="B123" s="218"/>
      <c r="C123" s="219" t="s">
        <v>129</v>
      </c>
      <c r="D123" s="213" t="s">
        <v>66</v>
      </c>
      <c r="E123" s="214">
        <v>4</v>
      </c>
      <c r="F123" s="220">
        <v>0</v>
      </c>
      <c r="G123" s="221">
        <f t="shared" ref="G123:G132" si="8">E123*F123</f>
        <v>0</v>
      </c>
      <c r="H123" s="8"/>
      <c r="I123" s="8"/>
      <c r="J123" s="8"/>
      <c r="K123" s="8"/>
      <c r="L123" s="8"/>
      <c r="M123" s="8"/>
      <c r="N123" s="8"/>
      <c r="O123" s="8"/>
      <c r="P123" s="8"/>
      <c r="Q123" s="8"/>
      <c r="R123" s="8"/>
      <c r="S123" s="8"/>
      <c r="T123" s="8"/>
      <c r="U123" s="8"/>
      <c r="V123" s="8"/>
      <c r="W123" s="8"/>
      <c r="X123" s="8"/>
      <c r="Y123" s="8"/>
      <c r="Z123" s="8"/>
      <c r="AA123" s="8"/>
      <c r="AB123" s="8"/>
    </row>
    <row r="124" spans="2:28" s="217" customFormat="1" ht="24.75" customHeight="1">
      <c r="B124" s="218"/>
      <c r="C124" s="222" t="s">
        <v>154</v>
      </c>
      <c r="D124" s="213" t="s">
        <v>66</v>
      </c>
      <c r="E124" s="214">
        <v>5</v>
      </c>
      <c r="F124" s="220">
        <v>0</v>
      </c>
      <c r="G124" s="221">
        <f t="shared" si="8"/>
        <v>0</v>
      </c>
      <c r="H124" s="8"/>
      <c r="I124" s="8"/>
      <c r="J124" s="8"/>
      <c r="K124" s="8"/>
      <c r="L124" s="8"/>
      <c r="M124" s="8"/>
      <c r="N124" s="8"/>
      <c r="O124" s="8"/>
      <c r="P124" s="8"/>
      <c r="Q124" s="8"/>
      <c r="R124" s="8"/>
      <c r="S124" s="8"/>
      <c r="T124" s="8"/>
      <c r="U124" s="8"/>
      <c r="V124" s="8"/>
      <c r="W124" s="8"/>
      <c r="X124" s="8"/>
      <c r="Y124" s="8"/>
      <c r="Z124" s="8"/>
      <c r="AA124" s="8"/>
      <c r="AB124" s="8"/>
    </row>
    <row r="125" spans="2:28" s="217" customFormat="1">
      <c r="B125" s="218"/>
      <c r="C125" s="222" t="s">
        <v>155</v>
      </c>
      <c r="D125" s="213" t="s">
        <v>66</v>
      </c>
      <c r="E125" s="214">
        <v>4</v>
      </c>
      <c r="F125" s="220">
        <v>0</v>
      </c>
      <c r="G125" s="221">
        <f t="shared" si="8"/>
        <v>0</v>
      </c>
      <c r="H125" s="8"/>
      <c r="I125" s="8"/>
      <c r="J125" s="8"/>
      <c r="K125" s="8"/>
      <c r="L125" s="8"/>
      <c r="M125" s="8"/>
      <c r="N125" s="8"/>
      <c r="O125" s="8"/>
      <c r="P125" s="8"/>
      <c r="Q125" s="8"/>
      <c r="R125" s="8"/>
      <c r="S125" s="8"/>
      <c r="T125" s="8"/>
      <c r="U125" s="8"/>
      <c r="V125" s="8"/>
      <c r="W125" s="8"/>
      <c r="X125" s="8"/>
      <c r="Y125" s="8"/>
      <c r="Z125" s="8"/>
      <c r="AA125" s="8"/>
      <c r="AB125" s="8"/>
    </row>
    <row r="126" spans="2:28" s="217" customFormat="1">
      <c r="B126" s="218"/>
      <c r="C126" s="222" t="s">
        <v>156</v>
      </c>
      <c r="D126" s="213" t="s">
        <v>66</v>
      </c>
      <c r="E126" s="214">
        <v>4</v>
      </c>
      <c r="F126" s="220">
        <v>0</v>
      </c>
      <c r="G126" s="221">
        <f t="shared" si="8"/>
        <v>0</v>
      </c>
      <c r="H126" s="8"/>
      <c r="I126" s="8"/>
      <c r="J126" s="8"/>
      <c r="K126" s="8"/>
      <c r="L126" s="8"/>
      <c r="M126" s="8"/>
      <c r="N126" s="8"/>
      <c r="O126" s="8"/>
      <c r="P126" s="8"/>
      <c r="Q126" s="8"/>
      <c r="R126" s="8"/>
      <c r="S126" s="8"/>
      <c r="T126" s="8"/>
      <c r="U126" s="8"/>
      <c r="V126" s="8"/>
      <c r="W126" s="8"/>
      <c r="X126" s="8"/>
      <c r="Y126" s="8"/>
      <c r="Z126" s="8"/>
      <c r="AA126" s="8"/>
      <c r="AB126" s="8"/>
    </row>
    <row r="127" spans="2:28" s="217" customFormat="1">
      <c r="B127" s="218"/>
      <c r="C127" s="222" t="s">
        <v>157</v>
      </c>
      <c r="D127" s="213" t="s">
        <v>66</v>
      </c>
      <c r="E127" s="214">
        <v>4</v>
      </c>
      <c r="F127" s="220">
        <v>0</v>
      </c>
      <c r="G127" s="221">
        <f t="shared" si="8"/>
        <v>0</v>
      </c>
      <c r="H127" s="8"/>
      <c r="I127" s="8"/>
      <c r="J127" s="8"/>
      <c r="K127" s="8"/>
      <c r="L127" s="8"/>
      <c r="M127" s="8"/>
      <c r="N127" s="8"/>
      <c r="O127" s="8"/>
      <c r="P127" s="8"/>
      <c r="Q127" s="8"/>
      <c r="R127" s="8"/>
      <c r="S127" s="8"/>
      <c r="T127" s="8"/>
      <c r="U127" s="8"/>
      <c r="V127" s="8"/>
      <c r="W127" s="8"/>
      <c r="X127" s="8"/>
      <c r="Y127" s="8"/>
      <c r="Z127" s="8"/>
      <c r="AA127" s="8"/>
      <c r="AB127" s="8"/>
    </row>
    <row r="128" spans="2:28" s="217" customFormat="1">
      <c r="B128" s="218"/>
      <c r="C128" s="234" t="s">
        <v>158</v>
      </c>
      <c r="D128" s="213" t="s">
        <v>66</v>
      </c>
      <c r="E128" s="214">
        <v>3</v>
      </c>
      <c r="F128" s="220">
        <v>0</v>
      </c>
      <c r="G128" s="221">
        <f t="shared" si="8"/>
        <v>0</v>
      </c>
      <c r="H128" s="8"/>
      <c r="I128" s="8"/>
      <c r="J128" s="8"/>
      <c r="K128" s="8"/>
      <c r="L128" s="8"/>
      <c r="M128" s="8"/>
      <c r="N128" s="8"/>
      <c r="O128" s="8"/>
      <c r="P128" s="8"/>
      <c r="Q128" s="8"/>
      <c r="R128" s="8"/>
      <c r="S128" s="8"/>
      <c r="T128" s="8"/>
      <c r="U128" s="8"/>
      <c r="V128" s="8"/>
      <c r="W128" s="8"/>
      <c r="X128" s="8"/>
      <c r="Y128" s="8"/>
      <c r="Z128" s="8"/>
      <c r="AA128" s="8"/>
      <c r="AB128" s="8"/>
    </row>
    <row r="129" spans="2:28" s="217" customFormat="1">
      <c r="B129" s="218"/>
      <c r="C129" s="234" t="s">
        <v>132</v>
      </c>
      <c r="D129" s="213" t="s">
        <v>66</v>
      </c>
      <c r="E129" s="214">
        <v>8</v>
      </c>
      <c r="F129" s="220">
        <v>0</v>
      </c>
      <c r="G129" s="221">
        <f t="shared" si="8"/>
        <v>0</v>
      </c>
      <c r="H129" s="8"/>
      <c r="I129" s="8"/>
      <c r="J129" s="8"/>
      <c r="K129" s="8"/>
      <c r="L129" s="8"/>
      <c r="M129" s="8"/>
      <c r="N129" s="8"/>
      <c r="O129" s="8"/>
      <c r="P129" s="8"/>
      <c r="Q129" s="8"/>
      <c r="R129" s="8"/>
      <c r="S129" s="8"/>
      <c r="T129" s="8"/>
      <c r="U129" s="8"/>
      <c r="V129" s="8"/>
      <c r="W129" s="8"/>
      <c r="X129" s="8"/>
      <c r="Y129" s="8"/>
      <c r="Z129" s="8"/>
      <c r="AA129" s="8"/>
      <c r="AB129" s="8"/>
    </row>
    <row r="130" spans="2:28" s="217" customFormat="1">
      <c r="B130" s="218"/>
      <c r="C130" s="234" t="s">
        <v>148</v>
      </c>
      <c r="D130" s="213" t="s">
        <v>66</v>
      </c>
      <c r="E130" s="214">
        <v>8</v>
      </c>
      <c r="F130" s="220">
        <v>0</v>
      </c>
      <c r="G130" s="221">
        <f t="shared" si="8"/>
        <v>0</v>
      </c>
      <c r="H130" s="8"/>
      <c r="I130" s="8"/>
      <c r="J130" s="8"/>
      <c r="K130" s="8"/>
      <c r="L130" s="8"/>
      <c r="M130" s="8"/>
      <c r="N130" s="8"/>
      <c r="O130" s="8"/>
      <c r="P130" s="8"/>
      <c r="Q130" s="8"/>
      <c r="R130" s="8"/>
      <c r="S130" s="8"/>
      <c r="T130" s="8"/>
      <c r="U130" s="8"/>
      <c r="V130" s="8"/>
      <c r="W130" s="8"/>
      <c r="X130" s="8"/>
      <c r="Y130" s="8"/>
      <c r="Z130" s="8"/>
      <c r="AA130" s="8"/>
      <c r="AB130" s="8"/>
    </row>
    <row r="131" spans="2:28" s="217" customFormat="1">
      <c r="B131" s="218"/>
      <c r="C131" s="234" t="s">
        <v>150</v>
      </c>
      <c r="D131" s="213" t="s">
        <v>66</v>
      </c>
      <c r="E131" s="214">
        <v>5</v>
      </c>
      <c r="F131" s="220">
        <v>0</v>
      </c>
      <c r="G131" s="221">
        <f t="shared" si="8"/>
        <v>0</v>
      </c>
      <c r="H131" s="8"/>
      <c r="I131" s="8"/>
      <c r="J131" s="8"/>
      <c r="K131" s="8"/>
      <c r="L131" s="8"/>
      <c r="M131" s="8"/>
      <c r="N131" s="8"/>
      <c r="O131" s="8"/>
      <c r="P131" s="8"/>
      <c r="Q131" s="8"/>
      <c r="R131" s="8"/>
      <c r="S131" s="8"/>
      <c r="T131" s="8"/>
      <c r="U131" s="8"/>
      <c r="V131" s="8"/>
      <c r="W131" s="8"/>
      <c r="X131" s="8"/>
      <c r="Y131" s="8"/>
      <c r="Z131" s="8"/>
      <c r="AA131" s="8"/>
      <c r="AB131" s="8"/>
    </row>
    <row r="132" spans="2:28" s="217" customFormat="1">
      <c r="B132" s="218"/>
      <c r="C132" s="235" t="s">
        <v>135</v>
      </c>
      <c r="D132" s="213" t="s">
        <v>66</v>
      </c>
      <c r="E132" s="214">
        <v>5</v>
      </c>
      <c r="F132" s="220">
        <v>0</v>
      </c>
      <c r="G132" s="221">
        <f t="shared" si="8"/>
        <v>0</v>
      </c>
      <c r="H132" s="8"/>
      <c r="I132" s="8"/>
      <c r="J132" s="8"/>
      <c r="K132" s="8"/>
      <c r="L132" s="8"/>
      <c r="M132" s="8"/>
      <c r="N132" s="8"/>
      <c r="O132" s="8"/>
      <c r="P132" s="8"/>
      <c r="Q132" s="8"/>
      <c r="R132" s="8"/>
      <c r="S132" s="8"/>
      <c r="T132" s="8"/>
      <c r="U132" s="8"/>
      <c r="V132" s="8"/>
      <c r="W132" s="8"/>
      <c r="X132" s="8"/>
      <c r="Y132" s="8"/>
      <c r="Z132" s="8"/>
      <c r="AA132" s="8"/>
      <c r="AB132" s="8"/>
    </row>
    <row r="133" spans="2:28" s="217" customFormat="1">
      <c r="B133" s="201" t="s">
        <v>159</v>
      </c>
      <c r="C133" s="223" t="s">
        <v>160</v>
      </c>
      <c r="D133" s="224"/>
      <c r="E133" s="225"/>
      <c r="F133" s="226"/>
      <c r="G133" s="227"/>
      <c r="H133" s="8"/>
      <c r="I133" s="8"/>
      <c r="J133" s="8"/>
      <c r="K133" s="8"/>
      <c r="L133" s="8"/>
      <c r="M133" s="8"/>
      <c r="N133" s="8"/>
      <c r="O133" s="8"/>
      <c r="P133" s="8"/>
      <c r="Q133" s="8"/>
      <c r="R133" s="8"/>
      <c r="S133" s="8"/>
      <c r="T133" s="8"/>
      <c r="U133" s="8"/>
      <c r="V133" s="8"/>
      <c r="W133" s="8"/>
      <c r="X133" s="8"/>
      <c r="Y133" s="8"/>
      <c r="Z133" s="8"/>
      <c r="AA133" s="8"/>
      <c r="AB133" s="8"/>
    </row>
    <row r="134" spans="2:28" s="217" customFormat="1">
      <c r="B134" s="218"/>
      <c r="C134" s="223" t="s">
        <v>161</v>
      </c>
      <c r="D134" s="224"/>
      <c r="E134" s="225"/>
      <c r="F134" s="226"/>
      <c r="G134" s="227"/>
      <c r="H134" s="8"/>
      <c r="I134" s="8"/>
      <c r="J134" s="8"/>
      <c r="K134" s="8"/>
      <c r="L134" s="8"/>
      <c r="M134" s="8"/>
      <c r="N134" s="8"/>
      <c r="O134" s="8"/>
      <c r="P134" s="8"/>
      <c r="Q134" s="8"/>
      <c r="R134" s="8"/>
      <c r="S134" s="8"/>
      <c r="T134" s="8"/>
      <c r="U134" s="8"/>
      <c r="V134" s="8"/>
      <c r="W134" s="8"/>
      <c r="X134" s="8"/>
      <c r="Y134" s="8"/>
      <c r="Z134" s="8"/>
      <c r="AA134" s="8"/>
      <c r="AB134" s="8"/>
    </row>
    <row r="135" spans="2:28" s="217" customFormat="1" ht="27" customHeight="1">
      <c r="B135" s="218"/>
      <c r="C135" s="228" t="s">
        <v>2064</v>
      </c>
      <c r="D135" s="224" t="s">
        <v>66</v>
      </c>
      <c r="E135" s="225">
        <v>2</v>
      </c>
      <c r="F135" s="229">
        <v>0</v>
      </c>
      <c r="G135" s="230">
        <f t="shared" ref="G135:G141" si="9">E135*F135</f>
        <v>0</v>
      </c>
      <c r="H135" s="8"/>
      <c r="I135" s="8"/>
      <c r="J135" s="8"/>
      <c r="K135" s="8"/>
      <c r="L135" s="8"/>
      <c r="M135" s="8"/>
      <c r="N135" s="8"/>
      <c r="O135" s="8"/>
      <c r="P135" s="8"/>
      <c r="Q135" s="8"/>
      <c r="R135" s="8"/>
      <c r="S135" s="8"/>
      <c r="T135" s="8"/>
      <c r="U135" s="8"/>
      <c r="V135" s="8"/>
      <c r="W135" s="8"/>
      <c r="X135" s="8"/>
      <c r="Y135" s="8"/>
      <c r="Z135" s="8"/>
      <c r="AA135" s="8"/>
      <c r="AB135" s="8"/>
    </row>
    <row r="136" spans="2:28" s="217" customFormat="1">
      <c r="B136" s="218"/>
      <c r="C136" s="236" t="s">
        <v>162</v>
      </c>
      <c r="D136" s="224" t="s">
        <v>66</v>
      </c>
      <c r="E136" s="225">
        <v>4</v>
      </c>
      <c r="F136" s="229">
        <v>0</v>
      </c>
      <c r="G136" s="230">
        <f t="shared" si="9"/>
        <v>0</v>
      </c>
      <c r="H136" s="8"/>
      <c r="I136" s="8"/>
      <c r="J136" s="8"/>
      <c r="K136" s="8"/>
      <c r="L136" s="8"/>
      <c r="M136" s="8"/>
      <c r="N136" s="8"/>
      <c r="O136" s="8"/>
      <c r="P136" s="8"/>
      <c r="Q136" s="8"/>
      <c r="R136" s="8"/>
      <c r="S136" s="8"/>
      <c r="T136" s="8"/>
      <c r="U136" s="8"/>
      <c r="V136" s="8"/>
      <c r="W136" s="8"/>
      <c r="X136" s="8"/>
      <c r="Y136" s="8"/>
      <c r="Z136" s="8"/>
      <c r="AA136" s="8"/>
      <c r="AB136" s="8"/>
    </row>
    <row r="137" spans="2:28" s="217" customFormat="1">
      <c r="B137" s="218"/>
      <c r="C137" s="236" t="s">
        <v>132</v>
      </c>
      <c r="D137" s="224" t="s">
        <v>66</v>
      </c>
      <c r="E137" s="225">
        <v>2</v>
      </c>
      <c r="F137" s="229">
        <v>0</v>
      </c>
      <c r="G137" s="230">
        <f t="shared" si="9"/>
        <v>0</v>
      </c>
      <c r="H137" s="8"/>
      <c r="I137" s="8"/>
      <c r="J137" s="8"/>
      <c r="K137" s="8"/>
      <c r="L137" s="8"/>
      <c r="M137" s="8"/>
      <c r="N137" s="8"/>
      <c r="O137" s="8"/>
      <c r="P137" s="8"/>
      <c r="Q137" s="8"/>
      <c r="R137" s="8"/>
      <c r="S137" s="8"/>
      <c r="T137" s="8"/>
      <c r="U137" s="8"/>
      <c r="V137" s="8"/>
      <c r="W137" s="8"/>
      <c r="X137" s="8"/>
      <c r="Y137" s="8"/>
      <c r="Z137" s="8"/>
      <c r="AA137" s="8"/>
      <c r="AB137" s="8"/>
    </row>
    <row r="138" spans="2:28" s="217" customFormat="1">
      <c r="B138" s="218"/>
      <c r="C138" s="236" t="s">
        <v>163</v>
      </c>
      <c r="D138" s="224" t="s">
        <v>66</v>
      </c>
      <c r="E138" s="225">
        <v>4</v>
      </c>
      <c r="F138" s="229">
        <v>0</v>
      </c>
      <c r="G138" s="230">
        <f t="shared" si="9"/>
        <v>0</v>
      </c>
      <c r="H138" s="8"/>
      <c r="I138" s="8"/>
      <c r="J138" s="8"/>
      <c r="K138" s="8"/>
      <c r="L138" s="8"/>
      <c r="M138" s="8"/>
      <c r="N138" s="8"/>
      <c r="O138" s="8"/>
      <c r="P138" s="8"/>
      <c r="Q138" s="8"/>
      <c r="R138" s="8"/>
      <c r="S138" s="8"/>
      <c r="T138" s="8"/>
      <c r="U138" s="8"/>
      <c r="V138" s="8"/>
      <c r="W138" s="8"/>
      <c r="X138" s="8"/>
      <c r="Y138" s="8"/>
      <c r="Z138" s="8"/>
      <c r="AA138" s="8"/>
      <c r="AB138" s="8"/>
    </row>
    <row r="139" spans="2:28" s="217" customFormat="1">
      <c r="B139" s="218"/>
      <c r="C139" s="236" t="s">
        <v>133</v>
      </c>
      <c r="D139" s="224" t="s">
        <v>66</v>
      </c>
      <c r="E139" s="225">
        <v>2</v>
      </c>
      <c r="F139" s="229">
        <v>0</v>
      </c>
      <c r="G139" s="230">
        <f t="shared" si="9"/>
        <v>0</v>
      </c>
      <c r="H139" s="8"/>
      <c r="I139" s="8"/>
      <c r="J139" s="8"/>
      <c r="K139" s="8"/>
      <c r="L139" s="8"/>
      <c r="M139" s="8"/>
      <c r="N139" s="8"/>
      <c r="O139" s="8"/>
      <c r="P139" s="8"/>
      <c r="Q139" s="8"/>
      <c r="R139" s="8"/>
      <c r="S139" s="8"/>
      <c r="T139" s="8"/>
      <c r="U139" s="8"/>
      <c r="V139" s="8"/>
      <c r="W139" s="8"/>
      <c r="X139" s="8"/>
      <c r="Y139" s="8"/>
      <c r="Z139" s="8"/>
      <c r="AA139" s="8"/>
      <c r="AB139" s="8"/>
    </row>
    <row r="140" spans="2:28" s="217" customFormat="1">
      <c r="B140" s="218"/>
      <c r="C140" s="236" t="s">
        <v>150</v>
      </c>
      <c r="D140" s="224" t="s">
        <v>66</v>
      </c>
      <c r="E140" s="225">
        <v>2</v>
      </c>
      <c r="F140" s="229">
        <v>0</v>
      </c>
      <c r="G140" s="230">
        <f t="shared" si="9"/>
        <v>0</v>
      </c>
      <c r="H140" s="8"/>
      <c r="I140" s="8"/>
      <c r="J140" s="8"/>
      <c r="K140" s="8"/>
      <c r="L140" s="8"/>
      <c r="M140" s="8"/>
      <c r="N140" s="8"/>
      <c r="O140" s="8"/>
      <c r="P140" s="8"/>
      <c r="Q140" s="8"/>
      <c r="R140" s="8"/>
      <c r="S140" s="8"/>
      <c r="T140" s="8"/>
      <c r="U140" s="8"/>
      <c r="V140" s="8"/>
      <c r="W140" s="8"/>
      <c r="X140" s="8"/>
      <c r="Y140" s="8"/>
      <c r="Z140" s="8"/>
      <c r="AA140" s="8"/>
      <c r="AB140" s="8"/>
    </row>
    <row r="141" spans="2:28" s="217" customFormat="1">
      <c r="B141" s="218"/>
      <c r="C141" s="237" t="s">
        <v>135</v>
      </c>
      <c r="D141" s="224" t="s">
        <v>66</v>
      </c>
      <c r="E141" s="225">
        <v>2</v>
      </c>
      <c r="F141" s="229">
        <v>0</v>
      </c>
      <c r="G141" s="230">
        <f t="shared" si="9"/>
        <v>0</v>
      </c>
      <c r="H141" s="8"/>
      <c r="I141" s="8"/>
      <c r="J141" s="8"/>
      <c r="K141" s="8"/>
      <c r="L141" s="8"/>
      <c r="M141" s="8"/>
      <c r="N141" s="8"/>
      <c r="O141" s="8"/>
      <c r="P141" s="8"/>
      <c r="Q141" s="8"/>
      <c r="R141" s="8"/>
      <c r="S141" s="8"/>
      <c r="T141" s="8"/>
      <c r="U141" s="8"/>
      <c r="V141" s="8"/>
      <c r="W141" s="8"/>
      <c r="X141" s="8"/>
      <c r="Y141" s="8"/>
      <c r="Z141" s="8"/>
      <c r="AA141" s="8"/>
      <c r="AB141" s="8"/>
    </row>
    <row r="142" spans="2:28" s="217" customFormat="1">
      <c r="B142" s="218"/>
      <c r="C142" s="223" t="s">
        <v>164</v>
      </c>
      <c r="D142" s="224"/>
      <c r="E142" s="225"/>
      <c r="F142" s="226"/>
      <c r="G142" s="227"/>
      <c r="H142" s="8"/>
      <c r="I142" s="8"/>
      <c r="J142" s="8"/>
      <c r="K142" s="8"/>
      <c r="L142" s="8"/>
      <c r="M142" s="8"/>
      <c r="N142" s="8"/>
      <c r="O142" s="8"/>
      <c r="P142" s="8"/>
      <c r="Q142" s="8"/>
      <c r="R142" s="8"/>
      <c r="S142" s="8"/>
      <c r="T142" s="8"/>
      <c r="U142" s="8"/>
      <c r="V142" s="8"/>
      <c r="W142" s="8"/>
      <c r="X142" s="8"/>
      <c r="Y142" s="8"/>
      <c r="Z142" s="8"/>
      <c r="AA142" s="8"/>
      <c r="AB142" s="8"/>
    </row>
    <row r="143" spans="2:28" s="217" customFormat="1" ht="30" customHeight="1">
      <c r="B143" s="218"/>
      <c r="C143" s="228" t="s">
        <v>2066</v>
      </c>
      <c r="D143" s="224" t="s">
        <v>66</v>
      </c>
      <c r="E143" s="225">
        <v>1</v>
      </c>
      <c r="F143" s="229">
        <v>0</v>
      </c>
      <c r="G143" s="230">
        <f>E143*F143</f>
        <v>0</v>
      </c>
      <c r="H143" s="8"/>
      <c r="I143" s="8"/>
      <c r="J143" s="8"/>
      <c r="K143" s="8"/>
      <c r="L143" s="8"/>
      <c r="M143" s="8"/>
      <c r="N143" s="8"/>
      <c r="O143" s="8"/>
      <c r="P143" s="8"/>
      <c r="Q143" s="8"/>
      <c r="R143" s="8"/>
      <c r="S143" s="8"/>
      <c r="T143" s="8"/>
      <c r="U143" s="8"/>
      <c r="V143" s="8"/>
      <c r="W143" s="8"/>
      <c r="X143" s="8"/>
      <c r="Y143" s="8"/>
      <c r="Z143" s="8"/>
      <c r="AA143" s="8"/>
      <c r="AB143" s="8"/>
    </row>
    <row r="144" spans="2:28" s="217" customFormat="1">
      <c r="B144" s="218"/>
      <c r="C144" s="232" t="s">
        <v>132</v>
      </c>
      <c r="D144" s="224" t="s">
        <v>66</v>
      </c>
      <c r="E144" s="225">
        <v>2</v>
      </c>
      <c r="F144" s="229">
        <v>0</v>
      </c>
      <c r="G144" s="230">
        <f t="shared" ref="G144:G149" si="10">E144*F144</f>
        <v>0</v>
      </c>
      <c r="H144" s="8"/>
      <c r="I144" s="8"/>
      <c r="J144" s="8"/>
      <c r="K144" s="8"/>
      <c r="L144" s="8"/>
      <c r="M144" s="8"/>
      <c r="N144" s="8"/>
      <c r="O144" s="8"/>
      <c r="P144" s="8"/>
      <c r="Q144" s="8"/>
      <c r="R144" s="8"/>
      <c r="S144" s="8"/>
      <c r="T144" s="8"/>
      <c r="U144" s="8"/>
      <c r="V144" s="8"/>
      <c r="W144" s="8"/>
      <c r="X144" s="8"/>
      <c r="Y144" s="8"/>
      <c r="Z144" s="8"/>
      <c r="AA144" s="8"/>
      <c r="AB144" s="8"/>
    </row>
    <row r="145" spans="2:28" s="217" customFormat="1">
      <c r="B145" s="218"/>
      <c r="C145" s="232" t="s">
        <v>166</v>
      </c>
      <c r="D145" s="224" t="s">
        <v>66</v>
      </c>
      <c r="E145" s="225">
        <v>1</v>
      </c>
      <c r="F145" s="229">
        <v>0</v>
      </c>
      <c r="G145" s="230">
        <f t="shared" si="10"/>
        <v>0</v>
      </c>
      <c r="H145" s="8"/>
      <c r="I145" s="8"/>
      <c r="J145" s="8"/>
      <c r="K145" s="8"/>
      <c r="L145" s="8"/>
      <c r="M145" s="8"/>
      <c r="N145" s="8"/>
      <c r="O145" s="8"/>
      <c r="P145" s="8"/>
      <c r="Q145" s="8"/>
      <c r="R145" s="8"/>
      <c r="S145" s="8"/>
      <c r="T145" s="8"/>
      <c r="U145" s="8"/>
      <c r="V145" s="8"/>
      <c r="W145" s="8"/>
      <c r="X145" s="8"/>
      <c r="Y145" s="8"/>
      <c r="Z145" s="8"/>
      <c r="AA145" s="8"/>
      <c r="AB145" s="8"/>
    </row>
    <row r="146" spans="2:28" s="217" customFormat="1">
      <c r="B146" s="218"/>
      <c r="C146" s="232" t="s">
        <v>148</v>
      </c>
      <c r="D146" s="224" t="s">
        <v>66</v>
      </c>
      <c r="E146" s="225">
        <v>2</v>
      </c>
      <c r="F146" s="229">
        <v>0</v>
      </c>
      <c r="G146" s="230">
        <f t="shared" si="10"/>
        <v>0</v>
      </c>
      <c r="H146" s="8"/>
      <c r="I146" s="8"/>
      <c r="J146" s="8"/>
      <c r="K146" s="8"/>
      <c r="L146" s="8"/>
      <c r="M146" s="8"/>
      <c r="N146" s="8"/>
      <c r="O146" s="8"/>
      <c r="P146" s="8"/>
      <c r="Q146" s="8"/>
      <c r="R146" s="8"/>
      <c r="S146" s="8"/>
      <c r="T146" s="8"/>
      <c r="U146" s="8"/>
      <c r="V146" s="8"/>
      <c r="W146" s="8"/>
      <c r="X146" s="8"/>
      <c r="Y146" s="8"/>
      <c r="Z146" s="8"/>
      <c r="AA146" s="8"/>
      <c r="AB146" s="8"/>
    </row>
    <row r="147" spans="2:28" s="217" customFormat="1">
      <c r="B147" s="218"/>
      <c r="C147" s="232" t="s">
        <v>167</v>
      </c>
      <c r="D147" s="224" t="s">
        <v>66</v>
      </c>
      <c r="E147" s="225">
        <v>1</v>
      </c>
      <c r="F147" s="229">
        <v>0</v>
      </c>
      <c r="G147" s="230">
        <f t="shared" si="10"/>
        <v>0</v>
      </c>
      <c r="H147" s="8"/>
      <c r="I147" s="8"/>
      <c r="J147" s="8"/>
      <c r="K147" s="8"/>
      <c r="L147" s="8"/>
      <c r="M147" s="8"/>
      <c r="N147" s="8"/>
      <c r="O147" s="8"/>
      <c r="P147" s="8"/>
      <c r="Q147" s="8"/>
      <c r="R147" s="8"/>
      <c r="S147" s="8"/>
      <c r="T147" s="8"/>
      <c r="U147" s="8"/>
      <c r="V147" s="8"/>
      <c r="W147" s="8"/>
      <c r="X147" s="8"/>
      <c r="Y147" s="8"/>
      <c r="Z147" s="8"/>
      <c r="AA147" s="8"/>
      <c r="AB147" s="8"/>
    </row>
    <row r="148" spans="2:28" s="217" customFormat="1">
      <c r="B148" s="218"/>
      <c r="C148" s="232" t="s">
        <v>150</v>
      </c>
      <c r="D148" s="224" t="s">
        <v>66</v>
      </c>
      <c r="E148" s="225">
        <v>1</v>
      </c>
      <c r="F148" s="229">
        <v>0</v>
      </c>
      <c r="G148" s="230">
        <f t="shared" si="10"/>
        <v>0</v>
      </c>
      <c r="H148" s="8"/>
      <c r="I148" s="8"/>
      <c r="J148" s="8"/>
      <c r="K148" s="8"/>
      <c r="L148" s="8"/>
      <c r="M148" s="8"/>
      <c r="N148" s="8"/>
      <c r="O148" s="8"/>
      <c r="P148" s="8"/>
      <c r="Q148" s="8"/>
      <c r="R148" s="8"/>
      <c r="S148" s="8"/>
      <c r="T148" s="8"/>
      <c r="U148" s="8"/>
      <c r="V148" s="8"/>
      <c r="W148" s="8"/>
      <c r="X148" s="8"/>
      <c r="Y148" s="8"/>
      <c r="Z148" s="8"/>
      <c r="AA148" s="8"/>
      <c r="AB148" s="8"/>
    </row>
    <row r="149" spans="2:28" s="217" customFormat="1">
      <c r="B149" s="218"/>
      <c r="C149" s="233" t="s">
        <v>135</v>
      </c>
      <c r="D149" s="224" t="s">
        <v>66</v>
      </c>
      <c r="E149" s="225">
        <v>1</v>
      </c>
      <c r="F149" s="229">
        <v>0</v>
      </c>
      <c r="G149" s="230">
        <f t="shared" si="10"/>
        <v>0</v>
      </c>
      <c r="H149" s="8"/>
      <c r="I149" s="8"/>
      <c r="J149" s="8"/>
      <c r="K149" s="8"/>
      <c r="L149" s="8"/>
      <c r="M149" s="8"/>
      <c r="N149" s="8"/>
      <c r="O149" s="8"/>
      <c r="P149" s="8"/>
      <c r="Q149" s="8"/>
      <c r="R149" s="8"/>
      <c r="S149" s="8"/>
      <c r="T149" s="8"/>
      <c r="U149" s="8"/>
      <c r="V149" s="8"/>
      <c r="W149" s="8"/>
      <c r="X149" s="8"/>
      <c r="Y149" s="8"/>
      <c r="Z149" s="8"/>
      <c r="AA149" s="8"/>
      <c r="AB149" s="8"/>
    </row>
    <row r="150" spans="2:28" s="217" customFormat="1">
      <c r="B150" s="201" t="s">
        <v>168</v>
      </c>
      <c r="C150" s="238" t="s">
        <v>169</v>
      </c>
      <c r="D150" s="239"/>
      <c r="E150" s="240"/>
      <c r="F150" s="241"/>
      <c r="G150" s="242"/>
      <c r="H150" s="8"/>
      <c r="I150" s="8"/>
      <c r="J150" s="8"/>
      <c r="K150" s="8"/>
      <c r="L150" s="8"/>
      <c r="M150" s="8"/>
      <c r="N150" s="8"/>
      <c r="O150" s="8"/>
      <c r="P150" s="8"/>
      <c r="Q150" s="8"/>
      <c r="R150" s="8"/>
      <c r="S150" s="8"/>
      <c r="T150" s="8"/>
      <c r="U150" s="8"/>
      <c r="V150" s="8"/>
      <c r="W150" s="8"/>
      <c r="X150" s="8"/>
      <c r="Y150" s="8"/>
      <c r="Z150" s="8"/>
      <c r="AA150" s="8"/>
      <c r="AB150" s="8"/>
    </row>
    <row r="151" spans="2:28" s="217" customFormat="1">
      <c r="B151" s="218"/>
      <c r="C151" s="238" t="s">
        <v>170</v>
      </c>
      <c r="D151" s="239"/>
      <c r="E151" s="240"/>
      <c r="F151" s="241"/>
      <c r="G151" s="242"/>
      <c r="H151" s="8"/>
      <c r="I151" s="8"/>
      <c r="J151" s="8"/>
      <c r="K151" s="8"/>
      <c r="L151" s="8"/>
      <c r="M151" s="8"/>
      <c r="N151" s="8"/>
      <c r="O151" s="8"/>
      <c r="P151" s="8"/>
      <c r="Q151" s="8"/>
      <c r="R151" s="8"/>
      <c r="S151" s="8"/>
      <c r="T151" s="8"/>
      <c r="U151" s="8"/>
      <c r="V151" s="8"/>
      <c r="W151" s="8"/>
      <c r="X151" s="8"/>
      <c r="Y151" s="8"/>
      <c r="Z151" s="8"/>
      <c r="AA151" s="8"/>
      <c r="AB151" s="8"/>
    </row>
    <row r="152" spans="2:28" s="217" customFormat="1" ht="36">
      <c r="B152" s="218"/>
      <c r="C152" s="243" t="s">
        <v>2063</v>
      </c>
      <c r="D152" s="239" t="s">
        <v>66</v>
      </c>
      <c r="E152" s="240">
        <v>38</v>
      </c>
      <c r="F152" s="244">
        <v>0</v>
      </c>
      <c r="G152" s="245">
        <f t="shared" ref="G152:G154" si="11">E152*F152</f>
        <v>0</v>
      </c>
      <c r="H152" s="8"/>
      <c r="I152" s="8"/>
      <c r="J152" s="8"/>
      <c r="K152" s="8"/>
      <c r="L152" s="8"/>
      <c r="M152" s="8"/>
      <c r="N152" s="8"/>
      <c r="O152" s="8"/>
      <c r="P152" s="8"/>
      <c r="Q152" s="8"/>
      <c r="R152" s="8"/>
      <c r="S152" s="8"/>
      <c r="T152" s="8"/>
      <c r="U152" s="8"/>
      <c r="V152" s="8"/>
      <c r="W152" s="8"/>
      <c r="X152" s="8"/>
      <c r="Y152" s="8"/>
      <c r="Z152" s="8"/>
      <c r="AA152" s="8"/>
      <c r="AB152" s="8"/>
    </row>
    <row r="153" spans="2:28" s="217" customFormat="1">
      <c r="B153" s="218"/>
      <c r="C153" s="246" t="s">
        <v>171</v>
      </c>
      <c r="D153" s="239" t="s">
        <v>66</v>
      </c>
      <c r="E153" s="240">
        <v>38</v>
      </c>
      <c r="F153" s="244">
        <v>0</v>
      </c>
      <c r="G153" s="245">
        <f t="shared" si="11"/>
        <v>0</v>
      </c>
      <c r="H153" s="8"/>
      <c r="I153" s="8"/>
      <c r="J153" s="8"/>
      <c r="K153" s="8"/>
      <c r="L153" s="8"/>
      <c r="M153" s="8"/>
      <c r="N153" s="8"/>
      <c r="O153" s="8"/>
      <c r="P153" s="8"/>
      <c r="Q153" s="8"/>
      <c r="R153" s="8"/>
      <c r="S153" s="8"/>
      <c r="T153" s="8"/>
      <c r="U153" s="8"/>
      <c r="V153" s="8"/>
      <c r="W153" s="8"/>
      <c r="X153" s="8"/>
      <c r="Y153" s="8"/>
      <c r="Z153" s="8"/>
      <c r="AA153" s="8"/>
      <c r="AB153" s="8"/>
    </row>
    <row r="154" spans="2:28" s="217" customFormat="1">
      <c r="B154" s="218"/>
      <c r="C154" s="247" t="s">
        <v>135</v>
      </c>
      <c r="D154" s="239" t="s">
        <v>66</v>
      </c>
      <c r="E154" s="240">
        <v>38</v>
      </c>
      <c r="F154" s="244">
        <v>0</v>
      </c>
      <c r="G154" s="245">
        <f t="shared" si="11"/>
        <v>0</v>
      </c>
      <c r="H154" s="8"/>
      <c r="I154" s="8"/>
      <c r="J154" s="8"/>
      <c r="K154" s="8"/>
      <c r="L154" s="8"/>
      <c r="M154" s="8"/>
      <c r="N154" s="8"/>
      <c r="O154" s="8"/>
      <c r="P154" s="8"/>
      <c r="Q154" s="8"/>
      <c r="R154" s="8"/>
      <c r="S154" s="8"/>
      <c r="T154" s="8"/>
      <c r="U154" s="8"/>
      <c r="V154" s="8"/>
      <c r="W154" s="8"/>
      <c r="X154" s="8"/>
      <c r="Y154" s="8"/>
      <c r="Z154" s="8"/>
      <c r="AA154" s="8"/>
      <c r="AB154" s="8"/>
    </row>
    <row r="155" spans="2:28">
      <c r="B155" s="201" t="s">
        <v>172</v>
      </c>
      <c r="C155" s="248" t="s">
        <v>173</v>
      </c>
      <c r="D155" s="249"/>
      <c r="E155" s="250"/>
      <c r="F155" s="251"/>
      <c r="G155" s="252"/>
      <c r="I155" s="8"/>
      <c r="J155" s="8"/>
      <c r="K155" s="8"/>
      <c r="L155" s="8"/>
      <c r="M155" s="8"/>
      <c r="N155" s="8"/>
      <c r="O155" s="8"/>
      <c r="P155" s="8"/>
      <c r="Q155" s="8"/>
      <c r="R155" s="8"/>
      <c r="S155" s="8"/>
      <c r="T155" s="8"/>
      <c r="U155" s="8"/>
      <c r="V155" s="8"/>
      <c r="W155" s="8"/>
      <c r="X155" s="8"/>
      <c r="Y155" s="8"/>
      <c r="Z155" s="8"/>
      <c r="AA155" s="8"/>
      <c r="AB155" s="8"/>
    </row>
    <row r="156" spans="2:28" s="217" customFormat="1" ht="63" customHeight="1">
      <c r="B156" s="218"/>
      <c r="C156" s="253" t="s">
        <v>174</v>
      </c>
      <c r="D156" s="254" t="s">
        <v>66</v>
      </c>
      <c r="E156" s="255">
        <v>1</v>
      </c>
      <c r="F156" s="256">
        <v>0</v>
      </c>
      <c r="G156" s="257">
        <f t="shared" ref="G156" si="12">E156*F156</f>
        <v>0</v>
      </c>
      <c r="H156" s="8"/>
      <c r="I156" s="8"/>
      <c r="J156" s="8"/>
      <c r="K156" s="8"/>
      <c r="L156" s="8"/>
      <c r="M156" s="8"/>
      <c r="N156" s="8"/>
      <c r="O156" s="8"/>
      <c r="P156" s="8"/>
      <c r="Q156" s="8"/>
      <c r="R156" s="8"/>
      <c r="S156" s="8"/>
      <c r="T156" s="8"/>
      <c r="U156" s="8"/>
      <c r="V156" s="8"/>
      <c r="W156" s="8"/>
      <c r="X156" s="8"/>
      <c r="Y156" s="8"/>
      <c r="Z156" s="8"/>
      <c r="AA156" s="8"/>
      <c r="AB156" s="8"/>
    </row>
    <row r="157" spans="2:28" s="179" customFormat="1" ht="16.5" customHeight="1">
      <c r="B157" s="258" t="s">
        <v>47</v>
      </c>
      <c r="C157" s="259" t="s">
        <v>175</v>
      </c>
      <c r="D157" s="260"/>
      <c r="E157" s="261"/>
      <c r="F157" s="262"/>
      <c r="G157" s="263">
        <f>SUM(G80:G156)</f>
        <v>0</v>
      </c>
      <c r="H157" s="8"/>
      <c r="I157" s="8"/>
      <c r="J157" s="8"/>
      <c r="K157" s="8"/>
      <c r="L157" s="8"/>
      <c r="M157" s="8"/>
      <c r="N157" s="8"/>
      <c r="O157" s="8"/>
      <c r="P157" s="8"/>
      <c r="Q157" s="8"/>
      <c r="R157" s="8"/>
      <c r="S157" s="8"/>
      <c r="T157" s="8"/>
      <c r="U157" s="8"/>
      <c r="V157" s="8"/>
      <c r="W157" s="8"/>
      <c r="X157" s="8"/>
      <c r="Y157" s="8"/>
      <c r="Z157" s="8"/>
      <c r="AA157" s="8"/>
      <c r="AB157" s="8"/>
    </row>
    <row r="158" spans="2:28">
      <c r="I158" s="8"/>
      <c r="J158" s="8"/>
      <c r="K158" s="8"/>
      <c r="L158" s="8"/>
      <c r="M158" s="8"/>
      <c r="N158" s="8"/>
      <c r="O158" s="8"/>
      <c r="P158" s="8"/>
      <c r="Q158" s="8"/>
      <c r="R158" s="8"/>
      <c r="S158" s="8"/>
      <c r="T158" s="8"/>
      <c r="U158" s="8"/>
      <c r="V158" s="8"/>
      <c r="W158" s="8"/>
      <c r="X158" s="8"/>
      <c r="Y158" s="8"/>
      <c r="Z158" s="8"/>
      <c r="AA158" s="8"/>
      <c r="AB158" s="8"/>
    </row>
    <row r="159" spans="2:28">
      <c r="I159" s="8"/>
      <c r="J159" s="8"/>
      <c r="K159" s="8"/>
      <c r="L159" s="8"/>
      <c r="M159" s="8"/>
      <c r="N159" s="8"/>
      <c r="O159" s="8"/>
      <c r="P159" s="8"/>
      <c r="Q159" s="8"/>
      <c r="R159" s="8"/>
      <c r="S159" s="8"/>
      <c r="T159" s="8"/>
      <c r="U159" s="8"/>
      <c r="V159" s="8"/>
      <c r="W159" s="8"/>
      <c r="X159" s="8"/>
      <c r="Y159" s="8"/>
      <c r="Z159" s="8"/>
      <c r="AA159" s="8"/>
      <c r="AB159" s="8"/>
    </row>
    <row r="160" spans="2:28">
      <c r="I160" s="8"/>
      <c r="J160" s="8"/>
      <c r="K160" s="8"/>
      <c r="L160" s="8"/>
      <c r="M160" s="8"/>
      <c r="N160" s="8"/>
      <c r="O160" s="8"/>
      <c r="P160" s="8"/>
      <c r="Q160" s="8"/>
      <c r="R160" s="8"/>
      <c r="S160" s="8"/>
      <c r="T160" s="8"/>
      <c r="U160" s="8"/>
      <c r="V160" s="8"/>
      <c r="W160" s="8"/>
      <c r="X160" s="8"/>
      <c r="Y160" s="8"/>
      <c r="Z160" s="8"/>
      <c r="AA160" s="8"/>
      <c r="AB160" s="8"/>
    </row>
    <row r="161" spans="9:28">
      <c r="I161" s="8"/>
      <c r="J161" s="8"/>
      <c r="K161" s="8"/>
      <c r="L161" s="8"/>
      <c r="M161" s="8"/>
      <c r="N161" s="8"/>
      <c r="O161" s="8"/>
      <c r="P161" s="8"/>
      <c r="Q161" s="8"/>
      <c r="R161" s="8"/>
      <c r="S161" s="8"/>
      <c r="T161" s="8"/>
      <c r="U161" s="8"/>
      <c r="V161" s="8"/>
      <c r="W161" s="8"/>
      <c r="X161" s="8"/>
      <c r="Y161" s="8"/>
      <c r="Z161" s="8"/>
      <c r="AA161" s="8"/>
      <c r="AB161" s="8"/>
    </row>
    <row r="162" spans="9:28">
      <c r="I162" s="8"/>
      <c r="J162" s="8"/>
      <c r="K162" s="8"/>
      <c r="L162" s="8"/>
      <c r="M162" s="8"/>
      <c r="N162" s="8"/>
      <c r="O162" s="8"/>
      <c r="P162" s="8"/>
      <c r="Q162" s="8"/>
      <c r="R162" s="8"/>
      <c r="S162" s="8"/>
      <c r="T162" s="8"/>
      <c r="U162" s="8"/>
      <c r="V162" s="8"/>
      <c r="W162" s="8"/>
      <c r="X162" s="8"/>
      <c r="Y162" s="8"/>
      <c r="Z162" s="8"/>
      <c r="AA162" s="8"/>
      <c r="AB162" s="8"/>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CC435-C4B3-4819-9997-C42B0339076E}">
  <sheetPr>
    <tabColor rgb="FF00B0F0"/>
  </sheetPr>
  <dimension ref="A2:Z620"/>
  <sheetViews>
    <sheetView showZeros="0" topLeftCell="A43" zoomScaleNormal="100" zoomScaleSheetLayoutView="110" workbookViewId="0">
      <selection activeCell="C352" sqref="C352"/>
    </sheetView>
  </sheetViews>
  <sheetFormatPr defaultColWidth="10.42578125" defaultRowHeight="12.75"/>
  <cols>
    <col min="1" max="1" width="4.42578125" style="1" customWidth="1"/>
    <col min="2" max="2" width="9.5703125" style="67" customWidth="1"/>
    <col min="3" max="3" width="51.42578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867</v>
      </c>
      <c r="D4" s="76"/>
      <c r="E4" s="77"/>
      <c r="F4" s="674"/>
      <c r="G4" s="79"/>
      <c r="H4" s="37"/>
    </row>
    <row r="5" spans="1:26" s="73" customFormat="1" ht="12" customHeight="1">
      <c r="B5" s="80"/>
      <c r="C5" s="81"/>
      <c r="D5" s="82"/>
      <c r="E5" s="83"/>
      <c r="F5" s="675"/>
      <c r="G5" s="85"/>
      <c r="H5" s="37"/>
    </row>
    <row r="6" spans="1:26" s="86" customFormat="1" ht="21" customHeight="1">
      <c r="B6" s="676" t="s">
        <v>37</v>
      </c>
      <c r="C6" s="677" t="s">
        <v>863</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5" customHeight="1">
      <c r="B13" s="2198"/>
      <c r="C13" s="2199" t="s">
        <v>40</v>
      </c>
      <c r="D13" s="2200"/>
      <c r="E13" s="2201"/>
      <c r="F13" s="2202"/>
      <c r="G13" s="2203"/>
      <c r="H13" s="27"/>
      <c r="I13" s="87"/>
    </row>
    <row r="14" spans="1:26" s="101" customFormat="1" ht="15" customHeight="1">
      <c r="B14" s="2198" t="s">
        <v>41</v>
      </c>
      <c r="C14" s="2204" t="s">
        <v>42</v>
      </c>
      <c r="D14" s="2205"/>
      <c r="E14" s="2201"/>
      <c r="F14" s="2206"/>
      <c r="G14" s="2207" t="s">
        <v>10</v>
      </c>
      <c r="H14" s="37"/>
      <c r="I14" s="73"/>
      <c r="J14" s="73"/>
      <c r="K14" s="73"/>
      <c r="L14" s="73"/>
      <c r="M14" s="73"/>
      <c r="N14" s="73"/>
      <c r="O14" s="73"/>
      <c r="P14" s="73"/>
      <c r="Q14" s="73"/>
      <c r="R14" s="73"/>
      <c r="S14" s="73"/>
      <c r="T14" s="73"/>
      <c r="U14" s="73"/>
      <c r="V14" s="73"/>
      <c r="W14" s="73"/>
      <c r="X14" s="73"/>
      <c r="Y14" s="73"/>
      <c r="Z14" s="73"/>
    </row>
    <row r="15" spans="1:26" s="101" customFormat="1" ht="15" customHeight="1">
      <c r="B15" s="2223" t="s">
        <v>43</v>
      </c>
      <c r="C15" s="2224" t="s">
        <v>44</v>
      </c>
      <c r="D15" s="2225"/>
      <c r="E15" s="2226"/>
      <c r="F15" s="2227"/>
      <c r="G15" s="2228">
        <f>G63</f>
        <v>0</v>
      </c>
      <c r="H15" s="37"/>
      <c r="I15" s="73"/>
      <c r="J15" s="73"/>
      <c r="K15" s="73"/>
      <c r="L15" s="73"/>
      <c r="M15" s="73"/>
      <c r="N15" s="73"/>
      <c r="O15" s="73"/>
      <c r="P15" s="73"/>
      <c r="Q15" s="73"/>
      <c r="R15" s="73"/>
      <c r="S15" s="73"/>
      <c r="T15" s="73"/>
      <c r="U15" s="73"/>
      <c r="V15" s="73"/>
      <c r="W15" s="73"/>
      <c r="X15" s="73"/>
      <c r="Y15" s="73"/>
      <c r="Z15" s="73"/>
    </row>
    <row r="16" spans="1:26" s="101" customFormat="1" ht="15" customHeight="1">
      <c r="B16" s="2212" t="s">
        <v>45</v>
      </c>
      <c r="C16" s="2213" t="s">
        <v>71</v>
      </c>
      <c r="D16" s="2214"/>
      <c r="E16" s="2215"/>
      <c r="F16" s="2216"/>
      <c r="G16" s="2217">
        <f>G194</f>
        <v>0</v>
      </c>
      <c r="H16" s="37"/>
      <c r="I16" s="73"/>
      <c r="J16" s="73"/>
      <c r="K16" s="73"/>
      <c r="L16" s="73"/>
      <c r="M16" s="73"/>
      <c r="N16" s="73"/>
      <c r="O16" s="73"/>
      <c r="P16" s="73"/>
      <c r="Q16" s="73"/>
      <c r="R16" s="73"/>
      <c r="S16" s="73"/>
      <c r="T16" s="73"/>
      <c r="U16" s="73"/>
      <c r="V16" s="73"/>
      <c r="W16" s="73"/>
      <c r="X16" s="73"/>
      <c r="Y16" s="73"/>
      <c r="Z16" s="73"/>
    </row>
    <row r="17" spans="2:8" ht="15" customHeight="1">
      <c r="B17" s="2218" t="s">
        <v>47</v>
      </c>
      <c r="C17" s="2219" t="s">
        <v>899</v>
      </c>
      <c r="D17" s="2220"/>
      <c r="E17" s="2221"/>
      <c r="F17" s="2222"/>
      <c r="G17" s="2188">
        <f>G356</f>
        <v>0</v>
      </c>
    </row>
    <row r="18" spans="2:8" ht="15" customHeight="1">
      <c r="B18" s="2208" t="s">
        <v>914</v>
      </c>
      <c r="C18" s="2209" t="s">
        <v>48</v>
      </c>
      <c r="D18" s="2210"/>
      <c r="E18" s="2211"/>
      <c r="F18" s="2206"/>
      <c r="G18" s="2084">
        <f>G423</f>
        <v>0</v>
      </c>
    </row>
    <row r="19" spans="2:8" ht="15" customHeight="1">
      <c r="B19" s="2212" t="s">
        <v>915</v>
      </c>
      <c r="C19" s="2213" t="s">
        <v>916</v>
      </c>
      <c r="D19" s="2214"/>
      <c r="E19" s="2215"/>
      <c r="F19" s="2369"/>
      <c r="G19" s="2217">
        <f>G619</f>
        <v>0</v>
      </c>
    </row>
    <row r="20" spans="2:8" ht="15" customHeight="1">
      <c r="B20" s="2192"/>
      <c r="C20" s="2193" t="s">
        <v>49</v>
      </c>
      <c r="D20" s="2194"/>
      <c r="E20" s="2195"/>
      <c r="F20" s="2196"/>
      <c r="G20" s="2197">
        <f>SUM(G15:G19)</f>
        <v>0</v>
      </c>
    </row>
    <row r="21" spans="2:8" ht="27.75" customHeight="1">
      <c r="B21" s="748"/>
      <c r="C21" s="749"/>
      <c r="D21" s="750"/>
      <c r="E21" s="751"/>
      <c r="F21" s="752"/>
      <c r="G21" s="753"/>
    </row>
    <row r="22" spans="2:8" s="759" customFormat="1" ht="38.25" customHeight="1">
      <c r="B22" s="754" t="s">
        <v>50</v>
      </c>
      <c r="C22" s="120" t="s">
        <v>51</v>
      </c>
      <c r="D22" s="120" t="s">
        <v>52</v>
      </c>
      <c r="E22" s="755" t="s">
        <v>53</v>
      </c>
      <c r="F22" s="756" t="s">
        <v>54</v>
      </c>
      <c r="G22" s="757" t="s">
        <v>55</v>
      </c>
      <c r="H22" s="758"/>
    </row>
    <row r="23" spans="2:8" ht="14.25" customHeight="1">
      <c r="B23" s="760"/>
      <c r="C23" s="761"/>
      <c r="D23" s="762"/>
      <c r="E23" s="763"/>
      <c r="F23" s="764"/>
      <c r="G23" s="765"/>
    </row>
    <row r="24" spans="2:8" ht="38.25" customHeight="1">
      <c r="B24" s="766" t="s">
        <v>43</v>
      </c>
      <c r="C24" s="132" t="s">
        <v>44</v>
      </c>
      <c r="D24" s="133"/>
      <c r="E24" s="767"/>
      <c r="F24" s="768"/>
      <c r="G24" s="769"/>
    </row>
    <row r="25" spans="2:8" ht="13.5" customHeight="1">
      <c r="B25" s="2489" t="s">
        <v>917</v>
      </c>
      <c r="C25" s="2490"/>
      <c r="D25" s="2490"/>
      <c r="E25" s="2490"/>
      <c r="F25" s="2490"/>
      <c r="G25" s="2491"/>
      <c r="H25" s="143"/>
    </row>
    <row r="26" spans="2:8" ht="23.25" customHeight="1">
      <c r="B26" s="2492" t="s">
        <v>918</v>
      </c>
      <c r="C26" s="2493"/>
      <c r="D26" s="2493"/>
      <c r="E26" s="2493"/>
      <c r="F26" s="2493"/>
      <c r="G26" s="2494"/>
    </row>
    <row r="27" spans="2:8" ht="23.25" customHeight="1">
      <c r="B27" s="2492" t="s">
        <v>919</v>
      </c>
      <c r="C27" s="2495"/>
      <c r="D27" s="2495"/>
      <c r="E27" s="2495"/>
      <c r="F27" s="2495"/>
      <c r="G27" s="2496"/>
    </row>
    <row r="28" spans="2:8" ht="60" customHeight="1">
      <c r="B28" s="2492" t="s">
        <v>920</v>
      </c>
      <c r="C28" s="2495"/>
      <c r="D28" s="2495"/>
      <c r="E28" s="2495"/>
      <c r="F28" s="2495"/>
      <c r="G28" s="2496"/>
    </row>
    <row r="29" spans="2:8" ht="94.5" customHeight="1">
      <c r="B29" s="2492" t="s">
        <v>921</v>
      </c>
      <c r="C29" s="2493"/>
      <c r="D29" s="2493"/>
      <c r="E29" s="2493"/>
      <c r="F29" s="2493"/>
      <c r="G29" s="2494"/>
    </row>
    <row r="30" spans="2:8" s="771" customFormat="1" ht="25.5" customHeight="1">
      <c r="B30" s="2492" t="s">
        <v>922</v>
      </c>
      <c r="C30" s="2497"/>
      <c r="D30" s="2497"/>
      <c r="E30" s="2497"/>
      <c r="F30" s="2497"/>
      <c r="G30" s="2498"/>
      <c r="H30" s="770"/>
    </row>
    <row r="31" spans="2:8" s="166" customFormat="1" ht="96" customHeight="1">
      <c r="B31" s="2492" t="s">
        <v>923</v>
      </c>
      <c r="C31" s="2495"/>
      <c r="D31" s="2495"/>
      <c r="E31" s="2495"/>
      <c r="F31" s="2495"/>
      <c r="G31" s="2496"/>
      <c r="H31" s="8"/>
    </row>
    <row r="32" spans="2:8" ht="12.75" customHeight="1">
      <c r="B32" s="2492" t="s">
        <v>924</v>
      </c>
      <c r="C32" s="2495"/>
      <c r="D32" s="2495"/>
      <c r="E32" s="2495"/>
      <c r="F32" s="2495"/>
      <c r="G32" s="2496"/>
    </row>
    <row r="33" spans="2:9" ht="25.5" customHeight="1">
      <c r="B33" s="2492" t="s">
        <v>925</v>
      </c>
      <c r="C33" s="2495"/>
      <c r="D33" s="2495"/>
      <c r="E33" s="2495"/>
      <c r="F33" s="2495"/>
      <c r="G33" s="2496"/>
      <c r="I33" s="270"/>
    </row>
    <row r="34" spans="2:9" ht="48" customHeight="1">
      <c r="B34" s="2492" t="s">
        <v>926</v>
      </c>
      <c r="C34" s="2495"/>
      <c r="D34" s="2495"/>
      <c r="E34" s="2495"/>
      <c r="F34" s="2495"/>
      <c r="G34" s="2496"/>
      <c r="I34" s="270"/>
    </row>
    <row r="35" spans="2:9" ht="36.75" customHeight="1">
      <c r="B35" s="2492" t="s">
        <v>927</v>
      </c>
      <c r="C35" s="2495"/>
      <c r="D35" s="2495"/>
      <c r="E35" s="2495"/>
      <c r="F35" s="2495"/>
      <c r="G35" s="2496"/>
    </row>
    <row r="36" spans="2:9" ht="26.25" customHeight="1">
      <c r="B36" s="2492" t="s">
        <v>928</v>
      </c>
      <c r="C36" s="2495"/>
      <c r="D36" s="2495"/>
      <c r="E36" s="2495"/>
      <c r="F36" s="2495"/>
      <c r="G36" s="2496"/>
    </row>
    <row r="37" spans="2:9" ht="72.75" customHeight="1">
      <c r="B37" s="2492" t="s">
        <v>929</v>
      </c>
      <c r="C37" s="2495"/>
      <c r="D37" s="2495"/>
      <c r="E37" s="2495"/>
      <c r="F37" s="2495"/>
      <c r="G37" s="2496"/>
    </row>
    <row r="38" spans="2:9" ht="72.75" customHeight="1">
      <c r="B38" s="2492" t="s">
        <v>930</v>
      </c>
      <c r="C38" s="2495"/>
      <c r="D38" s="2495"/>
      <c r="E38" s="2495"/>
      <c r="F38" s="2495"/>
      <c r="G38" s="2496"/>
    </row>
    <row r="39" spans="2:9" ht="61.5" customHeight="1">
      <c r="B39" s="2492" t="s">
        <v>931</v>
      </c>
      <c r="C39" s="2495"/>
      <c r="D39" s="2495"/>
      <c r="E39" s="2495"/>
      <c r="F39" s="2495"/>
      <c r="G39" s="2496"/>
    </row>
    <row r="40" spans="2:9" ht="24" customHeight="1">
      <c r="B40" s="2492" t="s">
        <v>932</v>
      </c>
      <c r="C40" s="2495"/>
      <c r="D40" s="2495"/>
      <c r="E40" s="2495"/>
      <c r="F40" s="2495"/>
      <c r="G40" s="2496"/>
    </row>
    <row r="41" spans="2:9" ht="26.25" customHeight="1">
      <c r="B41" s="2492" t="s">
        <v>933</v>
      </c>
      <c r="C41" s="2495"/>
      <c r="D41" s="2495"/>
      <c r="E41" s="2495"/>
      <c r="F41" s="2495"/>
      <c r="G41" s="2496"/>
    </row>
    <row r="42" spans="2:9" ht="13.5" customHeight="1">
      <c r="B42" s="2492" t="s">
        <v>934</v>
      </c>
      <c r="C42" s="2495"/>
      <c r="D42" s="2495"/>
      <c r="E42" s="2495"/>
      <c r="F42" s="2495"/>
      <c r="G42" s="2496"/>
    </row>
    <row r="43" spans="2:9" ht="25.5" customHeight="1">
      <c r="B43" s="2492" t="s">
        <v>935</v>
      </c>
      <c r="C43" s="2495"/>
      <c r="D43" s="2495"/>
      <c r="E43" s="2495"/>
      <c r="F43" s="2495"/>
      <c r="G43" s="2496"/>
    </row>
    <row r="44" spans="2:9" s="166" customFormat="1" ht="41.25" customHeight="1">
      <c r="B44" s="2492" t="s">
        <v>936</v>
      </c>
      <c r="C44" s="2495"/>
      <c r="D44" s="2495"/>
      <c r="E44" s="2495"/>
      <c r="F44" s="2495"/>
      <c r="G44" s="2496"/>
      <c r="H44" s="8"/>
    </row>
    <row r="45" spans="2:9" s="166" customFormat="1" ht="12.75" customHeight="1">
      <c r="B45" s="2492" t="s">
        <v>937</v>
      </c>
      <c r="C45" s="2495"/>
      <c r="D45" s="2495"/>
      <c r="E45" s="2495"/>
      <c r="F45" s="2495"/>
      <c r="G45" s="2496"/>
      <c r="H45" s="8"/>
    </row>
    <row r="46" spans="2:9" s="179" customFormat="1" ht="27" customHeight="1">
      <c r="B46" s="2514" t="s">
        <v>938</v>
      </c>
      <c r="C46" s="2515"/>
      <c r="D46" s="2515"/>
      <c r="E46" s="2515"/>
      <c r="F46" s="2515"/>
      <c r="G46" s="2516"/>
      <c r="H46" s="269"/>
    </row>
    <row r="47" spans="2:9" s="179" customFormat="1" ht="42" customHeight="1">
      <c r="B47" s="772" t="s">
        <v>564</v>
      </c>
      <c r="C47" s="171" t="s">
        <v>939</v>
      </c>
      <c r="D47" s="277" t="s">
        <v>57</v>
      </c>
      <c r="E47" s="773">
        <v>30</v>
      </c>
      <c r="F47" s="1619">
        <v>0</v>
      </c>
      <c r="G47" s="1620">
        <f t="shared" ref="G47:G51" si="0">E47*F47</f>
        <v>0</v>
      </c>
      <c r="H47" s="269"/>
    </row>
    <row r="48" spans="2:9" ht="37.5" customHeight="1">
      <c r="B48" s="772" t="s">
        <v>644</v>
      </c>
      <c r="C48" s="171" t="s">
        <v>940</v>
      </c>
      <c r="D48" s="277" t="s">
        <v>78</v>
      </c>
      <c r="E48" s="773">
        <v>231</v>
      </c>
      <c r="F48" s="1619">
        <v>0</v>
      </c>
      <c r="G48" s="1620">
        <f t="shared" si="0"/>
        <v>0</v>
      </c>
      <c r="H48" s="143"/>
    </row>
    <row r="49" spans="2:8" ht="38.25" customHeight="1">
      <c r="B49" s="772" t="s">
        <v>647</v>
      </c>
      <c r="C49" s="171" t="s">
        <v>941</v>
      </c>
      <c r="D49" s="277" t="s">
        <v>252</v>
      </c>
      <c r="E49" s="773">
        <v>1</v>
      </c>
      <c r="F49" s="1619">
        <v>0</v>
      </c>
      <c r="G49" s="1620">
        <f t="shared" si="0"/>
        <v>0</v>
      </c>
      <c r="H49" s="143"/>
    </row>
    <row r="50" spans="2:8" ht="27" customHeight="1">
      <c r="B50" s="772" t="s">
        <v>782</v>
      </c>
      <c r="C50" s="171" t="s">
        <v>942</v>
      </c>
      <c r="D50" s="277" t="s">
        <v>57</v>
      </c>
      <c r="E50" s="773">
        <v>50</v>
      </c>
      <c r="F50" s="1619">
        <v>0</v>
      </c>
      <c r="G50" s="1620">
        <f t="shared" si="0"/>
        <v>0</v>
      </c>
      <c r="H50" s="143"/>
    </row>
    <row r="51" spans="2:8" ht="29.25" customHeight="1">
      <c r="B51" s="772" t="s">
        <v>739</v>
      </c>
      <c r="C51" s="171" t="s">
        <v>943</v>
      </c>
      <c r="D51" s="277" t="s">
        <v>57</v>
      </c>
      <c r="E51" s="773">
        <v>85</v>
      </c>
      <c r="F51" s="1619">
        <v>0</v>
      </c>
      <c r="G51" s="1620">
        <f t="shared" si="0"/>
        <v>0</v>
      </c>
      <c r="H51" s="143"/>
    </row>
    <row r="52" spans="2:8" ht="26.25" customHeight="1">
      <c r="B52" s="772" t="s">
        <v>944</v>
      </c>
      <c r="C52" s="171" t="s">
        <v>945</v>
      </c>
      <c r="D52" s="277" t="s">
        <v>60</v>
      </c>
      <c r="E52" s="773">
        <v>1</v>
      </c>
      <c r="F52" s="1619">
        <v>0</v>
      </c>
      <c r="G52" s="1620">
        <f>E52*F52</f>
        <v>0</v>
      </c>
    </row>
    <row r="53" spans="2:8" ht="13.5" customHeight="1">
      <c r="B53" s="772" t="s">
        <v>946</v>
      </c>
      <c r="C53" s="171" t="s">
        <v>947</v>
      </c>
      <c r="D53" s="277" t="s">
        <v>252</v>
      </c>
      <c r="E53" s="773">
        <v>1</v>
      </c>
      <c r="F53" s="1619">
        <v>0</v>
      </c>
      <c r="G53" s="1620">
        <f t="shared" ref="G53:G61" si="1">E53*F53</f>
        <v>0</v>
      </c>
    </row>
    <row r="54" spans="2:8" ht="15.75" customHeight="1">
      <c r="B54" s="772" t="s">
        <v>948</v>
      </c>
      <c r="C54" s="171" t="s">
        <v>949</v>
      </c>
      <c r="D54" s="277" t="s">
        <v>252</v>
      </c>
      <c r="E54" s="773">
        <v>1</v>
      </c>
      <c r="F54" s="1619">
        <v>0</v>
      </c>
      <c r="G54" s="1620">
        <f t="shared" si="1"/>
        <v>0</v>
      </c>
    </row>
    <row r="55" spans="2:8" s="726" customFormat="1" ht="42" customHeight="1">
      <c r="B55" s="774" t="s">
        <v>950</v>
      </c>
      <c r="C55" s="775" t="s">
        <v>951</v>
      </c>
      <c r="D55" s="2104" t="s">
        <v>60</v>
      </c>
      <c r="E55" s="2105">
        <v>1</v>
      </c>
      <c r="F55" s="1619">
        <v>0</v>
      </c>
      <c r="G55" s="1621">
        <f t="shared" si="1"/>
        <v>0</v>
      </c>
      <c r="H55" s="725"/>
    </row>
    <row r="56" spans="2:8" s="727" customFormat="1" ht="14.25" customHeight="1">
      <c r="B56" s="776" t="s">
        <v>952</v>
      </c>
      <c r="C56" s="775" t="s">
        <v>953</v>
      </c>
      <c r="D56" s="2104" t="s">
        <v>252</v>
      </c>
      <c r="E56" s="2105">
        <v>1</v>
      </c>
      <c r="F56" s="1619">
        <v>0</v>
      </c>
      <c r="G56" s="1621">
        <f t="shared" si="1"/>
        <v>0</v>
      </c>
    </row>
    <row r="57" spans="2:8" s="727" customFormat="1" ht="39.75" customHeight="1">
      <c r="B57" s="774" t="s">
        <v>954</v>
      </c>
      <c r="C57" s="775" t="s">
        <v>955</v>
      </c>
      <c r="D57" s="2104" t="s">
        <v>60</v>
      </c>
      <c r="E57" s="2105">
        <v>1</v>
      </c>
      <c r="F57" s="1619">
        <v>0</v>
      </c>
      <c r="G57" s="1621">
        <f t="shared" si="1"/>
        <v>0</v>
      </c>
    </row>
    <row r="58" spans="2:8" ht="31.5" customHeight="1">
      <c r="B58" s="776" t="s">
        <v>956</v>
      </c>
      <c r="C58" s="777" t="s">
        <v>957</v>
      </c>
      <c r="D58" s="2104" t="s">
        <v>60</v>
      </c>
      <c r="E58" s="2105">
        <v>1</v>
      </c>
      <c r="F58" s="1619">
        <v>0</v>
      </c>
      <c r="G58" s="1621">
        <f t="shared" si="1"/>
        <v>0</v>
      </c>
    </row>
    <row r="59" spans="2:8" ht="39.75" customHeight="1">
      <c r="B59" s="774" t="s">
        <v>958</v>
      </c>
      <c r="C59" s="778" t="s">
        <v>959</v>
      </c>
      <c r="D59" s="2104" t="s">
        <v>60</v>
      </c>
      <c r="E59" s="2105">
        <v>1</v>
      </c>
      <c r="F59" s="1619">
        <v>0</v>
      </c>
      <c r="G59" s="1621">
        <f t="shared" si="1"/>
        <v>0</v>
      </c>
    </row>
    <row r="60" spans="2:8" ht="28.5" customHeight="1">
      <c r="B60" s="776" t="s">
        <v>960</v>
      </c>
      <c r="C60" s="778" t="s">
        <v>961</v>
      </c>
      <c r="D60" s="2104" t="s">
        <v>60</v>
      </c>
      <c r="E60" s="2105">
        <v>1</v>
      </c>
      <c r="F60" s="1619">
        <v>0</v>
      </c>
      <c r="G60" s="1621">
        <f t="shared" si="1"/>
        <v>0</v>
      </c>
    </row>
    <row r="61" spans="2:8" ht="25.5" customHeight="1">
      <c r="B61" s="774" t="s">
        <v>962</v>
      </c>
      <c r="C61" s="778" t="s">
        <v>963</v>
      </c>
      <c r="D61" s="2104" t="s">
        <v>60</v>
      </c>
      <c r="E61" s="2105">
        <v>1</v>
      </c>
      <c r="F61" s="1619">
        <v>0</v>
      </c>
      <c r="G61" s="1621">
        <f t="shared" si="1"/>
        <v>0</v>
      </c>
    </row>
    <row r="62" spans="2:8" ht="18" customHeight="1">
      <c r="B62" s="779"/>
      <c r="C62" s="780"/>
      <c r="D62" s="2106"/>
      <c r="E62" s="2107"/>
      <c r="F62" s="781"/>
      <c r="G62" s="781"/>
    </row>
    <row r="63" spans="2:8">
      <c r="B63" s="2189" t="s">
        <v>43</v>
      </c>
      <c r="C63" s="2190" t="s">
        <v>964</v>
      </c>
      <c r="D63" s="2517"/>
      <c r="E63" s="2518"/>
      <c r="F63" s="2519"/>
      <c r="G63" s="2191">
        <f>SUM(G47:G61)</f>
        <v>0</v>
      </c>
    </row>
    <row r="64" spans="2:8" ht="18.75" customHeight="1">
      <c r="B64" s="782"/>
      <c r="E64" s="783"/>
      <c r="F64" s="784"/>
      <c r="G64" s="785"/>
    </row>
    <row r="65" spans="1:26" ht="24">
      <c r="B65" s="786" t="s">
        <v>50</v>
      </c>
      <c r="C65" s="120" t="s">
        <v>51</v>
      </c>
      <c r="D65" s="121" t="s">
        <v>52</v>
      </c>
      <c r="E65" s="787" t="s">
        <v>53</v>
      </c>
      <c r="F65" s="788" t="s">
        <v>54</v>
      </c>
      <c r="G65" s="789" t="s">
        <v>55</v>
      </c>
    </row>
    <row r="66" spans="1:26">
      <c r="B66" s="760"/>
      <c r="C66" s="761"/>
      <c r="D66" s="762"/>
      <c r="E66" s="763"/>
      <c r="F66" s="764"/>
      <c r="G66" s="765"/>
    </row>
    <row r="67" spans="1:26" ht="20.25">
      <c r="B67" s="790" t="s">
        <v>45</v>
      </c>
      <c r="C67" s="791" t="s">
        <v>71</v>
      </c>
      <c r="D67" s="792"/>
      <c r="E67" s="793"/>
      <c r="F67" s="794"/>
      <c r="G67" s="795"/>
    </row>
    <row r="68" spans="1:26" s="179" customFormat="1" ht="18.75" customHeight="1">
      <c r="B68" s="796" t="s">
        <v>892</v>
      </c>
      <c r="C68" s="797" t="s">
        <v>750</v>
      </c>
      <c r="D68" s="798"/>
      <c r="E68" s="799"/>
      <c r="F68" s="800"/>
      <c r="G68" s="801"/>
      <c r="H68" s="802"/>
    </row>
    <row r="69" spans="1:26" s="179" customFormat="1" ht="41.25" customHeight="1">
      <c r="B69" s="803" t="s">
        <v>564</v>
      </c>
      <c r="C69" s="804" t="s">
        <v>965</v>
      </c>
      <c r="D69" s="2108" t="s">
        <v>74</v>
      </c>
      <c r="E69" s="2109">
        <v>98</v>
      </c>
      <c r="F69" s="1619">
        <v>0</v>
      </c>
      <c r="G69" s="1619">
        <f>E69*F69</f>
        <v>0</v>
      </c>
      <c r="H69" s="802"/>
    </row>
    <row r="70" spans="1:26" s="179" customFormat="1" ht="43.5" customHeight="1">
      <c r="B70" s="2520" t="s">
        <v>644</v>
      </c>
      <c r="C70" s="806" t="s">
        <v>966</v>
      </c>
      <c r="D70" s="2108" t="s">
        <v>74</v>
      </c>
      <c r="E70" s="2109">
        <v>144.5</v>
      </c>
      <c r="F70" s="1619">
        <v>0</v>
      </c>
      <c r="G70" s="1619">
        <f>E70*F70</f>
        <v>0</v>
      </c>
      <c r="H70" s="802"/>
    </row>
    <row r="71" spans="1:26" ht="13.5" customHeight="1">
      <c r="B71" s="2521"/>
      <c r="C71" s="807" t="s">
        <v>967</v>
      </c>
      <c r="D71" s="2108"/>
      <c r="E71" s="2109"/>
      <c r="F71" s="1619"/>
      <c r="G71" s="1619"/>
    </row>
    <row r="72" spans="1:26" ht="27.75" customHeight="1">
      <c r="B72" s="803" t="s">
        <v>647</v>
      </c>
      <c r="C72" s="806" t="s">
        <v>968</v>
      </c>
      <c r="D72" s="2108" t="s">
        <v>74</v>
      </c>
      <c r="E72" s="2109">
        <v>18</v>
      </c>
      <c r="F72" s="1619">
        <v>0</v>
      </c>
      <c r="G72" s="1619">
        <f t="shared" ref="G72:G82" si="2">E72*F72</f>
        <v>0</v>
      </c>
    </row>
    <row r="73" spans="1:26" ht="42" customHeight="1">
      <c r="B73" s="803" t="s">
        <v>782</v>
      </c>
      <c r="C73" s="806" t="s">
        <v>969</v>
      </c>
      <c r="D73" s="2108" t="s">
        <v>74</v>
      </c>
      <c r="E73" s="2109">
        <v>138</v>
      </c>
      <c r="F73" s="1619">
        <v>0</v>
      </c>
      <c r="G73" s="1619">
        <f t="shared" si="2"/>
        <v>0</v>
      </c>
    </row>
    <row r="74" spans="1:26" ht="52.5" customHeight="1">
      <c r="B74" s="803" t="s">
        <v>739</v>
      </c>
      <c r="C74" s="806" t="s">
        <v>970</v>
      </c>
      <c r="D74" s="2108" t="s">
        <v>74</v>
      </c>
      <c r="E74" s="2109">
        <v>9</v>
      </c>
      <c r="F74" s="1619">
        <v>0</v>
      </c>
      <c r="G74" s="1619">
        <f t="shared" si="2"/>
        <v>0</v>
      </c>
    </row>
    <row r="75" spans="1:26" s="8" customFormat="1" ht="15.75" customHeight="1">
      <c r="A75" s="1"/>
      <c r="B75" s="803" t="s">
        <v>944</v>
      </c>
      <c r="C75" s="808" t="s">
        <v>971</v>
      </c>
      <c r="D75" s="2108" t="s">
        <v>78</v>
      </c>
      <c r="E75" s="2109">
        <v>330</v>
      </c>
      <c r="F75" s="1619">
        <v>0</v>
      </c>
      <c r="G75" s="1619">
        <f t="shared" si="2"/>
        <v>0</v>
      </c>
      <c r="I75" s="1"/>
      <c r="J75" s="1"/>
      <c r="K75" s="1"/>
      <c r="L75" s="1"/>
      <c r="M75" s="1"/>
      <c r="N75" s="1"/>
      <c r="O75" s="1"/>
      <c r="P75" s="1"/>
      <c r="Q75" s="1"/>
      <c r="R75" s="1"/>
      <c r="S75" s="1"/>
      <c r="T75" s="1"/>
      <c r="U75" s="1"/>
      <c r="V75" s="1"/>
      <c r="W75" s="1"/>
      <c r="X75" s="1"/>
      <c r="Y75" s="1"/>
      <c r="Z75" s="1"/>
    </row>
    <row r="76" spans="1:26" s="8" customFormat="1" ht="25.5">
      <c r="A76" s="1"/>
      <c r="B76" s="803" t="s">
        <v>946</v>
      </c>
      <c r="C76" s="809" t="s">
        <v>972</v>
      </c>
      <c r="D76" s="2108" t="s">
        <v>78</v>
      </c>
      <c r="E76" s="2109">
        <v>110</v>
      </c>
      <c r="F76" s="1619">
        <v>0</v>
      </c>
      <c r="G76" s="1619">
        <f t="shared" si="2"/>
        <v>0</v>
      </c>
      <c r="I76" s="1"/>
      <c r="J76" s="1"/>
      <c r="K76" s="1"/>
      <c r="L76" s="1"/>
      <c r="M76" s="1"/>
      <c r="N76" s="1"/>
      <c r="O76" s="1"/>
      <c r="P76" s="1"/>
      <c r="Q76" s="1"/>
      <c r="R76" s="1"/>
      <c r="S76" s="1"/>
      <c r="T76" s="1"/>
      <c r="U76" s="1"/>
      <c r="V76" s="1"/>
      <c r="W76" s="1"/>
      <c r="X76" s="1"/>
      <c r="Y76" s="1"/>
      <c r="Z76" s="1"/>
    </row>
    <row r="77" spans="1:26" s="8" customFormat="1" ht="32.25" customHeight="1">
      <c r="A77" s="1"/>
      <c r="B77" s="803" t="s">
        <v>948</v>
      </c>
      <c r="C77" s="809" t="s">
        <v>973</v>
      </c>
      <c r="D77" s="2108" t="s">
        <v>78</v>
      </c>
      <c r="E77" s="2109">
        <v>10</v>
      </c>
      <c r="F77" s="1619">
        <v>0</v>
      </c>
      <c r="G77" s="1619">
        <f t="shared" si="2"/>
        <v>0</v>
      </c>
      <c r="I77" s="1"/>
      <c r="J77" s="1"/>
      <c r="K77" s="1"/>
      <c r="L77" s="1"/>
      <c r="M77" s="1"/>
      <c r="N77" s="1"/>
      <c r="O77" s="1"/>
      <c r="P77" s="1"/>
      <c r="Q77" s="1"/>
      <c r="R77" s="1"/>
      <c r="S77" s="1"/>
      <c r="T77" s="1"/>
      <c r="U77" s="1"/>
      <c r="V77" s="1"/>
      <c r="W77" s="1"/>
      <c r="X77" s="1"/>
      <c r="Y77" s="1"/>
      <c r="Z77" s="1"/>
    </row>
    <row r="78" spans="1:26" s="8" customFormat="1" ht="78.75" customHeight="1">
      <c r="A78" s="1"/>
      <c r="B78" s="803" t="s">
        <v>950</v>
      </c>
      <c r="C78" s="808" t="s">
        <v>974</v>
      </c>
      <c r="D78" s="2108" t="s">
        <v>74</v>
      </c>
      <c r="E78" s="2109">
        <v>44</v>
      </c>
      <c r="F78" s="1619">
        <v>0</v>
      </c>
      <c r="G78" s="1619">
        <f t="shared" si="2"/>
        <v>0</v>
      </c>
      <c r="I78" s="1"/>
      <c r="J78" s="1"/>
      <c r="K78" s="1"/>
      <c r="L78" s="1"/>
      <c r="M78" s="1"/>
      <c r="N78" s="1"/>
      <c r="O78" s="1"/>
      <c r="P78" s="1"/>
      <c r="Q78" s="1"/>
      <c r="R78" s="1"/>
      <c r="S78" s="1"/>
      <c r="T78" s="1"/>
      <c r="U78" s="1"/>
      <c r="V78" s="1"/>
      <c r="W78" s="1"/>
      <c r="X78" s="1"/>
      <c r="Y78" s="1"/>
      <c r="Z78" s="1"/>
    </row>
    <row r="79" spans="1:26" s="8" customFormat="1" ht="51" customHeight="1">
      <c r="A79" s="1"/>
      <c r="B79" s="803" t="s">
        <v>952</v>
      </c>
      <c r="C79" s="808" t="s">
        <v>975</v>
      </c>
      <c r="D79" s="2108" t="s">
        <v>74</v>
      </c>
      <c r="E79" s="2109">
        <v>31.7</v>
      </c>
      <c r="F79" s="1619">
        <v>0</v>
      </c>
      <c r="G79" s="1619">
        <f t="shared" si="2"/>
        <v>0</v>
      </c>
      <c r="I79" s="1"/>
      <c r="J79" s="1"/>
      <c r="K79" s="1"/>
      <c r="L79" s="1"/>
      <c r="M79" s="1"/>
      <c r="N79" s="1"/>
      <c r="O79" s="1"/>
      <c r="P79" s="1"/>
      <c r="Q79" s="1"/>
      <c r="R79" s="1"/>
      <c r="S79" s="1"/>
      <c r="T79" s="1"/>
      <c r="U79" s="1"/>
      <c r="V79" s="1"/>
      <c r="W79" s="1"/>
      <c r="X79" s="1"/>
      <c r="Y79" s="1"/>
      <c r="Z79" s="1"/>
    </row>
    <row r="80" spans="1:26" s="8" customFormat="1" ht="24">
      <c r="A80" s="1"/>
      <c r="B80" s="803" t="s">
        <v>954</v>
      </c>
      <c r="C80" s="808" t="s">
        <v>976</v>
      </c>
      <c r="D80" s="2108" t="s">
        <v>78</v>
      </c>
      <c r="E80" s="2109">
        <v>110</v>
      </c>
      <c r="F80" s="1619">
        <v>0</v>
      </c>
      <c r="G80" s="1619">
        <f t="shared" si="2"/>
        <v>0</v>
      </c>
      <c r="I80" s="1"/>
      <c r="J80" s="1"/>
      <c r="K80" s="1"/>
      <c r="L80" s="1"/>
      <c r="M80" s="1"/>
      <c r="N80" s="1"/>
      <c r="O80" s="1"/>
      <c r="P80" s="1"/>
      <c r="Q80" s="1"/>
      <c r="R80" s="1"/>
      <c r="S80" s="1"/>
      <c r="T80" s="1"/>
      <c r="U80" s="1"/>
      <c r="V80" s="1"/>
      <c r="W80" s="1"/>
      <c r="X80" s="1"/>
      <c r="Y80" s="1"/>
      <c r="Z80" s="1"/>
    </row>
    <row r="81" spans="1:26" s="8" customFormat="1" ht="60.75" customHeight="1">
      <c r="A81" s="1"/>
      <c r="B81" s="803" t="s">
        <v>956</v>
      </c>
      <c r="C81" s="808" t="s">
        <v>977</v>
      </c>
      <c r="D81" s="2108" t="s">
        <v>74</v>
      </c>
      <c r="E81" s="2109">
        <v>144.5</v>
      </c>
      <c r="F81" s="1619">
        <v>0</v>
      </c>
      <c r="G81" s="1619">
        <f t="shared" si="2"/>
        <v>0</v>
      </c>
      <c r="I81" s="1"/>
      <c r="J81" s="1"/>
      <c r="K81" s="1"/>
      <c r="L81" s="1"/>
      <c r="M81" s="1"/>
      <c r="N81" s="1"/>
      <c r="O81" s="1"/>
      <c r="P81" s="1"/>
      <c r="Q81" s="1"/>
      <c r="R81" s="1"/>
      <c r="S81" s="1"/>
      <c r="T81" s="1"/>
      <c r="U81" s="1"/>
      <c r="V81" s="1"/>
      <c r="W81" s="1"/>
      <c r="X81" s="1"/>
      <c r="Y81" s="1"/>
      <c r="Z81" s="1"/>
    </row>
    <row r="82" spans="1:26" s="8" customFormat="1" ht="27.75" customHeight="1">
      <c r="A82" s="1"/>
      <c r="B82" s="803" t="s">
        <v>958</v>
      </c>
      <c r="C82" s="808" t="s">
        <v>978</v>
      </c>
      <c r="D82" s="2108" t="s">
        <v>74</v>
      </c>
      <c r="E82" s="2109">
        <v>88</v>
      </c>
      <c r="F82" s="1619">
        <v>0</v>
      </c>
      <c r="G82" s="1619">
        <f t="shared" si="2"/>
        <v>0</v>
      </c>
      <c r="I82" s="1"/>
      <c r="J82" s="1"/>
      <c r="K82" s="1"/>
      <c r="L82" s="1"/>
      <c r="M82" s="1"/>
      <c r="N82" s="1"/>
      <c r="O82" s="1"/>
      <c r="P82" s="1"/>
      <c r="Q82" s="1"/>
      <c r="R82" s="1"/>
      <c r="S82" s="1"/>
      <c r="T82" s="1"/>
      <c r="U82" s="1"/>
      <c r="V82" s="1"/>
      <c r="W82" s="1"/>
      <c r="X82" s="1"/>
      <c r="Y82" s="1"/>
      <c r="Z82" s="1"/>
    </row>
    <row r="83" spans="1:26" s="8" customFormat="1" ht="41.25" customHeight="1">
      <c r="A83" s="1"/>
      <c r="B83" s="803" t="s">
        <v>960</v>
      </c>
      <c r="C83" s="808" t="s">
        <v>979</v>
      </c>
      <c r="D83" s="2110" t="s">
        <v>74</v>
      </c>
      <c r="E83" s="2111">
        <v>3</v>
      </c>
      <c r="F83" s="1619">
        <v>0</v>
      </c>
      <c r="G83" s="1619">
        <f>ROUND(E83*F83,2)</f>
        <v>0</v>
      </c>
      <c r="I83" s="1"/>
      <c r="J83" s="1"/>
      <c r="K83" s="1"/>
      <c r="L83" s="1"/>
      <c r="M83" s="1"/>
      <c r="N83" s="1"/>
      <c r="O83" s="1"/>
      <c r="P83" s="1"/>
      <c r="Q83" s="1"/>
      <c r="R83" s="1"/>
      <c r="S83" s="1"/>
      <c r="T83" s="1"/>
      <c r="U83" s="1"/>
      <c r="V83" s="1"/>
      <c r="W83" s="1"/>
      <c r="X83" s="1"/>
      <c r="Y83" s="1"/>
      <c r="Z83" s="1"/>
    </row>
    <row r="84" spans="1:26" s="8" customFormat="1" ht="43.5" customHeight="1">
      <c r="A84" s="1"/>
      <c r="B84" s="803" t="s">
        <v>962</v>
      </c>
      <c r="C84" s="808" t="s">
        <v>980</v>
      </c>
      <c r="D84" s="2110" t="s">
        <v>74</v>
      </c>
      <c r="E84" s="2111">
        <v>6</v>
      </c>
      <c r="F84" s="1619">
        <v>0</v>
      </c>
      <c r="G84" s="1619">
        <f>ROUND(E84*F84,2)</f>
        <v>0</v>
      </c>
      <c r="I84" s="1"/>
      <c r="J84" s="1"/>
      <c r="K84" s="1"/>
      <c r="L84" s="1"/>
      <c r="M84" s="1"/>
      <c r="N84" s="1"/>
      <c r="O84" s="1"/>
      <c r="P84" s="1"/>
      <c r="Q84" s="1"/>
      <c r="R84" s="1"/>
      <c r="S84" s="1"/>
      <c r="T84" s="1"/>
      <c r="U84" s="1"/>
      <c r="V84" s="1"/>
      <c r="W84" s="1"/>
      <c r="X84" s="1"/>
      <c r="Y84" s="1"/>
      <c r="Z84" s="1"/>
    </row>
    <row r="85" spans="1:26" s="8" customFormat="1">
      <c r="A85" s="1"/>
      <c r="B85" s="803" t="s">
        <v>981</v>
      </c>
      <c r="C85" s="808" t="s">
        <v>982</v>
      </c>
      <c r="D85" s="2110" t="s">
        <v>74</v>
      </c>
      <c r="E85" s="2111">
        <v>10.5</v>
      </c>
      <c r="F85" s="1619">
        <v>0</v>
      </c>
      <c r="G85" s="1619">
        <f>ROUND(E85*F85,2)</f>
        <v>0</v>
      </c>
      <c r="I85" s="1"/>
      <c r="J85" s="1"/>
      <c r="K85" s="1"/>
      <c r="L85" s="1"/>
      <c r="M85" s="1"/>
      <c r="N85" s="1"/>
      <c r="O85" s="1"/>
      <c r="P85" s="1"/>
      <c r="Q85" s="1"/>
      <c r="R85" s="1"/>
      <c r="S85" s="1"/>
      <c r="T85" s="1"/>
      <c r="U85" s="1"/>
      <c r="V85" s="1"/>
      <c r="W85" s="1"/>
      <c r="X85" s="1"/>
      <c r="Y85" s="1"/>
      <c r="Z85" s="1"/>
    </row>
    <row r="86" spans="1:26" s="8" customFormat="1" ht="24">
      <c r="A86" s="1"/>
      <c r="B86" s="803" t="s">
        <v>983</v>
      </c>
      <c r="C86" s="808" t="s">
        <v>984</v>
      </c>
      <c r="D86" s="2112" t="s">
        <v>78</v>
      </c>
      <c r="E86" s="2113">
        <v>165</v>
      </c>
      <c r="F86" s="1619">
        <v>0</v>
      </c>
      <c r="G86" s="1619">
        <f>ROUND(E86*F86,2)</f>
        <v>0</v>
      </c>
      <c r="I86" s="1"/>
      <c r="J86" s="1"/>
      <c r="K86" s="1"/>
      <c r="L86" s="1"/>
      <c r="M86" s="1"/>
      <c r="N86" s="1"/>
      <c r="O86" s="1"/>
      <c r="P86" s="1"/>
      <c r="Q86" s="1"/>
      <c r="R86" s="1"/>
      <c r="S86" s="1"/>
      <c r="T86" s="1"/>
      <c r="U86" s="1"/>
      <c r="V86" s="1"/>
      <c r="W86" s="1"/>
      <c r="X86" s="1"/>
      <c r="Y86" s="1"/>
      <c r="Z86" s="1"/>
    </row>
    <row r="87" spans="1:26" s="8" customFormat="1">
      <c r="A87" s="1"/>
      <c r="B87" s="810"/>
      <c r="C87" s="811"/>
      <c r="D87" s="2114"/>
      <c r="E87" s="2115"/>
      <c r="F87" s="1619"/>
      <c r="G87" s="1619"/>
      <c r="I87" s="1"/>
      <c r="J87" s="1"/>
      <c r="K87" s="1"/>
      <c r="L87" s="1"/>
      <c r="M87" s="1"/>
      <c r="N87" s="1"/>
      <c r="O87" s="1"/>
      <c r="P87" s="1"/>
      <c r="Q87" s="1"/>
      <c r="R87" s="1"/>
      <c r="S87" s="1"/>
      <c r="T87" s="1"/>
      <c r="U87" s="1"/>
      <c r="V87" s="1"/>
      <c r="W87" s="1"/>
      <c r="X87" s="1"/>
      <c r="Y87" s="1"/>
      <c r="Z87" s="1"/>
    </row>
    <row r="88" spans="1:26" s="8" customFormat="1">
      <c r="A88" s="1"/>
      <c r="B88" s="2499" t="s">
        <v>985</v>
      </c>
      <c r="C88" s="2500"/>
      <c r="D88" s="2501"/>
      <c r="E88" s="2502"/>
      <c r="F88" s="2503"/>
      <c r="G88" s="2188">
        <f>SUM(G69:G87)</f>
        <v>0</v>
      </c>
      <c r="I88" s="1"/>
      <c r="J88" s="1"/>
      <c r="K88" s="1"/>
      <c r="L88" s="1"/>
      <c r="M88" s="1"/>
      <c r="N88" s="1"/>
      <c r="O88" s="1"/>
      <c r="P88" s="1"/>
      <c r="Q88" s="1"/>
      <c r="R88" s="1"/>
      <c r="S88" s="1"/>
      <c r="T88" s="1"/>
      <c r="U88" s="1"/>
      <c r="V88" s="1"/>
      <c r="W88" s="1"/>
      <c r="X88" s="1"/>
      <c r="Y88" s="1"/>
      <c r="Z88" s="1"/>
    </row>
    <row r="89" spans="1:26" s="8" customFormat="1">
      <c r="A89" s="1"/>
      <c r="B89" s="812"/>
      <c r="C89" s="813"/>
      <c r="D89" s="2116"/>
      <c r="E89" s="2117"/>
      <c r="F89" s="814"/>
      <c r="G89" s="814"/>
      <c r="I89" s="1"/>
      <c r="J89" s="1"/>
      <c r="K89" s="1"/>
      <c r="L89" s="1"/>
      <c r="M89" s="1"/>
      <c r="N89" s="1"/>
      <c r="O89" s="1"/>
      <c r="P89" s="1"/>
      <c r="Q89" s="1"/>
      <c r="R89" s="1"/>
      <c r="S89" s="1"/>
      <c r="T89" s="1"/>
      <c r="U89" s="1"/>
      <c r="V89" s="1"/>
      <c r="W89" s="1"/>
      <c r="X89" s="1"/>
      <c r="Y89" s="1"/>
      <c r="Z89" s="1"/>
    </row>
    <row r="90" spans="1:26" s="8" customFormat="1">
      <c r="A90" s="1"/>
      <c r="B90" s="815"/>
      <c r="C90" s="816"/>
      <c r="D90" s="817"/>
      <c r="E90" s="818"/>
      <c r="F90" s="819"/>
      <c r="G90" s="820"/>
      <c r="I90" s="1"/>
      <c r="J90" s="1"/>
      <c r="K90" s="1"/>
      <c r="L90" s="1"/>
      <c r="M90" s="1"/>
      <c r="N90" s="1"/>
      <c r="O90" s="1"/>
      <c r="P90" s="1"/>
      <c r="Q90" s="1"/>
      <c r="R90" s="1"/>
      <c r="S90" s="1"/>
      <c r="T90" s="1"/>
      <c r="U90" s="1"/>
      <c r="V90" s="1"/>
      <c r="W90" s="1"/>
      <c r="X90" s="1"/>
      <c r="Y90" s="1"/>
      <c r="Z90" s="1"/>
    </row>
    <row r="91" spans="1:26" s="8" customFormat="1" ht="24">
      <c r="A91" s="1"/>
      <c r="B91" s="786" t="s">
        <v>50</v>
      </c>
      <c r="C91" s="120" t="s">
        <v>51</v>
      </c>
      <c r="D91" s="121" t="s">
        <v>52</v>
      </c>
      <c r="E91" s="787" t="s">
        <v>53</v>
      </c>
      <c r="F91" s="788" t="s">
        <v>54</v>
      </c>
      <c r="G91" s="789" t="s">
        <v>55</v>
      </c>
      <c r="I91" s="1"/>
      <c r="J91" s="1"/>
      <c r="K91" s="1"/>
      <c r="L91" s="1"/>
      <c r="M91" s="1"/>
      <c r="N91" s="1"/>
      <c r="O91" s="1"/>
      <c r="P91" s="1"/>
      <c r="Q91" s="1"/>
      <c r="R91" s="1"/>
      <c r="S91" s="1"/>
      <c r="T91" s="1"/>
      <c r="U91" s="1"/>
      <c r="V91" s="1"/>
      <c r="W91" s="1"/>
      <c r="X91" s="1"/>
      <c r="Y91" s="1"/>
      <c r="Z91" s="1"/>
    </row>
    <row r="92" spans="1:26" s="8" customFormat="1">
      <c r="A92" s="1"/>
      <c r="B92" s="760"/>
      <c r="C92" s="761"/>
      <c r="D92" s="762"/>
      <c r="E92" s="763"/>
      <c r="F92" s="764"/>
      <c r="G92" s="765"/>
      <c r="I92" s="1"/>
      <c r="J92" s="1"/>
      <c r="K92" s="1"/>
      <c r="L92" s="1"/>
      <c r="M92" s="1"/>
      <c r="N92" s="1"/>
      <c r="O92" s="1"/>
      <c r="P92" s="1"/>
      <c r="Q92" s="1"/>
      <c r="R92" s="1"/>
      <c r="S92" s="1"/>
      <c r="T92" s="1"/>
      <c r="U92" s="1"/>
      <c r="V92" s="1"/>
      <c r="W92" s="1"/>
      <c r="X92" s="1"/>
      <c r="Y92" s="1"/>
      <c r="Z92" s="1"/>
    </row>
    <row r="93" spans="1:26" s="8" customFormat="1" ht="20.25">
      <c r="A93" s="1"/>
      <c r="B93" s="796" t="s">
        <v>893</v>
      </c>
      <c r="C93" s="797" t="s">
        <v>894</v>
      </c>
      <c r="D93" s="798"/>
      <c r="E93" s="799"/>
      <c r="F93" s="800"/>
      <c r="G93" s="801"/>
      <c r="I93" s="1"/>
      <c r="J93" s="1"/>
      <c r="K93" s="1"/>
      <c r="L93" s="1"/>
      <c r="M93" s="1"/>
      <c r="N93" s="1"/>
      <c r="O93" s="1"/>
      <c r="P93" s="1"/>
      <c r="Q93" s="1"/>
      <c r="R93" s="1"/>
      <c r="S93" s="1"/>
      <c r="T93" s="1"/>
      <c r="U93" s="1"/>
      <c r="V93" s="1"/>
      <c r="W93" s="1"/>
      <c r="X93" s="1"/>
      <c r="Y93" s="1"/>
      <c r="Z93" s="1"/>
    </row>
    <row r="94" spans="1:26" s="8" customFormat="1" ht="39.75" customHeight="1">
      <c r="A94" s="1"/>
      <c r="B94" s="2504" t="s">
        <v>986</v>
      </c>
      <c r="C94" s="2505"/>
      <c r="D94" s="2505"/>
      <c r="E94" s="2505"/>
      <c r="F94" s="2505"/>
      <c r="G94" s="2506"/>
      <c r="I94" s="1"/>
      <c r="J94" s="1"/>
      <c r="K94" s="1"/>
      <c r="L94" s="1"/>
      <c r="M94" s="1"/>
      <c r="N94" s="1"/>
      <c r="O94" s="1"/>
      <c r="P94" s="1"/>
      <c r="Q94" s="1"/>
      <c r="R94" s="1"/>
      <c r="S94" s="1"/>
      <c r="T94" s="1"/>
      <c r="U94" s="1"/>
      <c r="V94" s="1"/>
      <c r="W94" s="1"/>
      <c r="X94" s="1"/>
      <c r="Y94" s="1"/>
      <c r="Z94" s="1"/>
    </row>
    <row r="95" spans="1:26" s="8" customFormat="1" ht="36" customHeight="1">
      <c r="A95" s="1"/>
      <c r="B95" s="2507" t="s">
        <v>987</v>
      </c>
      <c r="C95" s="2508"/>
      <c r="D95" s="2508"/>
      <c r="E95" s="2508"/>
      <c r="F95" s="2508"/>
      <c r="G95" s="2509"/>
      <c r="I95" s="1"/>
      <c r="J95" s="1"/>
      <c r="K95" s="1"/>
      <c r="L95" s="1"/>
      <c r="M95" s="1"/>
      <c r="N95" s="1"/>
      <c r="O95" s="1"/>
      <c r="P95" s="1"/>
      <c r="Q95" s="1"/>
      <c r="R95" s="1"/>
      <c r="S95" s="1"/>
      <c r="T95" s="1"/>
      <c r="U95" s="1"/>
      <c r="V95" s="1"/>
      <c r="W95" s="1"/>
      <c r="X95" s="1"/>
      <c r="Y95" s="1"/>
      <c r="Z95" s="1"/>
    </row>
    <row r="96" spans="1:26" s="8" customFormat="1" ht="36" customHeight="1">
      <c r="A96" s="1"/>
      <c r="B96" s="2507" t="s">
        <v>988</v>
      </c>
      <c r="C96" s="2510"/>
      <c r="D96" s="2510"/>
      <c r="E96" s="2510"/>
      <c r="F96" s="2510"/>
      <c r="G96" s="2511"/>
      <c r="I96" s="1"/>
      <c r="J96" s="1"/>
      <c r="K96" s="1"/>
      <c r="L96" s="1"/>
      <c r="M96" s="1"/>
      <c r="N96" s="1"/>
      <c r="O96" s="1"/>
      <c r="P96" s="1"/>
      <c r="Q96" s="1"/>
      <c r="R96" s="1"/>
      <c r="S96" s="1"/>
      <c r="T96" s="1"/>
      <c r="U96" s="1"/>
      <c r="V96" s="1"/>
      <c r="W96" s="1"/>
      <c r="X96" s="1"/>
      <c r="Y96" s="1"/>
      <c r="Z96" s="1"/>
    </row>
    <row r="97" spans="1:26" s="8" customFormat="1" ht="36.75" customHeight="1">
      <c r="A97" s="1"/>
      <c r="B97" s="2507" t="s">
        <v>989</v>
      </c>
      <c r="C97" s="2512"/>
      <c r="D97" s="2512"/>
      <c r="E97" s="2512"/>
      <c r="F97" s="2512"/>
      <c r="G97" s="2513"/>
      <c r="I97" s="1"/>
      <c r="J97" s="1"/>
      <c r="K97" s="1"/>
      <c r="L97" s="1"/>
      <c r="M97" s="1"/>
      <c r="N97" s="1"/>
      <c r="O97" s="1"/>
      <c r="P97" s="1"/>
      <c r="Q97" s="1"/>
      <c r="R97" s="1"/>
      <c r="S97" s="1"/>
      <c r="T97" s="1"/>
      <c r="U97" s="1"/>
      <c r="V97" s="1"/>
      <c r="W97" s="1"/>
      <c r="X97" s="1"/>
      <c r="Y97" s="1"/>
      <c r="Z97" s="1"/>
    </row>
    <row r="98" spans="1:26" s="8" customFormat="1" ht="24.75" customHeight="1">
      <c r="A98" s="1"/>
      <c r="B98" s="2507" t="s">
        <v>990</v>
      </c>
      <c r="C98" s="2510"/>
      <c r="D98" s="2510"/>
      <c r="E98" s="2510"/>
      <c r="F98" s="2510"/>
      <c r="G98" s="2511"/>
      <c r="I98" s="1"/>
      <c r="J98" s="1"/>
      <c r="K98" s="1"/>
      <c r="L98" s="1"/>
      <c r="M98" s="1"/>
      <c r="N98" s="1"/>
      <c r="O98" s="1"/>
      <c r="P98" s="1"/>
      <c r="Q98" s="1"/>
      <c r="R98" s="1"/>
      <c r="S98" s="1"/>
      <c r="T98" s="1"/>
      <c r="U98" s="1"/>
      <c r="V98" s="1"/>
      <c r="W98" s="1"/>
      <c r="X98" s="1"/>
      <c r="Y98" s="1"/>
      <c r="Z98" s="1"/>
    </row>
    <row r="99" spans="1:26" s="8" customFormat="1" ht="25.5" customHeight="1">
      <c r="A99" s="1"/>
      <c r="B99" s="2507" t="s">
        <v>991</v>
      </c>
      <c r="C99" s="2531"/>
      <c r="D99" s="2531"/>
      <c r="E99" s="2531"/>
      <c r="F99" s="2531"/>
      <c r="G99" s="2532"/>
      <c r="I99" s="1"/>
      <c r="J99" s="1"/>
      <c r="K99" s="1"/>
      <c r="L99" s="1"/>
      <c r="M99" s="1"/>
      <c r="N99" s="1"/>
      <c r="O99" s="1"/>
      <c r="P99" s="1"/>
      <c r="Q99" s="1"/>
      <c r="R99" s="1"/>
      <c r="S99" s="1"/>
      <c r="T99" s="1"/>
      <c r="U99" s="1"/>
      <c r="V99" s="1"/>
      <c r="W99" s="1"/>
      <c r="X99" s="1"/>
      <c r="Y99" s="1"/>
      <c r="Z99" s="1"/>
    </row>
    <row r="100" spans="1:26" s="8" customFormat="1" ht="25.5" customHeight="1">
      <c r="A100" s="1"/>
      <c r="B100" s="2507" t="s">
        <v>992</v>
      </c>
      <c r="C100" s="2531"/>
      <c r="D100" s="2531"/>
      <c r="E100" s="2531"/>
      <c r="F100" s="2531"/>
      <c r="G100" s="2532"/>
      <c r="I100" s="1"/>
      <c r="J100" s="1"/>
      <c r="K100" s="1"/>
      <c r="L100" s="1"/>
      <c r="M100" s="1"/>
      <c r="N100" s="1"/>
      <c r="O100" s="1"/>
      <c r="P100" s="1"/>
      <c r="Q100" s="1"/>
      <c r="R100" s="1"/>
      <c r="S100" s="1"/>
      <c r="T100" s="1"/>
      <c r="U100" s="1"/>
      <c r="V100" s="1"/>
      <c r="W100" s="1"/>
      <c r="X100" s="1"/>
      <c r="Y100" s="1"/>
      <c r="Z100" s="1"/>
    </row>
    <row r="101" spans="1:26" s="8" customFormat="1" ht="25.5" customHeight="1">
      <c r="A101" s="1"/>
      <c r="B101" s="2507" t="s">
        <v>993</v>
      </c>
      <c r="C101" s="2531"/>
      <c r="D101" s="2531"/>
      <c r="E101" s="2531"/>
      <c r="F101" s="2531"/>
      <c r="G101" s="2532"/>
      <c r="I101" s="1"/>
      <c r="J101" s="1"/>
      <c r="K101" s="1"/>
      <c r="L101" s="1"/>
      <c r="M101" s="1"/>
      <c r="N101" s="1"/>
      <c r="O101" s="1"/>
      <c r="P101" s="1"/>
      <c r="Q101" s="1"/>
      <c r="R101" s="1"/>
      <c r="S101" s="1"/>
      <c r="T101" s="1"/>
      <c r="U101" s="1"/>
      <c r="V101" s="1"/>
      <c r="W101" s="1"/>
      <c r="X101" s="1"/>
      <c r="Y101" s="1"/>
      <c r="Z101" s="1"/>
    </row>
    <row r="102" spans="1:26" s="8" customFormat="1" ht="36.75" customHeight="1">
      <c r="A102" s="1"/>
      <c r="B102" s="2507" t="s">
        <v>994</v>
      </c>
      <c r="C102" s="2531"/>
      <c r="D102" s="2531"/>
      <c r="E102" s="2531"/>
      <c r="F102" s="2531"/>
      <c r="G102" s="2532"/>
      <c r="I102" s="1"/>
      <c r="J102" s="1"/>
      <c r="K102" s="1"/>
      <c r="L102" s="1"/>
      <c r="M102" s="1"/>
      <c r="N102" s="1"/>
      <c r="O102" s="1"/>
      <c r="P102" s="1"/>
      <c r="Q102" s="1"/>
      <c r="R102" s="1"/>
      <c r="S102" s="1"/>
      <c r="T102" s="1"/>
      <c r="U102" s="1"/>
      <c r="V102" s="1"/>
      <c r="W102" s="1"/>
      <c r="X102" s="1"/>
      <c r="Y102" s="1"/>
      <c r="Z102" s="1"/>
    </row>
    <row r="103" spans="1:26" s="8" customFormat="1">
      <c r="A103" s="1"/>
      <c r="B103" s="2533" t="s">
        <v>995</v>
      </c>
      <c r="C103" s="2534"/>
      <c r="D103" s="2534"/>
      <c r="E103" s="2534"/>
      <c r="F103" s="2534"/>
      <c r="G103" s="2535"/>
      <c r="I103" s="1"/>
      <c r="J103" s="1"/>
      <c r="K103" s="1"/>
      <c r="L103" s="1"/>
      <c r="M103" s="1"/>
      <c r="N103" s="1"/>
      <c r="O103" s="1"/>
      <c r="P103" s="1"/>
      <c r="Q103" s="1"/>
      <c r="R103" s="1"/>
      <c r="S103" s="1"/>
      <c r="T103" s="1"/>
      <c r="U103" s="1"/>
      <c r="V103" s="1"/>
      <c r="W103" s="1"/>
      <c r="X103" s="1"/>
      <c r="Y103" s="1"/>
      <c r="Z103" s="1"/>
    </row>
    <row r="104" spans="1:26" s="8" customFormat="1" ht="50.25" customHeight="1">
      <c r="A104" s="1"/>
      <c r="B104" s="803" t="s">
        <v>564</v>
      </c>
      <c r="C104" s="821" t="s">
        <v>996</v>
      </c>
      <c r="D104" s="2118"/>
      <c r="E104" s="2119"/>
      <c r="F104" s="822"/>
      <c r="G104" s="805"/>
      <c r="I104" s="1"/>
      <c r="J104" s="1"/>
      <c r="K104" s="1"/>
      <c r="L104" s="1"/>
      <c r="M104" s="1"/>
      <c r="N104" s="1"/>
      <c r="O104" s="1"/>
      <c r="P104" s="1"/>
      <c r="Q104" s="1"/>
      <c r="R104" s="1"/>
      <c r="S104" s="1"/>
      <c r="T104" s="1"/>
      <c r="U104" s="1"/>
      <c r="V104" s="1"/>
      <c r="W104" s="1"/>
      <c r="X104" s="1"/>
      <c r="Y104" s="1"/>
      <c r="Z104" s="1"/>
    </row>
    <row r="105" spans="1:26" s="8" customFormat="1">
      <c r="A105" s="1"/>
      <c r="B105" s="823" t="s">
        <v>997</v>
      </c>
      <c r="C105" s="824" t="s">
        <v>998</v>
      </c>
      <c r="D105" s="2118" t="s">
        <v>702</v>
      </c>
      <c r="E105" s="2119">
        <v>693.12</v>
      </c>
      <c r="F105" s="1619">
        <v>0</v>
      </c>
      <c r="G105" s="1619">
        <f>E105*F105</f>
        <v>0</v>
      </c>
      <c r="I105" s="1"/>
      <c r="J105" s="1"/>
      <c r="K105" s="1"/>
      <c r="L105" s="1"/>
      <c r="M105" s="1"/>
      <c r="N105" s="1"/>
      <c r="O105" s="1"/>
      <c r="P105" s="1"/>
      <c r="Q105" s="1"/>
      <c r="R105" s="1"/>
      <c r="S105" s="1"/>
      <c r="T105" s="1"/>
      <c r="U105" s="1"/>
      <c r="V105" s="1"/>
      <c r="W105" s="1"/>
      <c r="X105" s="1"/>
      <c r="Y105" s="1"/>
      <c r="Z105" s="1"/>
    </row>
    <row r="106" spans="1:26" s="8" customFormat="1">
      <c r="A106" s="1"/>
      <c r="B106" s="823" t="s">
        <v>999</v>
      </c>
      <c r="C106" s="824" t="s">
        <v>1000</v>
      </c>
      <c r="D106" s="2118" t="s">
        <v>702</v>
      </c>
      <c r="E106" s="2119">
        <v>552.49</v>
      </c>
      <c r="F106" s="1619">
        <v>0</v>
      </c>
      <c r="G106" s="1619">
        <f>E106*F106</f>
        <v>0</v>
      </c>
      <c r="I106" s="1"/>
      <c r="J106" s="1"/>
      <c r="K106" s="1"/>
      <c r="L106" s="1"/>
      <c r="M106" s="1"/>
      <c r="N106" s="1"/>
      <c r="O106" s="1"/>
      <c r="P106" s="1"/>
      <c r="Q106" s="1"/>
      <c r="R106" s="1"/>
      <c r="S106" s="1"/>
      <c r="T106" s="1"/>
      <c r="U106" s="1"/>
      <c r="V106" s="1"/>
      <c r="W106" s="1"/>
      <c r="X106" s="1"/>
      <c r="Y106" s="1"/>
      <c r="Z106" s="1"/>
    </row>
    <row r="107" spans="1:26" s="8" customFormat="1">
      <c r="A107" s="1"/>
      <c r="B107" s="825" t="s">
        <v>1001</v>
      </c>
      <c r="C107" s="824" t="s">
        <v>1002</v>
      </c>
      <c r="D107" s="2118" t="s">
        <v>702</v>
      </c>
      <c r="E107" s="2119">
        <v>1674.29</v>
      </c>
      <c r="F107" s="1619">
        <v>0</v>
      </c>
      <c r="G107" s="1619">
        <f>E107*F107</f>
        <v>0</v>
      </c>
      <c r="I107" s="1"/>
      <c r="J107" s="1"/>
      <c r="K107" s="1"/>
      <c r="L107" s="1"/>
      <c r="M107" s="1"/>
      <c r="N107" s="1"/>
      <c r="O107" s="1"/>
      <c r="P107" s="1"/>
      <c r="Q107" s="1"/>
      <c r="R107" s="1"/>
      <c r="S107" s="1"/>
      <c r="T107" s="1"/>
      <c r="U107" s="1"/>
      <c r="V107" s="1"/>
      <c r="W107" s="1"/>
      <c r="X107" s="1"/>
      <c r="Y107" s="1"/>
      <c r="Z107" s="1"/>
    </row>
    <row r="108" spans="1:26" s="8" customFormat="1" ht="39.75" customHeight="1">
      <c r="A108" s="1"/>
      <c r="B108" s="826" t="s">
        <v>644</v>
      </c>
      <c r="C108" s="827" t="s">
        <v>1003</v>
      </c>
      <c r="D108" s="2118" t="s">
        <v>74</v>
      </c>
      <c r="E108" s="2119">
        <v>5.9</v>
      </c>
      <c r="F108" s="1619">
        <v>0</v>
      </c>
      <c r="G108" s="1619">
        <f>E108*F108</f>
        <v>0</v>
      </c>
      <c r="I108" s="1"/>
      <c r="J108" s="1"/>
      <c r="K108" s="1"/>
      <c r="L108" s="1"/>
      <c r="M108" s="1"/>
      <c r="N108" s="1"/>
      <c r="O108" s="1"/>
      <c r="P108" s="1"/>
      <c r="Q108" s="1"/>
      <c r="R108" s="1"/>
      <c r="S108" s="1"/>
      <c r="T108" s="1"/>
      <c r="U108" s="1"/>
      <c r="V108" s="1"/>
      <c r="W108" s="1"/>
      <c r="X108" s="1"/>
      <c r="Y108" s="1"/>
      <c r="Z108" s="1"/>
    </row>
    <row r="109" spans="1:26" s="8" customFormat="1" ht="24">
      <c r="A109" s="1"/>
      <c r="B109" s="803" t="s">
        <v>647</v>
      </c>
      <c r="C109" s="828" t="s">
        <v>1004</v>
      </c>
      <c r="D109" s="2118" t="s">
        <v>74</v>
      </c>
      <c r="E109" s="2119">
        <v>15.9</v>
      </c>
      <c r="F109" s="1619">
        <v>0</v>
      </c>
      <c r="G109" s="1619">
        <f t="shared" ref="G109:G115" si="3">E109*F109</f>
        <v>0</v>
      </c>
      <c r="I109" s="1"/>
      <c r="J109" s="1"/>
      <c r="K109" s="1"/>
      <c r="L109" s="1"/>
      <c r="M109" s="1"/>
      <c r="N109" s="1"/>
      <c r="O109" s="1"/>
      <c r="P109" s="1"/>
      <c r="Q109" s="1"/>
      <c r="R109" s="1"/>
      <c r="S109" s="1"/>
      <c r="T109" s="1"/>
      <c r="U109" s="1"/>
      <c r="V109" s="1"/>
      <c r="W109" s="1"/>
      <c r="X109" s="1"/>
      <c r="Y109" s="1"/>
      <c r="Z109" s="1"/>
    </row>
    <row r="110" spans="1:26" s="8" customFormat="1" ht="37.5" customHeight="1">
      <c r="A110" s="1"/>
      <c r="B110" s="826" t="s">
        <v>782</v>
      </c>
      <c r="C110" s="828" t="s">
        <v>1005</v>
      </c>
      <c r="D110" s="2118" t="s">
        <v>74</v>
      </c>
      <c r="E110" s="2119">
        <v>3.9</v>
      </c>
      <c r="F110" s="1619">
        <v>0</v>
      </c>
      <c r="G110" s="1619">
        <f t="shared" si="3"/>
        <v>0</v>
      </c>
      <c r="I110" s="1"/>
      <c r="J110" s="1"/>
      <c r="K110" s="1"/>
      <c r="L110" s="1"/>
      <c r="M110" s="1"/>
      <c r="N110" s="1"/>
      <c r="O110" s="1"/>
      <c r="P110" s="1"/>
      <c r="Q110" s="1"/>
      <c r="R110" s="1"/>
      <c r="S110" s="1"/>
      <c r="T110" s="1"/>
      <c r="U110" s="1"/>
      <c r="V110" s="1"/>
      <c r="W110" s="1"/>
      <c r="X110" s="1"/>
      <c r="Y110" s="1"/>
      <c r="Z110" s="1"/>
    </row>
    <row r="111" spans="1:26" s="8" customFormat="1" ht="36">
      <c r="A111" s="1"/>
      <c r="B111" s="803" t="s">
        <v>739</v>
      </c>
      <c r="C111" s="828" t="s">
        <v>1006</v>
      </c>
      <c r="D111" s="2118" t="s">
        <v>74</v>
      </c>
      <c r="E111" s="2119">
        <v>11.5</v>
      </c>
      <c r="F111" s="1619">
        <v>0</v>
      </c>
      <c r="G111" s="1619">
        <f t="shared" si="3"/>
        <v>0</v>
      </c>
      <c r="I111" s="1"/>
      <c r="J111" s="1"/>
      <c r="K111" s="1"/>
      <c r="L111" s="1"/>
      <c r="M111" s="1"/>
      <c r="N111" s="1"/>
      <c r="O111" s="1"/>
      <c r="P111" s="1"/>
      <c r="Q111" s="1"/>
      <c r="R111" s="1"/>
      <c r="S111" s="1"/>
      <c r="T111" s="1"/>
      <c r="U111" s="1"/>
      <c r="V111" s="1"/>
      <c r="W111" s="1"/>
      <c r="X111" s="1"/>
      <c r="Y111" s="1"/>
      <c r="Z111" s="1"/>
    </row>
    <row r="112" spans="1:26" s="8" customFormat="1" ht="36">
      <c r="A112" s="1"/>
      <c r="B112" s="826" t="s">
        <v>944</v>
      </c>
      <c r="C112" s="828" t="s">
        <v>1007</v>
      </c>
      <c r="D112" s="2118" t="s">
        <v>74</v>
      </c>
      <c r="E112" s="2119">
        <v>2.7</v>
      </c>
      <c r="F112" s="1619">
        <v>0</v>
      </c>
      <c r="G112" s="1619">
        <f t="shared" si="3"/>
        <v>0</v>
      </c>
      <c r="I112" s="1"/>
      <c r="J112" s="1"/>
      <c r="K112" s="1"/>
      <c r="L112" s="1"/>
      <c r="M112" s="1"/>
      <c r="N112" s="1"/>
      <c r="O112" s="1"/>
      <c r="P112" s="1"/>
      <c r="Q112" s="1"/>
      <c r="R112" s="1"/>
      <c r="S112" s="1"/>
      <c r="T112" s="1"/>
      <c r="U112" s="1"/>
      <c r="V112" s="1"/>
      <c r="W112" s="1"/>
      <c r="X112" s="1"/>
      <c r="Y112" s="1"/>
      <c r="Z112" s="1"/>
    </row>
    <row r="113" spans="1:26" s="8" customFormat="1" ht="36">
      <c r="A113" s="1"/>
      <c r="B113" s="803" t="s">
        <v>946</v>
      </c>
      <c r="C113" s="828" t="s">
        <v>1008</v>
      </c>
      <c r="D113" s="2118" t="s">
        <v>74</v>
      </c>
      <c r="E113" s="2119">
        <v>1.9</v>
      </c>
      <c r="F113" s="1619">
        <v>0</v>
      </c>
      <c r="G113" s="1619">
        <f t="shared" si="3"/>
        <v>0</v>
      </c>
      <c r="I113" s="1"/>
      <c r="J113" s="1"/>
      <c r="K113" s="1"/>
      <c r="L113" s="1"/>
      <c r="M113" s="1"/>
      <c r="N113" s="1"/>
      <c r="O113" s="1"/>
      <c r="P113" s="1"/>
      <c r="Q113" s="1"/>
      <c r="R113" s="1"/>
      <c r="S113" s="1"/>
      <c r="T113" s="1"/>
      <c r="U113" s="1"/>
      <c r="V113" s="1"/>
      <c r="W113" s="1"/>
      <c r="X113" s="1"/>
      <c r="Y113" s="1"/>
      <c r="Z113" s="1"/>
    </row>
    <row r="114" spans="1:26" s="8" customFormat="1" ht="36">
      <c r="A114" s="1"/>
      <c r="B114" s="826" t="s">
        <v>948</v>
      </c>
      <c r="C114" s="828" t="s">
        <v>1009</v>
      </c>
      <c r="D114" s="2118" t="s">
        <v>74</v>
      </c>
      <c r="E114" s="2119">
        <v>1.4</v>
      </c>
      <c r="F114" s="1619">
        <v>0</v>
      </c>
      <c r="G114" s="1619">
        <f t="shared" si="3"/>
        <v>0</v>
      </c>
      <c r="I114" s="1"/>
      <c r="J114" s="1"/>
      <c r="K114" s="1"/>
      <c r="L114" s="1"/>
      <c r="M114" s="1"/>
      <c r="N114" s="1"/>
      <c r="O114" s="1"/>
      <c r="P114" s="1"/>
      <c r="Q114" s="1"/>
      <c r="R114" s="1"/>
      <c r="S114" s="1"/>
      <c r="T114" s="1"/>
      <c r="U114" s="1"/>
      <c r="V114" s="1"/>
      <c r="W114" s="1"/>
      <c r="X114" s="1"/>
      <c r="Y114" s="1"/>
      <c r="Z114" s="1"/>
    </row>
    <row r="115" spans="1:26" s="8" customFormat="1" ht="36">
      <c r="A115" s="1"/>
      <c r="B115" s="803" t="s">
        <v>950</v>
      </c>
      <c r="C115" s="828" t="s">
        <v>1010</v>
      </c>
      <c r="D115" s="2118" t="s">
        <v>74</v>
      </c>
      <c r="E115" s="2119">
        <v>1</v>
      </c>
      <c r="F115" s="1619">
        <v>0</v>
      </c>
      <c r="G115" s="1619">
        <f t="shared" si="3"/>
        <v>0</v>
      </c>
      <c r="I115" s="1"/>
      <c r="J115" s="1"/>
      <c r="K115" s="1"/>
      <c r="L115" s="1"/>
      <c r="M115" s="1"/>
      <c r="N115" s="1"/>
      <c r="O115" s="1"/>
      <c r="P115" s="1"/>
      <c r="Q115" s="1"/>
      <c r="R115" s="1"/>
      <c r="S115" s="1"/>
      <c r="T115" s="1"/>
      <c r="U115" s="1"/>
      <c r="V115" s="1"/>
      <c r="W115" s="1"/>
      <c r="X115" s="1"/>
      <c r="Y115" s="1"/>
      <c r="Z115" s="1"/>
    </row>
    <row r="116" spans="1:26" s="8" customFormat="1" ht="36">
      <c r="A116" s="1"/>
      <c r="B116" s="826" t="s">
        <v>952</v>
      </c>
      <c r="C116" s="829" t="s">
        <v>1011</v>
      </c>
      <c r="D116" s="2118" t="s">
        <v>57</v>
      </c>
      <c r="E116" s="2119">
        <v>34.5</v>
      </c>
      <c r="F116" s="1619">
        <v>0</v>
      </c>
      <c r="G116" s="1619">
        <f>E116*F116</f>
        <v>0</v>
      </c>
      <c r="I116" s="1"/>
      <c r="J116" s="1"/>
      <c r="K116" s="1"/>
      <c r="L116" s="1"/>
      <c r="M116" s="1"/>
      <c r="N116" s="1"/>
      <c r="O116" s="1"/>
      <c r="P116" s="1"/>
      <c r="Q116" s="1"/>
      <c r="R116" s="1"/>
      <c r="S116" s="1"/>
      <c r="T116" s="1"/>
      <c r="U116" s="1"/>
      <c r="V116" s="1"/>
      <c r="W116" s="1"/>
      <c r="X116" s="1"/>
      <c r="Y116" s="1"/>
      <c r="Z116" s="1"/>
    </row>
    <row r="117" spans="1:26" s="8" customFormat="1">
      <c r="A117" s="1"/>
      <c r="B117" s="803"/>
      <c r="C117" s="830"/>
      <c r="D117" s="2118"/>
      <c r="E117" s="2119"/>
      <c r="F117" s="822"/>
      <c r="G117" s="805"/>
      <c r="I117" s="1"/>
      <c r="J117" s="1"/>
      <c r="K117" s="1"/>
      <c r="L117" s="1"/>
      <c r="M117" s="1"/>
      <c r="N117" s="1"/>
      <c r="O117" s="1"/>
      <c r="P117" s="1"/>
      <c r="Q117" s="1"/>
      <c r="R117" s="1"/>
      <c r="S117" s="1"/>
      <c r="T117" s="1"/>
      <c r="U117" s="1"/>
      <c r="V117" s="1"/>
      <c r="W117" s="1"/>
      <c r="X117" s="1"/>
      <c r="Y117" s="1"/>
      <c r="Z117" s="1"/>
    </row>
    <row r="118" spans="1:26" s="8" customFormat="1">
      <c r="A118" s="1"/>
      <c r="B118" s="831"/>
      <c r="C118" s="832" t="s">
        <v>1012</v>
      </c>
      <c r="D118" s="2522"/>
      <c r="E118" s="2523"/>
      <c r="F118" s="2524"/>
      <c r="G118" s="2188">
        <f>SUM(G105:G117)</f>
        <v>0</v>
      </c>
      <c r="I118" s="1"/>
      <c r="J118" s="1"/>
      <c r="K118" s="1"/>
      <c r="L118" s="1"/>
      <c r="M118" s="1"/>
      <c r="N118" s="1"/>
      <c r="O118" s="1"/>
      <c r="P118" s="1"/>
      <c r="Q118" s="1"/>
      <c r="R118" s="1"/>
      <c r="S118" s="1"/>
      <c r="T118" s="1"/>
      <c r="U118" s="1"/>
      <c r="V118" s="1"/>
      <c r="W118" s="1"/>
      <c r="X118" s="1"/>
      <c r="Y118" s="1"/>
      <c r="Z118" s="1"/>
    </row>
    <row r="119" spans="1:26" s="8" customFormat="1">
      <c r="A119" s="1"/>
      <c r="B119" s="833"/>
      <c r="C119" s="834"/>
      <c r="D119" s="2120"/>
      <c r="E119" s="2121"/>
      <c r="F119" s="835"/>
      <c r="G119" s="836"/>
      <c r="I119" s="1"/>
      <c r="J119" s="1"/>
      <c r="K119" s="1"/>
      <c r="L119" s="1"/>
      <c r="M119" s="1"/>
      <c r="N119" s="1"/>
      <c r="O119" s="1"/>
      <c r="P119" s="1"/>
      <c r="Q119" s="1"/>
      <c r="R119" s="1"/>
      <c r="S119" s="1"/>
      <c r="T119" s="1"/>
      <c r="U119" s="1"/>
      <c r="V119" s="1"/>
      <c r="W119" s="1"/>
      <c r="X119" s="1"/>
      <c r="Y119" s="1"/>
      <c r="Z119" s="1"/>
    </row>
    <row r="120" spans="1:26" s="8" customFormat="1">
      <c r="A120" s="1"/>
      <c r="B120" s="837"/>
      <c r="C120" s="816"/>
      <c r="D120" s="817"/>
      <c r="E120" s="818"/>
      <c r="F120" s="819"/>
      <c r="G120" s="820"/>
      <c r="I120" s="1"/>
      <c r="J120" s="1"/>
      <c r="K120" s="1"/>
      <c r="L120" s="1"/>
      <c r="M120" s="1"/>
      <c r="N120" s="1"/>
      <c r="O120" s="1"/>
      <c r="P120" s="1"/>
      <c r="Q120" s="1"/>
      <c r="R120" s="1"/>
      <c r="S120" s="1"/>
      <c r="T120" s="1"/>
      <c r="U120" s="1"/>
      <c r="V120" s="1"/>
      <c r="W120" s="1"/>
      <c r="X120" s="1"/>
      <c r="Y120" s="1"/>
      <c r="Z120" s="1"/>
    </row>
    <row r="121" spans="1:26" s="8" customFormat="1" ht="24">
      <c r="A121" s="1"/>
      <c r="B121" s="838" t="s">
        <v>50</v>
      </c>
      <c r="C121" s="120" t="s">
        <v>51</v>
      </c>
      <c r="D121" s="121" t="s">
        <v>52</v>
      </c>
      <c r="E121" s="787" t="s">
        <v>53</v>
      </c>
      <c r="F121" s="788" t="s">
        <v>54</v>
      </c>
      <c r="G121" s="789" t="s">
        <v>55</v>
      </c>
      <c r="I121" s="1"/>
      <c r="J121" s="1"/>
      <c r="K121" s="1"/>
      <c r="L121" s="1"/>
      <c r="M121" s="1"/>
      <c r="N121" s="1"/>
      <c r="O121" s="1"/>
      <c r="P121" s="1"/>
      <c r="Q121" s="1"/>
      <c r="R121" s="1"/>
      <c r="S121" s="1"/>
      <c r="T121" s="1"/>
      <c r="U121" s="1"/>
      <c r="V121" s="1"/>
      <c r="W121" s="1"/>
      <c r="X121" s="1"/>
      <c r="Y121" s="1"/>
      <c r="Z121" s="1"/>
    </row>
    <row r="122" spans="1:26" s="8" customFormat="1">
      <c r="A122" s="1"/>
      <c r="B122" s="839"/>
      <c r="C122" s="761"/>
      <c r="D122" s="762"/>
      <c r="E122" s="763"/>
      <c r="F122" s="764"/>
      <c r="G122" s="765"/>
      <c r="I122" s="1"/>
      <c r="J122" s="1"/>
      <c r="K122" s="1"/>
      <c r="L122" s="1"/>
      <c r="M122" s="1"/>
      <c r="N122" s="1"/>
      <c r="O122" s="1"/>
      <c r="P122" s="1"/>
      <c r="Q122" s="1"/>
      <c r="R122" s="1"/>
      <c r="S122" s="1"/>
      <c r="T122" s="1"/>
      <c r="U122" s="1"/>
      <c r="V122" s="1"/>
      <c r="W122" s="1"/>
      <c r="X122" s="1"/>
      <c r="Y122" s="1"/>
      <c r="Z122" s="1"/>
    </row>
    <row r="123" spans="1:26" s="8" customFormat="1">
      <c r="A123" s="1"/>
      <c r="B123" s="840" t="s">
        <v>895</v>
      </c>
      <c r="C123" s="735" t="s">
        <v>896</v>
      </c>
      <c r="D123" s="213"/>
      <c r="E123" s="841"/>
      <c r="F123" s="842"/>
      <c r="G123" s="734"/>
      <c r="I123" s="1"/>
      <c r="J123" s="1"/>
      <c r="K123" s="1"/>
      <c r="L123" s="1"/>
      <c r="M123" s="1"/>
      <c r="N123" s="1"/>
      <c r="O123" s="1"/>
      <c r="P123" s="1"/>
      <c r="Q123" s="1"/>
      <c r="R123" s="1"/>
      <c r="S123" s="1"/>
      <c r="T123" s="1"/>
      <c r="U123" s="1"/>
      <c r="V123" s="1"/>
      <c r="W123" s="1"/>
      <c r="X123" s="1"/>
      <c r="Y123" s="1"/>
      <c r="Z123" s="1"/>
    </row>
    <row r="124" spans="1:26" s="8" customFormat="1" ht="63.75" customHeight="1">
      <c r="A124" s="1"/>
      <c r="B124" s="2525" t="s">
        <v>1013</v>
      </c>
      <c r="C124" s="2526"/>
      <c r="D124" s="2526"/>
      <c r="E124" s="2526"/>
      <c r="F124" s="2526"/>
      <c r="G124" s="2527"/>
      <c r="I124" s="1"/>
      <c r="J124" s="1"/>
      <c r="K124" s="1"/>
      <c r="L124" s="1"/>
      <c r="M124" s="1"/>
      <c r="N124" s="1"/>
      <c r="O124" s="1"/>
      <c r="P124" s="1"/>
      <c r="Q124" s="1"/>
      <c r="R124" s="1"/>
      <c r="S124" s="1"/>
      <c r="T124" s="1"/>
      <c r="U124" s="1"/>
      <c r="V124" s="1"/>
      <c r="W124" s="1"/>
      <c r="X124" s="1"/>
      <c r="Y124" s="1"/>
      <c r="Z124" s="1"/>
    </row>
    <row r="125" spans="1:26" s="8" customFormat="1" ht="37.5" customHeight="1">
      <c r="A125" s="1"/>
      <c r="B125" s="2528" t="s">
        <v>1014</v>
      </c>
      <c r="C125" s="2529"/>
      <c r="D125" s="2529"/>
      <c r="E125" s="2529"/>
      <c r="F125" s="2529"/>
      <c r="G125" s="2530"/>
      <c r="I125" s="1"/>
      <c r="J125" s="1"/>
      <c r="K125" s="1"/>
      <c r="L125" s="1"/>
      <c r="M125" s="1"/>
      <c r="N125" s="1"/>
      <c r="O125" s="1"/>
      <c r="P125" s="1"/>
      <c r="Q125" s="1"/>
      <c r="R125" s="1"/>
      <c r="S125" s="1"/>
      <c r="T125" s="1"/>
      <c r="U125" s="1"/>
      <c r="V125" s="1"/>
      <c r="W125" s="1"/>
      <c r="X125" s="1"/>
      <c r="Y125" s="1"/>
      <c r="Z125" s="1"/>
    </row>
    <row r="126" spans="1:26" s="8" customFormat="1" ht="27" customHeight="1">
      <c r="A126" s="1"/>
      <c r="B126" s="2528" t="s">
        <v>1015</v>
      </c>
      <c r="C126" s="2529"/>
      <c r="D126" s="2529"/>
      <c r="E126" s="2529"/>
      <c r="F126" s="2529"/>
      <c r="G126" s="2530"/>
      <c r="I126" s="1"/>
      <c r="J126" s="1"/>
      <c r="K126" s="1"/>
      <c r="L126" s="1"/>
      <c r="M126" s="1"/>
      <c r="N126" s="1"/>
      <c r="O126" s="1"/>
      <c r="P126" s="1"/>
      <c r="Q126" s="1"/>
      <c r="R126" s="1"/>
      <c r="S126" s="1"/>
      <c r="T126" s="1"/>
      <c r="U126" s="1"/>
      <c r="V126" s="1"/>
      <c r="W126" s="1"/>
      <c r="X126" s="1"/>
      <c r="Y126" s="1"/>
      <c r="Z126" s="1"/>
    </row>
    <row r="127" spans="1:26" s="8" customFormat="1" ht="37.5" customHeight="1">
      <c r="A127" s="1"/>
      <c r="B127" s="2528" t="s">
        <v>1016</v>
      </c>
      <c r="C127" s="2529"/>
      <c r="D127" s="2529"/>
      <c r="E127" s="2529"/>
      <c r="F127" s="2529"/>
      <c r="G127" s="2530"/>
      <c r="I127" s="1"/>
      <c r="J127" s="1"/>
      <c r="K127" s="1"/>
      <c r="L127" s="1"/>
      <c r="M127" s="1"/>
      <c r="N127" s="1"/>
      <c r="O127" s="1"/>
      <c r="P127" s="1"/>
      <c r="Q127" s="1"/>
      <c r="R127" s="1"/>
      <c r="S127" s="1"/>
      <c r="T127" s="1"/>
      <c r="U127" s="1"/>
      <c r="V127" s="1"/>
      <c r="W127" s="1"/>
      <c r="X127" s="1"/>
      <c r="Y127" s="1"/>
      <c r="Z127" s="1"/>
    </row>
    <row r="128" spans="1:26" s="8" customFormat="1" ht="87" customHeight="1">
      <c r="A128" s="1"/>
      <c r="B128" s="2528" t="s">
        <v>1017</v>
      </c>
      <c r="C128" s="2529"/>
      <c r="D128" s="2529"/>
      <c r="E128" s="2529"/>
      <c r="F128" s="2529"/>
      <c r="G128" s="2530"/>
      <c r="I128" s="1"/>
      <c r="J128" s="1"/>
      <c r="K128" s="1"/>
      <c r="L128" s="1"/>
      <c r="M128" s="1"/>
      <c r="N128" s="1"/>
      <c r="O128" s="1"/>
      <c r="P128" s="1"/>
      <c r="Q128" s="1"/>
      <c r="R128" s="1"/>
      <c r="S128" s="1"/>
      <c r="T128" s="1"/>
      <c r="U128" s="1"/>
      <c r="V128" s="1"/>
      <c r="W128" s="1"/>
      <c r="X128" s="1"/>
      <c r="Y128" s="1"/>
      <c r="Z128" s="1"/>
    </row>
    <row r="129" spans="1:26" s="8" customFormat="1" ht="27" customHeight="1">
      <c r="A129" s="1"/>
      <c r="B129" s="2528" t="s">
        <v>1018</v>
      </c>
      <c r="C129" s="2529"/>
      <c r="D129" s="2529"/>
      <c r="E129" s="2529"/>
      <c r="F129" s="2529"/>
      <c r="G129" s="2530"/>
      <c r="I129" s="1"/>
      <c r="J129" s="1"/>
      <c r="K129" s="1"/>
      <c r="L129" s="1"/>
      <c r="M129" s="1"/>
      <c r="N129" s="1"/>
      <c r="O129" s="1"/>
      <c r="P129" s="1"/>
      <c r="Q129" s="1"/>
      <c r="R129" s="1"/>
      <c r="S129" s="1"/>
      <c r="T129" s="1"/>
      <c r="U129" s="1"/>
      <c r="V129" s="1"/>
      <c r="W129" s="1"/>
      <c r="X129" s="1"/>
      <c r="Y129" s="1"/>
      <c r="Z129" s="1"/>
    </row>
    <row r="130" spans="1:26" s="8" customFormat="1" ht="24.75" customHeight="1">
      <c r="A130" s="1"/>
      <c r="B130" s="2528" t="s">
        <v>1019</v>
      </c>
      <c r="C130" s="2529"/>
      <c r="D130" s="2529"/>
      <c r="E130" s="2529"/>
      <c r="F130" s="2529"/>
      <c r="G130" s="2530"/>
      <c r="I130" s="1"/>
      <c r="J130" s="1"/>
      <c r="K130" s="1"/>
      <c r="L130" s="1"/>
      <c r="M130" s="1"/>
      <c r="N130" s="1"/>
      <c r="O130" s="1"/>
      <c r="P130" s="1"/>
      <c r="Q130" s="1"/>
      <c r="R130" s="1"/>
      <c r="S130" s="1"/>
      <c r="T130" s="1"/>
      <c r="U130" s="1"/>
      <c r="V130" s="1"/>
      <c r="W130" s="1"/>
      <c r="X130" s="1"/>
      <c r="Y130" s="1"/>
      <c r="Z130" s="1"/>
    </row>
    <row r="131" spans="1:26" s="8" customFormat="1">
      <c r="A131" s="1"/>
      <c r="B131" s="2540" t="s">
        <v>1020</v>
      </c>
      <c r="C131" s="2541"/>
      <c r="D131" s="2541"/>
      <c r="E131" s="2541"/>
      <c r="F131" s="2541"/>
      <c r="G131" s="2542"/>
      <c r="I131" s="1"/>
      <c r="J131" s="1"/>
      <c r="K131" s="1"/>
      <c r="L131" s="1"/>
      <c r="M131" s="1"/>
      <c r="N131" s="1"/>
      <c r="O131" s="1"/>
      <c r="P131" s="1"/>
      <c r="Q131" s="1"/>
      <c r="R131" s="1"/>
      <c r="S131" s="1"/>
      <c r="T131" s="1"/>
      <c r="U131" s="1"/>
      <c r="V131" s="1"/>
      <c r="W131" s="1"/>
      <c r="X131" s="1"/>
      <c r="Y131" s="1"/>
      <c r="Z131" s="1"/>
    </row>
    <row r="132" spans="1:26" s="8" customFormat="1" ht="24">
      <c r="A132" s="1"/>
      <c r="B132" s="803" t="s">
        <v>564</v>
      </c>
      <c r="C132" s="843" t="s">
        <v>1021</v>
      </c>
      <c r="D132" s="2118"/>
      <c r="E132" s="2119"/>
      <c r="F132" s="1619"/>
      <c r="G132" s="1619"/>
      <c r="I132" s="1"/>
      <c r="J132" s="1"/>
      <c r="K132" s="1"/>
      <c r="L132" s="1"/>
      <c r="M132" s="1"/>
      <c r="N132" s="1"/>
      <c r="O132" s="1"/>
      <c r="P132" s="1"/>
      <c r="Q132" s="1"/>
      <c r="R132" s="1"/>
      <c r="S132" s="1"/>
      <c r="T132" s="1"/>
      <c r="U132" s="1"/>
      <c r="V132" s="1"/>
      <c r="W132" s="1"/>
      <c r="X132" s="1"/>
      <c r="Y132" s="1"/>
      <c r="Z132" s="1"/>
    </row>
    <row r="133" spans="1:26" s="8" customFormat="1">
      <c r="A133" s="1"/>
      <c r="B133" s="823" t="s">
        <v>568</v>
      </c>
      <c r="C133" s="843" t="s">
        <v>1022</v>
      </c>
      <c r="D133" s="2118" t="s">
        <v>57</v>
      </c>
      <c r="E133" s="2119">
        <v>29.4</v>
      </c>
      <c r="F133" s="1619">
        <v>0</v>
      </c>
      <c r="G133" s="1619">
        <f>E133*F133</f>
        <v>0</v>
      </c>
      <c r="I133" s="1"/>
      <c r="J133" s="1"/>
      <c r="K133" s="1"/>
      <c r="L133" s="1"/>
      <c r="M133" s="1"/>
      <c r="N133" s="1"/>
      <c r="O133" s="1"/>
      <c r="P133" s="1"/>
      <c r="Q133" s="1"/>
      <c r="R133" s="1"/>
      <c r="S133" s="1"/>
      <c r="T133" s="1"/>
      <c r="U133" s="1"/>
      <c r="V133" s="1"/>
      <c r="W133" s="1"/>
      <c r="X133" s="1"/>
      <c r="Y133" s="1"/>
      <c r="Z133" s="1"/>
    </row>
    <row r="134" spans="1:26" s="8" customFormat="1">
      <c r="A134" s="1"/>
      <c r="B134" s="844" t="s">
        <v>568</v>
      </c>
      <c r="C134" s="845" t="s">
        <v>1023</v>
      </c>
      <c r="D134" s="2122" t="s">
        <v>57</v>
      </c>
      <c r="E134" s="2123">
        <v>23.8</v>
      </c>
      <c r="F134" s="1619">
        <v>0</v>
      </c>
      <c r="G134" s="1619">
        <f>E134*F134</f>
        <v>0</v>
      </c>
      <c r="I134" s="1"/>
      <c r="J134" s="1"/>
      <c r="K134" s="1"/>
      <c r="L134" s="1"/>
      <c r="M134" s="1"/>
      <c r="N134" s="1"/>
      <c r="O134" s="1"/>
      <c r="P134" s="1"/>
      <c r="Q134" s="1"/>
      <c r="R134" s="1"/>
      <c r="S134" s="1"/>
      <c r="T134" s="1"/>
      <c r="U134" s="1"/>
      <c r="V134" s="1"/>
      <c r="W134" s="1"/>
      <c r="X134" s="1"/>
      <c r="Y134" s="1"/>
      <c r="Z134" s="1"/>
    </row>
    <row r="135" spans="1:26" s="8" customFormat="1" ht="24">
      <c r="A135" s="1"/>
      <c r="B135" s="803" t="s">
        <v>644</v>
      </c>
      <c r="C135" s="843" t="s">
        <v>1024</v>
      </c>
      <c r="D135" s="2118" t="s">
        <v>57</v>
      </c>
      <c r="E135" s="2119">
        <v>6.2</v>
      </c>
      <c r="F135" s="1619">
        <v>0</v>
      </c>
      <c r="G135" s="1619">
        <f>E135*F135</f>
        <v>0</v>
      </c>
      <c r="I135" s="1"/>
      <c r="J135" s="1"/>
      <c r="K135" s="1"/>
      <c r="L135" s="1"/>
      <c r="M135" s="1"/>
      <c r="N135" s="1"/>
      <c r="O135" s="1"/>
      <c r="P135" s="1"/>
      <c r="Q135" s="1"/>
      <c r="R135" s="1"/>
      <c r="S135" s="1"/>
      <c r="T135" s="1"/>
      <c r="U135" s="1"/>
      <c r="V135" s="1"/>
      <c r="W135" s="1"/>
      <c r="X135" s="1"/>
      <c r="Y135" s="1"/>
      <c r="Z135" s="1"/>
    </row>
    <row r="136" spans="1:26" ht="24">
      <c r="B136" s="803" t="s">
        <v>647</v>
      </c>
      <c r="C136" s="843" t="s">
        <v>1025</v>
      </c>
      <c r="D136" s="2118"/>
      <c r="E136" s="2119"/>
      <c r="F136" s="1619"/>
      <c r="G136" s="1619"/>
    </row>
    <row r="137" spans="1:26">
      <c r="B137" s="823" t="s">
        <v>568</v>
      </c>
      <c r="C137" s="843" t="s">
        <v>1026</v>
      </c>
      <c r="D137" s="2118" t="s">
        <v>57</v>
      </c>
      <c r="E137" s="2119">
        <v>22.4</v>
      </c>
      <c r="F137" s="1619">
        <v>0</v>
      </c>
      <c r="G137" s="1619">
        <f>E137*F137</f>
        <v>0</v>
      </c>
    </row>
    <row r="138" spans="1:26">
      <c r="B138" s="823" t="s">
        <v>568</v>
      </c>
      <c r="C138" s="843" t="s">
        <v>1027</v>
      </c>
      <c r="D138" s="2118" t="s">
        <v>57</v>
      </c>
      <c r="E138" s="2119">
        <v>23.6</v>
      </c>
      <c r="F138" s="1619">
        <v>0</v>
      </c>
      <c r="G138" s="1619">
        <f>E138*F138</f>
        <v>0</v>
      </c>
    </row>
    <row r="139" spans="1:26" ht="36">
      <c r="B139" s="803" t="s">
        <v>782</v>
      </c>
      <c r="C139" s="828" t="s">
        <v>1028</v>
      </c>
      <c r="D139" s="2118"/>
      <c r="E139" s="2119"/>
      <c r="F139" s="1619"/>
      <c r="G139" s="1619"/>
    </row>
    <row r="140" spans="1:26">
      <c r="B140" s="846" t="s">
        <v>568</v>
      </c>
      <c r="C140" s="847" t="s">
        <v>1029</v>
      </c>
      <c r="D140" s="2124" t="s">
        <v>78</v>
      </c>
      <c r="E140" s="2125">
        <v>20.9</v>
      </c>
      <c r="F140" s="1619">
        <v>0</v>
      </c>
      <c r="G140" s="1619">
        <f>E140*F140</f>
        <v>0</v>
      </c>
    </row>
    <row r="141" spans="1:26" ht="24">
      <c r="B141" s="803" t="s">
        <v>739</v>
      </c>
      <c r="C141" s="848" t="s">
        <v>1030</v>
      </c>
      <c r="D141" s="2118"/>
      <c r="E141" s="2119"/>
      <c r="F141" s="1619"/>
      <c r="G141" s="1619"/>
    </row>
    <row r="142" spans="1:26">
      <c r="B142" s="823" t="s">
        <v>568</v>
      </c>
      <c r="C142" s="848" t="s">
        <v>1031</v>
      </c>
      <c r="D142" s="2118" t="s">
        <v>78</v>
      </c>
      <c r="E142" s="2119">
        <v>76.5</v>
      </c>
      <c r="F142" s="1619">
        <v>0</v>
      </c>
      <c r="G142" s="1619">
        <f>E142*F142</f>
        <v>0</v>
      </c>
    </row>
    <row r="143" spans="1:26" ht="36">
      <c r="B143" s="803" t="s">
        <v>944</v>
      </c>
      <c r="C143" s="843" t="s">
        <v>1032</v>
      </c>
      <c r="D143" s="2118"/>
      <c r="E143" s="2119"/>
      <c r="F143" s="1619"/>
      <c r="G143" s="1619"/>
    </row>
    <row r="144" spans="1:26">
      <c r="B144" s="823" t="s">
        <v>568</v>
      </c>
      <c r="C144" s="848" t="s">
        <v>1033</v>
      </c>
      <c r="D144" s="2118" t="s">
        <v>78</v>
      </c>
      <c r="E144" s="2119">
        <v>18.2</v>
      </c>
      <c r="F144" s="1619">
        <v>0</v>
      </c>
      <c r="G144" s="1619">
        <f>E144*F144</f>
        <v>0</v>
      </c>
    </row>
    <row r="145" spans="2:7">
      <c r="B145" s="823" t="s">
        <v>568</v>
      </c>
      <c r="C145" s="848" t="s">
        <v>1034</v>
      </c>
      <c r="D145" s="2118" t="s">
        <v>78</v>
      </c>
      <c r="E145" s="2119">
        <v>4.5</v>
      </c>
      <c r="F145" s="1619">
        <v>0</v>
      </c>
      <c r="G145" s="1619">
        <f>E145*F145</f>
        <v>0</v>
      </c>
    </row>
    <row r="146" spans="2:7">
      <c r="B146" s="823" t="s">
        <v>568</v>
      </c>
      <c r="C146" s="849" t="s">
        <v>1035</v>
      </c>
      <c r="D146" s="2126" t="s">
        <v>78</v>
      </c>
      <c r="E146" s="2127">
        <v>1.9</v>
      </c>
      <c r="F146" s="1619">
        <v>0</v>
      </c>
      <c r="G146" s="1619">
        <f>E146*F146</f>
        <v>0</v>
      </c>
    </row>
    <row r="147" spans="2:7">
      <c r="B147" s="823" t="s">
        <v>568</v>
      </c>
      <c r="C147" s="848" t="s">
        <v>1036</v>
      </c>
      <c r="D147" s="2126" t="s">
        <v>78</v>
      </c>
      <c r="E147" s="2119">
        <v>11.9</v>
      </c>
      <c r="F147" s="1619">
        <v>0</v>
      </c>
      <c r="G147" s="1619">
        <f>E147*F147</f>
        <v>0</v>
      </c>
    </row>
    <row r="148" spans="2:7">
      <c r="B148" s="850"/>
      <c r="C148" s="851"/>
      <c r="D148" s="2128"/>
      <c r="E148" s="2129"/>
      <c r="F148" s="1619"/>
      <c r="G148" s="1619"/>
    </row>
    <row r="149" spans="2:7">
      <c r="B149" s="852"/>
      <c r="C149" s="853" t="s">
        <v>1037</v>
      </c>
      <c r="D149" s="2543"/>
      <c r="E149" s="2544"/>
      <c r="F149" s="2545"/>
      <c r="G149" s="2188">
        <f>SUM(G133:G147)</f>
        <v>0</v>
      </c>
    </row>
    <row r="150" spans="2:7">
      <c r="B150" s="854"/>
      <c r="E150" s="855"/>
      <c r="G150" s="856"/>
    </row>
    <row r="151" spans="2:7">
      <c r="B151" s="837"/>
      <c r="C151" s="816"/>
      <c r="D151" s="817"/>
      <c r="E151" s="818"/>
      <c r="F151" s="819"/>
      <c r="G151" s="820"/>
    </row>
    <row r="152" spans="2:7" ht="24">
      <c r="B152" s="838" t="s">
        <v>50</v>
      </c>
      <c r="C152" s="120" t="s">
        <v>51</v>
      </c>
      <c r="D152" s="121" t="s">
        <v>52</v>
      </c>
      <c r="E152" s="787" t="s">
        <v>53</v>
      </c>
      <c r="F152" s="788" t="s">
        <v>54</v>
      </c>
      <c r="G152" s="789" t="s">
        <v>55</v>
      </c>
    </row>
    <row r="153" spans="2:7">
      <c r="B153" s="839"/>
      <c r="C153" s="761"/>
      <c r="D153" s="762"/>
      <c r="E153" s="763"/>
      <c r="F153" s="764"/>
      <c r="G153" s="765"/>
    </row>
    <row r="154" spans="2:7">
      <c r="B154" s="840" t="s">
        <v>897</v>
      </c>
      <c r="C154" s="735" t="s">
        <v>898</v>
      </c>
      <c r="D154" s="213"/>
      <c r="E154" s="841"/>
      <c r="F154" s="842"/>
      <c r="G154" s="734"/>
    </row>
    <row r="155" spans="2:7" ht="25.5" customHeight="1">
      <c r="B155" s="2546" t="s">
        <v>1038</v>
      </c>
      <c r="C155" s="2547"/>
      <c r="D155" s="2547"/>
      <c r="E155" s="2547"/>
      <c r="F155" s="2547"/>
      <c r="G155" s="2548"/>
    </row>
    <row r="156" spans="2:7" ht="26.25" customHeight="1">
      <c r="B156" s="2536" t="s">
        <v>1039</v>
      </c>
      <c r="C156" s="2537"/>
      <c r="D156" s="2537"/>
      <c r="E156" s="2537"/>
      <c r="F156" s="2537"/>
      <c r="G156" s="2538"/>
    </row>
    <row r="157" spans="2:7" ht="75.75" customHeight="1">
      <c r="B157" s="2536" t="s">
        <v>1040</v>
      </c>
      <c r="C157" s="2537"/>
      <c r="D157" s="2537"/>
      <c r="E157" s="2537"/>
      <c r="F157" s="2537"/>
      <c r="G157" s="2538"/>
    </row>
    <row r="158" spans="2:7" ht="27" customHeight="1">
      <c r="B158" s="2536" t="s">
        <v>1041</v>
      </c>
      <c r="C158" s="2537"/>
      <c r="D158" s="2537"/>
      <c r="E158" s="2537"/>
      <c r="F158" s="2537"/>
      <c r="G158" s="2538"/>
    </row>
    <row r="159" spans="2:7" ht="14.25" customHeight="1">
      <c r="B159" s="2539" t="s">
        <v>1042</v>
      </c>
      <c r="C159" s="2537"/>
      <c r="D159" s="2537"/>
      <c r="E159" s="2537"/>
      <c r="F159" s="2537"/>
      <c r="G159" s="2538"/>
    </row>
    <row r="160" spans="2:7">
      <c r="B160" s="2539" t="s">
        <v>1043</v>
      </c>
      <c r="C160" s="2537"/>
      <c r="D160" s="2537"/>
      <c r="E160" s="2537"/>
      <c r="F160" s="2537"/>
      <c r="G160" s="2538"/>
    </row>
    <row r="161" spans="2:7" ht="38.25" customHeight="1">
      <c r="B161" s="2536" t="s">
        <v>1044</v>
      </c>
      <c r="C161" s="2537"/>
      <c r="D161" s="2537"/>
      <c r="E161" s="2537"/>
      <c r="F161" s="2537"/>
      <c r="G161" s="2538"/>
    </row>
    <row r="162" spans="2:7" ht="51.75" customHeight="1">
      <c r="B162" s="2539" t="s">
        <v>1045</v>
      </c>
      <c r="C162" s="2537"/>
      <c r="D162" s="2537"/>
      <c r="E162" s="2537"/>
      <c r="F162" s="2537"/>
      <c r="G162" s="2538"/>
    </row>
    <row r="163" spans="2:7">
      <c r="B163" s="2536" t="s">
        <v>1046</v>
      </c>
      <c r="C163" s="2537"/>
      <c r="D163" s="2537"/>
      <c r="E163" s="2537"/>
      <c r="F163" s="2537"/>
      <c r="G163" s="2538"/>
    </row>
    <row r="164" spans="2:7">
      <c r="B164" s="2536" t="s">
        <v>1047</v>
      </c>
      <c r="C164" s="2537"/>
      <c r="D164" s="2537"/>
      <c r="E164" s="2537"/>
      <c r="F164" s="2537"/>
      <c r="G164" s="2538"/>
    </row>
    <row r="165" spans="2:7" ht="26.25" customHeight="1">
      <c r="B165" s="2558" t="s">
        <v>1048</v>
      </c>
      <c r="C165" s="2559"/>
      <c r="D165" s="2559"/>
      <c r="E165" s="2559"/>
      <c r="F165" s="2559"/>
      <c r="G165" s="2560"/>
    </row>
    <row r="166" spans="2:7" ht="24">
      <c r="B166" s="2180" t="s">
        <v>564</v>
      </c>
      <c r="C166" s="2181" t="s">
        <v>1049</v>
      </c>
      <c r="D166" s="2182" t="s">
        <v>78</v>
      </c>
      <c r="E166" s="2183">
        <v>113.6</v>
      </c>
      <c r="F166" s="1619">
        <v>0</v>
      </c>
      <c r="G166" s="1619">
        <f t="shared" ref="G166:G173" si="4">E166*F166</f>
        <v>0</v>
      </c>
    </row>
    <row r="167" spans="2:7" ht="60">
      <c r="B167" s="2180" t="s">
        <v>644</v>
      </c>
      <c r="C167" s="2181" t="s">
        <v>1050</v>
      </c>
      <c r="D167" s="2182" t="s">
        <v>78</v>
      </c>
      <c r="E167" s="2183">
        <v>59.5</v>
      </c>
      <c r="F167" s="1619">
        <v>0</v>
      </c>
      <c r="G167" s="1619">
        <f t="shared" si="4"/>
        <v>0</v>
      </c>
    </row>
    <row r="168" spans="2:7" ht="60">
      <c r="B168" s="2180" t="s">
        <v>647</v>
      </c>
      <c r="C168" s="2181" t="s">
        <v>1051</v>
      </c>
      <c r="D168" s="2182" t="s">
        <v>78</v>
      </c>
      <c r="E168" s="2183">
        <v>39.5</v>
      </c>
      <c r="F168" s="1619">
        <v>0</v>
      </c>
      <c r="G168" s="1619">
        <f t="shared" si="4"/>
        <v>0</v>
      </c>
    </row>
    <row r="169" spans="2:7" ht="60">
      <c r="B169" s="2180" t="s">
        <v>782</v>
      </c>
      <c r="C169" s="2181" t="s">
        <v>1052</v>
      </c>
      <c r="D169" s="2182" t="s">
        <v>78</v>
      </c>
      <c r="E169" s="2183">
        <v>14.6</v>
      </c>
      <c r="F169" s="1619">
        <v>0</v>
      </c>
      <c r="G169" s="1619">
        <f t="shared" si="4"/>
        <v>0</v>
      </c>
    </row>
    <row r="170" spans="2:7" ht="63.75" customHeight="1">
      <c r="B170" s="2180" t="s">
        <v>739</v>
      </c>
      <c r="C170" s="2088" t="s">
        <v>1053</v>
      </c>
      <c r="D170" s="2182" t="s">
        <v>78</v>
      </c>
      <c r="E170" s="2183">
        <v>39.4</v>
      </c>
      <c r="F170" s="1619">
        <v>0</v>
      </c>
      <c r="G170" s="1619">
        <f t="shared" si="4"/>
        <v>0</v>
      </c>
    </row>
    <row r="171" spans="2:7" ht="57.75" customHeight="1">
      <c r="B171" s="2180" t="s">
        <v>944</v>
      </c>
      <c r="C171" s="2184" t="s">
        <v>1054</v>
      </c>
      <c r="D171" s="2182" t="s">
        <v>78</v>
      </c>
      <c r="E171" s="2183">
        <v>26.5</v>
      </c>
      <c r="F171" s="1619">
        <v>0</v>
      </c>
      <c r="G171" s="1619">
        <f t="shared" si="4"/>
        <v>0</v>
      </c>
    </row>
    <row r="172" spans="2:7" ht="24">
      <c r="B172" s="2180" t="s">
        <v>946</v>
      </c>
      <c r="C172" s="2098" t="s">
        <v>1055</v>
      </c>
      <c r="D172" s="2182" t="s">
        <v>78</v>
      </c>
      <c r="E172" s="2183">
        <v>20</v>
      </c>
      <c r="F172" s="1619">
        <v>0</v>
      </c>
      <c r="G172" s="1619">
        <f t="shared" si="4"/>
        <v>0</v>
      </c>
    </row>
    <row r="173" spans="2:7" ht="36">
      <c r="B173" s="2180" t="s">
        <v>948</v>
      </c>
      <c r="C173" s="849" t="s">
        <v>1056</v>
      </c>
      <c r="D173" s="2182" t="s">
        <v>74</v>
      </c>
      <c r="E173" s="2183">
        <v>20.399999999999999</v>
      </c>
      <c r="F173" s="1619">
        <v>0</v>
      </c>
      <c r="G173" s="1619">
        <f t="shared" si="4"/>
        <v>0</v>
      </c>
    </row>
    <row r="174" spans="2:7" ht="24">
      <c r="B174" s="2180" t="s">
        <v>950</v>
      </c>
      <c r="C174" s="2098" t="s">
        <v>1057</v>
      </c>
      <c r="D174" s="2182"/>
      <c r="E174" s="2183"/>
      <c r="F174" s="1619"/>
      <c r="G174" s="1619"/>
    </row>
    <row r="175" spans="2:7">
      <c r="B175" s="2185" t="s">
        <v>568</v>
      </c>
      <c r="C175" s="2098" t="s">
        <v>1058</v>
      </c>
      <c r="D175" s="2182" t="s">
        <v>66</v>
      </c>
      <c r="E175" s="2183">
        <v>2</v>
      </c>
      <c r="F175" s="1619">
        <v>0</v>
      </c>
      <c r="G175" s="1619">
        <f t="shared" ref="G175:G181" si="5">E175*F175</f>
        <v>0</v>
      </c>
    </row>
    <row r="176" spans="2:7" ht="48">
      <c r="B176" s="2180" t="s">
        <v>952</v>
      </c>
      <c r="C176" s="2186" t="s">
        <v>1059</v>
      </c>
      <c r="D176" s="2182" t="s">
        <v>78</v>
      </c>
      <c r="E176" s="2183">
        <v>106.5</v>
      </c>
      <c r="F176" s="1619">
        <v>0</v>
      </c>
      <c r="G176" s="1619">
        <f t="shared" si="5"/>
        <v>0</v>
      </c>
    </row>
    <row r="177" spans="2:7" ht="24">
      <c r="B177" s="2180" t="s">
        <v>954</v>
      </c>
      <c r="C177" s="2098" t="s">
        <v>1060</v>
      </c>
      <c r="D177" s="2182" t="s">
        <v>57</v>
      </c>
      <c r="E177" s="2183">
        <v>12.5</v>
      </c>
      <c r="F177" s="1619">
        <v>0</v>
      </c>
      <c r="G177" s="1619">
        <f t="shared" si="5"/>
        <v>0</v>
      </c>
    </row>
    <row r="178" spans="2:7" ht="36">
      <c r="B178" s="2180" t="s">
        <v>956</v>
      </c>
      <c r="C178" s="2103" t="s">
        <v>1061</v>
      </c>
      <c r="D178" s="2182" t="s">
        <v>702</v>
      </c>
      <c r="E178" s="2183">
        <v>1</v>
      </c>
      <c r="F178" s="1619">
        <v>0</v>
      </c>
      <c r="G178" s="1619">
        <f t="shared" si="5"/>
        <v>0</v>
      </c>
    </row>
    <row r="179" spans="2:7" ht="24">
      <c r="B179" s="2180" t="s">
        <v>958</v>
      </c>
      <c r="C179" s="2098" t="s">
        <v>1062</v>
      </c>
      <c r="D179" s="2182" t="s">
        <v>66</v>
      </c>
      <c r="E179" s="2183">
        <v>6</v>
      </c>
      <c r="F179" s="1619">
        <v>0</v>
      </c>
      <c r="G179" s="1619">
        <f t="shared" si="5"/>
        <v>0</v>
      </c>
    </row>
    <row r="180" spans="2:7" ht="24">
      <c r="B180" s="2180" t="s">
        <v>960</v>
      </c>
      <c r="C180" s="2088" t="s">
        <v>1063</v>
      </c>
      <c r="D180" s="2182" t="s">
        <v>252</v>
      </c>
      <c r="E180" s="2183">
        <v>3</v>
      </c>
      <c r="F180" s="1619">
        <v>0</v>
      </c>
      <c r="G180" s="1619">
        <f t="shared" si="5"/>
        <v>0</v>
      </c>
    </row>
    <row r="181" spans="2:7" ht="36">
      <c r="B181" s="2180" t="s">
        <v>962</v>
      </c>
      <c r="C181" s="2098" t="s">
        <v>1064</v>
      </c>
      <c r="D181" s="2182" t="s">
        <v>252</v>
      </c>
      <c r="E181" s="2183">
        <v>4</v>
      </c>
      <c r="F181" s="1619">
        <v>0</v>
      </c>
      <c r="G181" s="1619">
        <f t="shared" si="5"/>
        <v>0</v>
      </c>
    </row>
    <row r="182" spans="2:7" ht="51.75" customHeight="1">
      <c r="B182" s="2180" t="s">
        <v>981</v>
      </c>
      <c r="C182" s="2187" t="s">
        <v>1065</v>
      </c>
      <c r="D182" s="2182" t="s">
        <v>57</v>
      </c>
      <c r="E182" s="2183">
        <v>35</v>
      </c>
      <c r="F182" s="1619">
        <v>0</v>
      </c>
      <c r="G182" s="1619">
        <f>E182*F182</f>
        <v>0</v>
      </c>
    </row>
    <row r="183" spans="2:7" ht="89.25" customHeight="1">
      <c r="B183" s="2180" t="s">
        <v>983</v>
      </c>
      <c r="C183" s="2187" t="s">
        <v>1066</v>
      </c>
      <c r="D183" s="2182" t="s">
        <v>66</v>
      </c>
      <c r="E183" s="2183">
        <v>3</v>
      </c>
      <c r="F183" s="1619">
        <v>0</v>
      </c>
      <c r="G183" s="1619">
        <f>E183*F183</f>
        <v>0</v>
      </c>
    </row>
    <row r="184" spans="2:7" ht="24">
      <c r="B184" s="2180" t="s">
        <v>1067</v>
      </c>
      <c r="C184" s="2098" t="s">
        <v>1068</v>
      </c>
      <c r="D184" s="2182" t="s">
        <v>66</v>
      </c>
      <c r="E184" s="2183">
        <v>12</v>
      </c>
      <c r="F184" s="1619">
        <v>0</v>
      </c>
      <c r="G184" s="1619">
        <f t="shared" ref="G184:G190" si="6">E184*F184</f>
        <v>0</v>
      </c>
    </row>
    <row r="185" spans="2:7" ht="28.5" customHeight="1">
      <c r="B185" s="2180" t="s">
        <v>1069</v>
      </c>
      <c r="C185" s="2187" t="s">
        <v>1070</v>
      </c>
      <c r="D185" s="2182" t="s">
        <v>65</v>
      </c>
      <c r="E185" s="2183">
        <v>35</v>
      </c>
      <c r="F185" s="1619">
        <v>0</v>
      </c>
      <c r="G185" s="1619">
        <f t="shared" si="6"/>
        <v>0</v>
      </c>
    </row>
    <row r="186" spans="2:7" ht="27.75" customHeight="1">
      <c r="B186" s="2180" t="s">
        <v>1071</v>
      </c>
      <c r="C186" s="2187" t="s">
        <v>1072</v>
      </c>
      <c r="D186" s="2182" t="s">
        <v>65</v>
      </c>
      <c r="E186" s="2183">
        <v>35</v>
      </c>
      <c r="F186" s="1619">
        <v>0</v>
      </c>
      <c r="G186" s="1619">
        <f t="shared" si="6"/>
        <v>0</v>
      </c>
    </row>
    <row r="187" spans="2:7" ht="25.5" customHeight="1">
      <c r="B187" s="2180" t="s">
        <v>1073</v>
      </c>
      <c r="C187" s="2187" t="s">
        <v>1074</v>
      </c>
      <c r="D187" s="2182" t="s">
        <v>65</v>
      </c>
      <c r="E187" s="2183">
        <v>20</v>
      </c>
      <c r="F187" s="1619">
        <v>0</v>
      </c>
      <c r="G187" s="1619">
        <f t="shared" si="6"/>
        <v>0</v>
      </c>
    </row>
    <row r="188" spans="2:7">
      <c r="B188" s="2180" t="s">
        <v>1075</v>
      </c>
      <c r="C188" s="2098" t="s">
        <v>1076</v>
      </c>
      <c r="D188" s="2182" t="s">
        <v>78</v>
      </c>
      <c r="E188" s="2183">
        <v>52.8</v>
      </c>
      <c r="F188" s="1619">
        <v>0</v>
      </c>
      <c r="G188" s="1619">
        <f t="shared" si="6"/>
        <v>0</v>
      </c>
    </row>
    <row r="189" spans="2:7">
      <c r="B189" s="2180" t="s">
        <v>1077</v>
      </c>
      <c r="C189" s="2098" t="s">
        <v>1078</v>
      </c>
      <c r="D189" s="2182" t="s">
        <v>78</v>
      </c>
      <c r="E189" s="2183">
        <v>52.6</v>
      </c>
      <c r="F189" s="1619">
        <v>0</v>
      </c>
      <c r="G189" s="1619">
        <f t="shared" si="6"/>
        <v>0</v>
      </c>
    </row>
    <row r="190" spans="2:7" ht="39.75" customHeight="1">
      <c r="B190" s="2180" t="s">
        <v>1079</v>
      </c>
      <c r="C190" s="2098" t="s">
        <v>1080</v>
      </c>
      <c r="D190" s="2182" t="s">
        <v>78</v>
      </c>
      <c r="E190" s="2183">
        <v>10</v>
      </c>
      <c r="F190" s="1619">
        <v>0</v>
      </c>
      <c r="G190" s="1619">
        <f t="shared" si="6"/>
        <v>0</v>
      </c>
    </row>
    <row r="191" spans="2:7">
      <c r="B191" s="858"/>
      <c r="C191" s="859"/>
      <c r="D191" s="2130"/>
      <c r="E191" s="2131"/>
      <c r="F191" s="860"/>
      <c r="G191" s="861"/>
    </row>
    <row r="192" spans="2:7">
      <c r="B192" s="862"/>
      <c r="C192" s="863" t="s">
        <v>1081</v>
      </c>
      <c r="D192" s="2561"/>
      <c r="E192" s="2502"/>
      <c r="F192" s="2503"/>
      <c r="G192" s="2188">
        <f>SUM(G166:G191)</f>
        <v>0</v>
      </c>
    </row>
    <row r="193" spans="2:7">
      <c r="B193" s="2354"/>
      <c r="C193" s="2355"/>
      <c r="D193" s="2356"/>
      <c r="E193" s="2357"/>
      <c r="F193" s="2358"/>
      <c r="G193" s="2359"/>
    </row>
    <row r="194" spans="2:7" ht="20.25">
      <c r="B194" s="790" t="s">
        <v>45</v>
      </c>
      <c r="C194" s="791" t="s">
        <v>2269</v>
      </c>
      <c r="D194" s="792"/>
      <c r="E194" s="793"/>
      <c r="F194" s="794"/>
      <c r="G194" s="2360">
        <f>G88+G118+G149+G192</f>
        <v>0</v>
      </c>
    </row>
    <row r="195" spans="2:7">
      <c r="B195" s="864"/>
      <c r="C195" s="62"/>
      <c r="D195" s="63"/>
      <c r="E195" s="64"/>
      <c r="F195" s="865"/>
      <c r="G195" s="856"/>
    </row>
    <row r="196" spans="2:7">
      <c r="B196" s="815"/>
      <c r="C196" s="816"/>
      <c r="D196" s="817"/>
      <c r="E196" s="818"/>
      <c r="F196" s="819"/>
      <c r="G196" s="820"/>
    </row>
    <row r="197" spans="2:7" ht="24">
      <c r="B197" s="786" t="s">
        <v>50</v>
      </c>
      <c r="C197" s="120" t="s">
        <v>51</v>
      </c>
      <c r="D197" s="121" t="s">
        <v>52</v>
      </c>
      <c r="E197" s="787" t="s">
        <v>53</v>
      </c>
      <c r="F197" s="788" t="s">
        <v>54</v>
      </c>
      <c r="G197" s="789" t="s">
        <v>55</v>
      </c>
    </row>
    <row r="198" spans="2:7">
      <c r="B198" s="760"/>
      <c r="C198" s="761"/>
      <c r="D198" s="762"/>
      <c r="E198" s="763"/>
      <c r="F198" s="764"/>
      <c r="G198" s="765"/>
    </row>
    <row r="199" spans="2:7" ht="20.25">
      <c r="B199" s="866" t="s">
        <v>47</v>
      </c>
      <c r="C199" s="867" t="s">
        <v>899</v>
      </c>
      <c r="D199" s="868"/>
      <c r="E199" s="869"/>
      <c r="F199" s="870"/>
      <c r="G199" s="871"/>
    </row>
    <row r="200" spans="2:7" ht="20.25">
      <c r="B200" s="872" t="s">
        <v>900</v>
      </c>
      <c r="C200" s="873" t="s">
        <v>901</v>
      </c>
      <c r="D200" s="874"/>
      <c r="E200" s="875"/>
      <c r="F200" s="876"/>
      <c r="G200" s="877"/>
    </row>
    <row r="201" spans="2:7" ht="25.5" customHeight="1">
      <c r="B201" s="2562" t="s">
        <v>1082</v>
      </c>
      <c r="C201" s="2563"/>
      <c r="D201" s="2563"/>
      <c r="E201" s="2563"/>
      <c r="F201" s="2563"/>
      <c r="G201" s="2564"/>
    </row>
    <row r="202" spans="2:7" ht="24.75" customHeight="1">
      <c r="B202" s="2549" t="s">
        <v>1083</v>
      </c>
      <c r="C202" s="2550"/>
      <c r="D202" s="2550"/>
      <c r="E202" s="2550"/>
      <c r="F202" s="2550"/>
      <c r="G202" s="2551"/>
    </row>
    <row r="203" spans="2:7" ht="58.5" customHeight="1">
      <c r="B203" s="2549" t="s">
        <v>1084</v>
      </c>
      <c r="C203" s="2550"/>
      <c r="D203" s="2550"/>
      <c r="E203" s="2550"/>
      <c r="F203" s="2550"/>
      <c r="G203" s="2551"/>
    </row>
    <row r="204" spans="2:7">
      <c r="B204" s="2549" t="s">
        <v>1085</v>
      </c>
      <c r="C204" s="2550"/>
      <c r="D204" s="2550"/>
      <c r="E204" s="2550"/>
      <c r="F204" s="2550"/>
      <c r="G204" s="2551"/>
    </row>
    <row r="205" spans="2:7">
      <c r="B205" s="2549" t="s">
        <v>1086</v>
      </c>
      <c r="C205" s="2550"/>
      <c r="D205" s="2550"/>
      <c r="E205" s="2550"/>
      <c r="F205" s="2550"/>
      <c r="G205" s="2551"/>
    </row>
    <row r="206" spans="2:7" ht="28.5" customHeight="1">
      <c r="B206" s="2549" t="s">
        <v>1087</v>
      </c>
      <c r="C206" s="2550"/>
      <c r="D206" s="2550"/>
      <c r="E206" s="2550"/>
      <c r="F206" s="2550"/>
      <c r="G206" s="2551"/>
    </row>
    <row r="207" spans="2:7">
      <c r="B207" s="2552" t="s">
        <v>1088</v>
      </c>
      <c r="C207" s="2553"/>
      <c r="D207" s="2553"/>
      <c r="E207" s="2553"/>
      <c r="F207" s="2553"/>
      <c r="G207" s="2554"/>
    </row>
    <row r="208" spans="2:7" ht="24.75" customHeight="1">
      <c r="B208" s="2555" t="s">
        <v>1089</v>
      </c>
      <c r="C208" s="2556"/>
      <c r="D208" s="2556"/>
      <c r="E208" s="2556"/>
      <c r="F208" s="2556"/>
      <c r="G208" s="2557"/>
    </row>
    <row r="209" spans="2:13" ht="47.25" customHeight="1">
      <c r="B209" s="2549" t="s">
        <v>1090</v>
      </c>
      <c r="C209" s="2550"/>
      <c r="D209" s="2550"/>
      <c r="E209" s="2550"/>
      <c r="F209" s="2550"/>
      <c r="G209" s="2551"/>
    </row>
    <row r="210" spans="2:13">
      <c r="B210" s="2549" t="s">
        <v>1091</v>
      </c>
      <c r="C210" s="2550"/>
      <c r="D210" s="2550"/>
      <c r="E210" s="2550"/>
      <c r="F210" s="2550"/>
      <c r="G210" s="2551"/>
    </row>
    <row r="211" spans="2:13" ht="36.75" customHeight="1">
      <c r="B211" s="2549" t="s">
        <v>1092</v>
      </c>
      <c r="C211" s="2550"/>
      <c r="D211" s="2550"/>
      <c r="E211" s="2550"/>
      <c r="F211" s="2550"/>
      <c r="G211" s="2551"/>
    </row>
    <row r="212" spans="2:13" ht="23.25" customHeight="1">
      <c r="B212" s="2549" t="s">
        <v>1093</v>
      </c>
      <c r="C212" s="2550"/>
      <c r="D212" s="2550"/>
      <c r="E212" s="2550"/>
      <c r="F212" s="2550"/>
      <c r="G212" s="2551"/>
    </row>
    <row r="213" spans="2:13">
      <c r="B213" s="2549" t="s">
        <v>1094</v>
      </c>
      <c r="C213" s="2574"/>
      <c r="D213" s="2574"/>
      <c r="E213" s="2574"/>
      <c r="F213" s="2574"/>
      <c r="G213" s="2575"/>
    </row>
    <row r="214" spans="2:13" ht="24" customHeight="1">
      <c r="B214" s="2576" t="s">
        <v>1095</v>
      </c>
      <c r="C214" s="2577"/>
      <c r="D214" s="2577"/>
      <c r="E214" s="2577"/>
      <c r="F214" s="2577"/>
      <c r="G214" s="2578"/>
    </row>
    <row r="215" spans="2:13" ht="165" customHeight="1">
      <c r="B215" s="2097" t="s">
        <v>564</v>
      </c>
      <c r="C215" s="2102" t="s">
        <v>1096</v>
      </c>
      <c r="D215" s="2132" t="s">
        <v>78</v>
      </c>
      <c r="E215" s="2133">
        <v>77.5</v>
      </c>
      <c r="F215" s="1619">
        <v>0</v>
      </c>
      <c r="G215" s="1619">
        <f>E215*F215</f>
        <v>0</v>
      </c>
    </row>
    <row r="216" spans="2:13" ht="36">
      <c r="B216" s="2097" t="s">
        <v>644</v>
      </c>
      <c r="C216" s="2103" t="s">
        <v>1097</v>
      </c>
      <c r="D216" s="2132" t="s">
        <v>78</v>
      </c>
      <c r="E216" s="2133">
        <v>90.6</v>
      </c>
      <c r="F216" s="1619">
        <v>0</v>
      </c>
      <c r="G216" s="1619">
        <f>E216*F216</f>
        <v>0</v>
      </c>
    </row>
    <row r="217" spans="2:13" ht="48">
      <c r="B217" s="2097" t="s">
        <v>647</v>
      </c>
      <c r="C217" s="2100" t="s">
        <v>1098</v>
      </c>
      <c r="D217" s="2132" t="s">
        <v>60</v>
      </c>
      <c r="E217" s="2133">
        <v>1</v>
      </c>
      <c r="F217" s="1619">
        <v>0</v>
      </c>
      <c r="G217" s="1619">
        <f t="shared" ref="G217" si="7">E217*F217</f>
        <v>0</v>
      </c>
    </row>
    <row r="218" spans="2:13" ht="24">
      <c r="B218" s="2097" t="s">
        <v>782</v>
      </c>
      <c r="C218" s="2098" t="s">
        <v>1099</v>
      </c>
      <c r="D218" s="2132" t="s">
        <v>78</v>
      </c>
      <c r="E218" s="2133">
        <v>119.5</v>
      </c>
      <c r="F218" s="1619">
        <v>0</v>
      </c>
      <c r="G218" s="1619">
        <f t="shared" ref="G218:G226" si="8">E218*F218</f>
        <v>0</v>
      </c>
    </row>
    <row r="219" spans="2:13" ht="60">
      <c r="B219" s="2097" t="s">
        <v>739</v>
      </c>
      <c r="C219" s="2099" t="s">
        <v>1100</v>
      </c>
      <c r="D219" s="2132" t="s">
        <v>57</v>
      </c>
      <c r="E219" s="2133">
        <v>18.3</v>
      </c>
      <c r="F219" s="1619">
        <v>0</v>
      </c>
      <c r="G219" s="1619">
        <f t="shared" si="8"/>
        <v>0</v>
      </c>
    </row>
    <row r="220" spans="2:13" ht="24">
      <c r="B220" s="2097" t="s">
        <v>944</v>
      </c>
      <c r="C220" s="2100" t="s">
        <v>1101</v>
      </c>
      <c r="D220" s="2132" t="s">
        <v>57</v>
      </c>
      <c r="E220" s="2133">
        <v>36.6</v>
      </c>
      <c r="F220" s="1619">
        <v>0</v>
      </c>
      <c r="G220" s="1619">
        <f t="shared" si="8"/>
        <v>0</v>
      </c>
    </row>
    <row r="221" spans="2:13" ht="36">
      <c r="B221" s="2097" t="s">
        <v>946</v>
      </c>
      <c r="C221" s="2100" t="s">
        <v>1102</v>
      </c>
      <c r="D221" s="2132" t="s">
        <v>57</v>
      </c>
      <c r="E221" s="2133">
        <v>36.6</v>
      </c>
      <c r="F221" s="1619">
        <v>0</v>
      </c>
      <c r="G221" s="1619">
        <f t="shared" si="8"/>
        <v>0</v>
      </c>
    </row>
    <row r="222" spans="2:13" ht="36">
      <c r="B222" s="2097" t="s">
        <v>948</v>
      </c>
      <c r="C222" s="2100" t="s">
        <v>1103</v>
      </c>
      <c r="D222" s="2132" t="s">
        <v>57</v>
      </c>
      <c r="E222" s="2133">
        <v>18</v>
      </c>
      <c r="F222" s="1619">
        <v>0</v>
      </c>
      <c r="G222" s="1619">
        <f t="shared" si="8"/>
        <v>0</v>
      </c>
    </row>
    <row r="223" spans="2:13" ht="48">
      <c r="B223" s="2097" t="s">
        <v>950</v>
      </c>
      <c r="C223" s="2099" t="s">
        <v>1104</v>
      </c>
      <c r="D223" s="2132" t="s">
        <v>57</v>
      </c>
      <c r="E223" s="2133">
        <v>36.6</v>
      </c>
      <c r="F223" s="1619">
        <v>0</v>
      </c>
      <c r="G223" s="1619">
        <f t="shared" si="8"/>
        <v>0</v>
      </c>
    </row>
    <row r="224" spans="2:13" ht="37.5" customHeight="1">
      <c r="B224" s="2097" t="s">
        <v>952</v>
      </c>
      <c r="C224" s="2099" t="s">
        <v>1105</v>
      </c>
      <c r="D224" s="2132" t="s">
        <v>57</v>
      </c>
      <c r="E224" s="2133">
        <v>10</v>
      </c>
      <c r="F224" s="1619">
        <v>0</v>
      </c>
      <c r="G224" s="1619">
        <f t="shared" si="8"/>
        <v>0</v>
      </c>
      <c r="J224" s="1622"/>
      <c r="K224" s="1622"/>
      <c r="L224" s="1622"/>
      <c r="M224" s="1622"/>
    </row>
    <row r="225" spans="2:13" ht="36">
      <c r="B225" s="2097" t="s">
        <v>954</v>
      </c>
      <c r="C225" s="2099" t="s">
        <v>1106</v>
      </c>
      <c r="D225" s="2132" t="s">
        <v>66</v>
      </c>
      <c r="E225" s="2133">
        <v>4</v>
      </c>
      <c r="F225" s="1619">
        <v>0</v>
      </c>
      <c r="G225" s="1619">
        <f t="shared" si="8"/>
        <v>0</v>
      </c>
      <c r="J225" s="1622"/>
      <c r="K225" s="1623"/>
      <c r="L225" s="1623"/>
      <c r="M225" s="1622"/>
    </row>
    <row r="226" spans="2:13" ht="36">
      <c r="B226" s="2097" t="s">
        <v>956</v>
      </c>
      <c r="C226" s="2099" t="s">
        <v>1107</v>
      </c>
      <c r="D226" s="2132" t="s">
        <v>66</v>
      </c>
      <c r="E226" s="2133">
        <v>12</v>
      </c>
      <c r="F226" s="1619">
        <v>0</v>
      </c>
      <c r="G226" s="1619">
        <f t="shared" si="8"/>
        <v>0</v>
      </c>
      <c r="J226" s="1622"/>
      <c r="K226" s="1623"/>
      <c r="L226" s="1623"/>
      <c r="M226" s="1622"/>
    </row>
    <row r="227" spans="2:13" ht="48">
      <c r="B227" s="2097" t="s">
        <v>958</v>
      </c>
      <c r="C227" s="2101" t="s">
        <v>1108</v>
      </c>
      <c r="D227" s="2086" t="s">
        <v>65</v>
      </c>
      <c r="E227" s="2087">
        <v>8</v>
      </c>
      <c r="F227" s="1619">
        <v>0</v>
      </c>
      <c r="G227" s="1619">
        <f>F227*E227</f>
        <v>0</v>
      </c>
      <c r="J227" s="1622"/>
      <c r="K227" s="1623"/>
      <c r="L227" s="1623"/>
      <c r="M227" s="1622"/>
    </row>
    <row r="228" spans="2:13" ht="14.25" customHeight="1">
      <c r="B228" s="881" t="s">
        <v>960</v>
      </c>
      <c r="C228" s="885" t="s">
        <v>1109</v>
      </c>
      <c r="D228" s="2095" t="s">
        <v>65</v>
      </c>
      <c r="E228" s="2096">
        <v>20</v>
      </c>
      <c r="F228" s="1619">
        <v>0</v>
      </c>
      <c r="G228" s="1619">
        <f>E228*F228</f>
        <v>0</v>
      </c>
      <c r="J228" s="1622"/>
      <c r="K228" s="1623"/>
      <c r="L228" s="1623"/>
      <c r="M228" s="1622"/>
    </row>
    <row r="229" spans="2:13">
      <c r="B229" s="858"/>
      <c r="C229" s="886"/>
      <c r="D229" s="2130"/>
      <c r="E229" s="2131"/>
      <c r="F229" s="860"/>
      <c r="G229" s="861"/>
      <c r="J229" s="1622"/>
      <c r="K229" s="1623"/>
      <c r="L229" s="1623"/>
      <c r="M229" s="1622"/>
    </row>
    <row r="230" spans="2:13">
      <c r="B230" s="894"/>
      <c r="C230" s="895" t="s">
        <v>1110</v>
      </c>
      <c r="D230" s="2565"/>
      <c r="E230" s="2566"/>
      <c r="F230" s="2567"/>
      <c r="G230" s="2084">
        <f>SUM(G215:G228)</f>
        <v>0</v>
      </c>
      <c r="J230" s="1622"/>
      <c r="K230" s="1623"/>
      <c r="L230" s="1623"/>
      <c r="M230" s="1622"/>
    </row>
    <row r="231" spans="2:13">
      <c r="B231" s="864"/>
      <c r="C231" s="62"/>
      <c r="D231" s="63"/>
      <c r="E231" s="64"/>
      <c r="F231" s="865"/>
      <c r="G231" s="856"/>
      <c r="J231" s="1622"/>
      <c r="K231" s="1623"/>
      <c r="L231" s="1623"/>
      <c r="M231" s="1622"/>
    </row>
    <row r="232" spans="2:13">
      <c r="B232" s="815"/>
      <c r="C232" s="816"/>
      <c r="D232" s="817"/>
      <c r="E232" s="818"/>
      <c r="F232" s="819"/>
      <c r="G232" s="820"/>
      <c r="J232" s="1622"/>
      <c r="K232" s="1623"/>
      <c r="L232" s="1623"/>
      <c r="M232" s="1622"/>
    </row>
    <row r="233" spans="2:13" ht="24">
      <c r="B233" s="786" t="s">
        <v>50</v>
      </c>
      <c r="C233" s="120" t="s">
        <v>51</v>
      </c>
      <c r="D233" s="121" t="s">
        <v>52</v>
      </c>
      <c r="E233" s="787" t="s">
        <v>53</v>
      </c>
      <c r="F233" s="788" t="s">
        <v>54</v>
      </c>
      <c r="G233" s="789" t="s">
        <v>55</v>
      </c>
      <c r="J233" s="1622"/>
      <c r="K233" s="1623"/>
      <c r="L233" s="1623"/>
      <c r="M233" s="1622"/>
    </row>
    <row r="234" spans="2:13">
      <c r="B234" s="760"/>
      <c r="C234" s="761"/>
      <c r="D234" s="762"/>
      <c r="E234" s="763"/>
      <c r="F234" s="764"/>
      <c r="G234" s="765"/>
      <c r="J234" s="1622"/>
      <c r="K234" s="1623"/>
      <c r="L234" s="1623"/>
      <c r="M234" s="1622"/>
    </row>
    <row r="235" spans="2:13" ht="20.25">
      <c r="B235" s="872" t="s">
        <v>902</v>
      </c>
      <c r="C235" s="873" t="s">
        <v>903</v>
      </c>
      <c r="D235" s="874"/>
      <c r="E235" s="875"/>
      <c r="F235" s="876"/>
      <c r="G235" s="877"/>
      <c r="J235" s="1622"/>
      <c r="K235" s="1623"/>
      <c r="L235" s="1623"/>
      <c r="M235" s="1622"/>
    </row>
    <row r="236" spans="2:13" ht="24" customHeight="1">
      <c r="B236" s="2568" t="s">
        <v>1111</v>
      </c>
      <c r="C236" s="2569"/>
      <c r="D236" s="2569"/>
      <c r="E236" s="2569"/>
      <c r="F236" s="2569"/>
      <c r="G236" s="2570"/>
      <c r="J236" s="1622"/>
      <c r="K236" s="1623"/>
      <c r="L236" s="1623"/>
      <c r="M236" s="1622"/>
    </row>
    <row r="237" spans="2:13" ht="34.5" customHeight="1">
      <c r="B237" s="2571" t="s">
        <v>1112</v>
      </c>
      <c r="C237" s="2572"/>
      <c r="D237" s="2572"/>
      <c r="E237" s="2572"/>
      <c r="F237" s="2572"/>
      <c r="G237" s="2573"/>
      <c r="J237" s="1622"/>
      <c r="K237" s="1623"/>
      <c r="L237" s="1623"/>
      <c r="M237" s="1622"/>
    </row>
    <row r="238" spans="2:13" ht="22.5" customHeight="1">
      <c r="B238" s="2571" t="s">
        <v>1113</v>
      </c>
      <c r="C238" s="2572"/>
      <c r="D238" s="2572"/>
      <c r="E238" s="2572"/>
      <c r="F238" s="2572"/>
      <c r="G238" s="2573"/>
      <c r="J238" s="1622"/>
      <c r="K238" s="1623"/>
      <c r="L238" s="1623"/>
      <c r="M238" s="1622"/>
    </row>
    <row r="239" spans="2:13" ht="35.25" customHeight="1">
      <c r="B239" s="2571" t="s">
        <v>1114</v>
      </c>
      <c r="C239" s="2572"/>
      <c r="D239" s="2572"/>
      <c r="E239" s="2572"/>
      <c r="F239" s="2572"/>
      <c r="G239" s="2573"/>
      <c r="J239" s="1622"/>
      <c r="K239" s="1623"/>
      <c r="L239" s="1623"/>
      <c r="M239" s="1622"/>
    </row>
    <row r="240" spans="2:13" ht="24.75" customHeight="1">
      <c r="B240" s="2571" t="s">
        <v>1115</v>
      </c>
      <c r="C240" s="2572"/>
      <c r="D240" s="2572"/>
      <c r="E240" s="2572"/>
      <c r="F240" s="2572"/>
      <c r="G240" s="2573"/>
      <c r="J240" s="1622"/>
      <c r="K240" s="1622"/>
      <c r="L240" s="1622"/>
      <c r="M240" s="1622"/>
    </row>
    <row r="241" spans="2:13" ht="37.5" customHeight="1">
      <c r="B241" s="2571" t="s">
        <v>1116</v>
      </c>
      <c r="C241" s="2572"/>
      <c r="D241" s="2572"/>
      <c r="E241" s="2572"/>
      <c r="F241" s="2572"/>
      <c r="G241" s="2573"/>
      <c r="J241" s="1622"/>
      <c r="K241" s="1622"/>
      <c r="L241" s="1622"/>
      <c r="M241" s="1622"/>
    </row>
    <row r="242" spans="2:13">
      <c r="B242" s="2571" t="s">
        <v>1117</v>
      </c>
      <c r="C242" s="2572"/>
      <c r="D242" s="2572"/>
      <c r="E242" s="2572"/>
      <c r="F242" s="2572"/>
      <c r="G242" s="2573"/>
      <c r="J242" s="1622"/>
      <c r="K242" s="1622"/>
      <c r="L242" s="1622"/>
      <c r="M242" s="1622"/>
    </row>
    <row r="243" spans="2:13">
      <c r="B243" s="2571" t="s">
        <v>1118</v>
      </c>
      <c r="C243" s="2572"/>
      <c r="D243" s="2572"/>
      <c r="E243" s="2572"/>
      <c r="F243" s="2572"/>
      <c r="G243" s="2573"/>
      <c r="J243" s="1622"/>
      <c r="K243" s="1622"/>
      <c r="L243" s="1622"/>
      <c r="M243" s="1622"/>
    </row>
    <row r="244" spans="2:13">
      <c r="B244" s="2549" t="s">
        <v>1119</v>
      </c>
      <c r="C244" s="2574"/>
      <c r="D244" s="2574"/>
      <c r="E244" s="2574"/>
      <c r="F244" s="2574"/>
      <c r="G244" s="2575"/>
      <c r="J244" s="1622"/>
      <c r="K244" s="1622"/>
      <c r="L244" s="1622"/>
      <c r="M244" s="1622"/>
    </row>
    <row r="245" spans="2:13" ht="25.5" customHeight="1">
      <c r="B245" s="2576" t="s">
        <v>1120</v>
      </c>
      <c r="C245" s="2577"/>
      <c r="D245" s="2577"/>
      <c r="E245" s="2577"/>
      <c r="F245" s="2577"/>
      <c r="G245" s="2578"/>
      <c r="J245" s="1622"/>
      <c r="K245" s="1622"/>
      <c r="L245" s="1622"/>
      <c r="M245" s="1622"/>
    </row>
    <row r="246" spans="2:13" ht="88.5" customHeight="1">
      <c r="B246" s="878" t="s">
        <v>564</v>
      </c>
      <c r="C246" s="887" t="s">
        <v>1121</v>
      </c>
      <c r="D246" s="2093" t="s">
        <v>78</v>
      </c>
      <c r="E246" s="2094">
        <v>99.3</v>
      </c>
      <c r="F246" s="1619">
        <v>0</v>
      </c>
      <c r="G246" s="1619">
        <f>E246*F246</f>
        <v>0</v>
      </c>
      <c r="J246" s="1622"/>
      <c r="K246" s="1622"/>
      <c r="L246" s="1622"/>
      <c r="M246" s="1622"/>
    </row>
    <row r="247" spans="2:13" ht="90.75" customHeight="1">
      <c r="B247" s="881" t="s">
        <v>644</v>
      </c>
      <c r="C247" s="888" t="s">
        <v>1122</v>
      </c>
      <c r="D247" s="2095" t="s">
        <v>78</v>
      </c>
      <c r="E247" s="2096">
        <v>9</v>
      </c>
      <c r="F247" s="1619">
        <v>0</v>
      </c>
      <c r="G247" s="1619">
        <f>E247*F247</f>
        <v>0</v>
      </c>
    </row>
    <row r="248" spans="2:13" ht="72">
      <c r="B248" s="889" t="s">
        <v>647</v>
      </c>
      <c r="C248" s="497" t="s">
        <v>1123</v>
      </c>
      <c r="D248" s="2095" t="s">
        <v>57</v>
      </c>
      <c r="E248" s="2096">
        <v>10.6</v>
      </c>
      <c r="F248" s="1619">
        <v>0</v>
      </c>
      <c r="G248" s="1619">
        <f>E248*F248</f>
        <v>0</v>
      </c>
    </row>
    <row r="249" spans="2:13">
      <c r="B249" s="881" t="s">
        <v>782</v>
      </c>
      <c r="C249" s="890" t="s">
        <v>1124</v>
      </c>
      <c r="D249" s="2095" t="s">
        <v>65</v>
      </c>
      <c r="E249" s="2096">
        <v>20</v>
      </c>
      <c r="F249" s="1619">
        <v>0</v>
      </c>
      <c r="G249" s="1619">
        <f>E249*F249</f>
        <v>0</v>
      </c>
    </row>
    <row r="250" spans="2:13">
      <c r="B250" s="884"/>
      <c r="C250" s="891"/>
      <c r="D250" s="2130"/>
      <c r="E250" s="2131"/>
      <c r="F250" s="892"/>
      <c r="G250" s="893"/>
    </row>
    <row r="251" spans="2:13">
      <c r="B251" s="894"/>
      <c r="C251" s="895" t="s">
        <v>1125</v>
      </c>
      <c r="D251" s="2565"/>
      <c r="E251" s="2566"/>
      <c r="F251" s="2567"/>
      <c r="G251" s="2084">
        <f>SUM(G246:G250)</f>
        <v>0</v>
      </c>
    </row>
    <row r="252" spans="2:13">
      <c r="B252" s="864"/>
      <c r="C252" s="62"/>
      <c r="D252" s="63"/>
      <c r="E252" s="64"/>
      <c r="F252" s="865"/>
      <c r="G252" s="856"/>
    </row>
    <row r="253" spans="2:13">
      <c r="B253" s="815"/>
      <c r="C253" s="816"/>
      <c r="D253" s="817"/>
      <c r="E253" s="818"/>
      <c r="F253" s="819"/>
      <c r="G253" s="820"/>
    </row>
    <row r="254" spans="2:13" ht="24">
      <c r="B254" s="786" t="s">
        <v>50</v>
      </c>
      <c r="C254" s="120" t="s">
        <v>51</v>
      </c>
      <c r="D254" s="121" t="s">
        <v>52</v>
      </c>
      <c r="E254" s="787" t="s">
        <v>53</v>
      </c>
      <c r="F254" s="788" t="s">
        <v>54</v>
      </c>
      <c r="G254" s="789" t="s">
        <v>55</v>
      </c>
    </row>
    <row r="255" spans="2:13">
      <c r="B255" s="760"/>
      <c r="C255" s="761"/>
      <c r="D255" s="762"/>
      <c r="E255" s="763"/>
      <c r="F255" s="764"/>
      <c r="G255" s="765"/>
    </row>
    <row r="256" spans="2:13" ht="20.25">
      <c r="B256" s="872" t="s">
        <v>904</v>
      </c>
      <c r="C256" s="873" t="s">
        <v>1126</v>
      </c>
      <c r="D256" s="874"/>
      <c r="E256" s="875"/>
      <c r="F256" s="876"/>
      <c r="G256" s="877"/>
    </row>
    <row r="257" spans="2:7">
      <c r="B257" s="2568" t="s">
        <v>1127</v>
      </c>
      <c r="C257" s="2579"/>
      <c r="D257" s="2579"/>
      <c r="E257" s="2579"/>
      <c r="F257" s="2579"/>
      <c r="G257" s="2580"/>
    </row>
    <row r="258" spans="2:7" ht="36" customHeight="1">
      <c r="B258" s="2555" t="s">
        <v>1128</v>
      </c>
      <c r="C258" s="2572"/>
      <c r="D258" s="2572"/>
      <c r="E258" s="2572"/>
      <c r="F258" s="2572"/>
      <c r="G258" s="2573"/>
    </row>
    <row r="259" spans="2:7">
      <c r="B259" s="2555" t="s">
        <v>1129</v>
      </c>
      <c r="C259" s="2550"/>
      <c r="D259" s="2550"/>
      <c r="E259" s="2550"/>
      <c r="F259" s="2550"/>
      <c r="G259" s="2551"/>
    </row>
    <row r="260" spans="2:7" ht="47.25" customHeight="1">
      <c r="B260" s="2555" t="s">
        <v>1130</v>
      </c>
      <c r="C260" s="2572"/>
      <c r="D260" s="2572"/>
      <c r="E260" s="2572"/>
      <c r="F260" s="2572"/>
      <c r="G260" s="2573"/>
    </row>
    <row r="261" spans="2:7" ht="24" customHeight="1">
      <c r="B261" s="2555" t="s">
        <v>1131</v>
      </c>
      <c r="C261" s="2572"/>
      <c r="D261" s="2572"/>
      <c r="E261" s="2572"/>
      <c r="F261" s="2572"/>
      <c r="G261" s="2573"/>
    </row>
    <row r="262" spans="2:7">
      <c r="B262" s="2555" t="s">
        <v>1132</v>
      </c>
      <c r="C262" s="2572"/>
      <c r="D262" s="2572"/>
      <c r="E262" s="2572"/>
      <c r="F262" s="2572"/>
      <c r="G262" s="2573"/>
    </row>
    <row r="263" spans="2:7">
      <c r="B263" s="2555" t="s">
        <v>1133</v>
      </c>
      <c r="C263" s="2572"/>
      <c r="D263" s="2572"/>
      <c r="E263" s="2572"/>
      <c r="F263" s="2572"/>
      <c r="G263" s="2573"/>
    </row>
    <row r="264" spans="2:7">
      <c r="B264" s="2555" t="s">
        <v>1134</v>
      </c>
      <c r="C264" s="2572"/>
      <c r="D264" s="2572"/>
      <c r="E264" s="2572"/>
      <c r="F264" s="2572"/>
      <c r="G264" s="2573"/>
    </row>
    <row r="265" spans="2:7" ht="23.25" customHeight="1">
      <c r="B265" s="2555" t="s">
        <v>1135</v>
      </c>
      <c r="C265" s="2572"/>
      <c r="D265" s="2572"/>
      <c r="E265" s="2572"/>
      <c r="F265" s="2572"/>
      <c r="G265" s="2573"/>
    </row>
    <row r="266" spans="2:7">
      <c r="B266" s="2555" t="s">
        <v>1136</v>
      </c>
      <c r="C266" s="2572"/>
      <c r="D266" s="2572"/>
      <c r="E266" s="2572"/>
      <c r="F266" s="2572"/>
      <c r="G266" s="2573"/>
    </row>
    <row r="267" spans="2:7">
      <c r="B267" s="2555" t="s">
        <v>1137</v>
      </c>
      <c r="C267" s="2572"/>
      <c r="D267" s="2572"/>
      <c r="E267" s="2572"/>
      <c r="F267" s="2572"/>
      <c r="G267" s="2573"/>
    </row>
    <row r="268" spans="2:7">
      <c r="B268" s="2549" t="s">
        <v>1138</v>
      </c>
      <c r="C268" s="2574"/>
      <c r="D268" s="2574"/>
      <c r="E268" s="2574"/>
      <c r="F268" s="2574"/>
      <c r="G268" s="2575"/>
    </row>
    <row r="269" spans="2:7" ht="25.5" customHeight="1">
      <c r="B269" s="2576" t="s">
        <v>1139</v>
      </c>
      <c r="C269" s="2577"/>
      <c r="D269" s="2577"/>
      <c r="E269" s="2577"/>
      <c r="F269" s="2577"/>
      <c r="G269" s="2578"/>
    </row>
    <row r="270" spans="2:7" ht="60">
      <c r="B270" s="917" t="s">
        <v>564</v>
      </c>
      <c r="C270" s="2090" t="s">
        <v>1140</v>
      </c>
      <c r="D270" s="2086" t="s">
        <v>78</v>
      </c>
      <c r="E270" s="2087">
        <v>26.5</v>
      </c>
      <c r="F270" s="1619">
        <v>0</v>
      </c>
      <c r="G270" s="1619">
        <f>E270*F270</f>
        <v>0</v>
      </c>
    </row>
    <row r="271" spans="2:7" ht="24">
      <c r="B271" s="917" t="s">
        <v>644</v>
      </c>
      <c r="C271" s="2091" t="s">
        <v>1141</v>
      </c>
      <c r="D271" s="2086" t="s">
        <v>57</v>
      </c>
      <c r="E271" s="2087">
        <v>14.4</v>
      </c>
      <c r="F271" s="1619">
        <v>0</v>
      </c>
      <c r="G271" s="1619">
        <f>E271*F271</f>
        <v>0</v>
      </c>
    </row>
    <row r="272" spans="2:7" ht="108">
      <c r="B272" s="917" t="s">
        <v>647</v>
      </c>
      <c r="C272" s="2092" t="s">
        <v>1142</v>
      </c>
      <c r="D272" s="2086" t="s">
        <v>78</v>
      </c>
      <c r="E272" s="2087">
        <v>5</v>
      </c>
      <c r="F272" s="1619">
        <v>0</v>
      </c>
      <c r="G272" s="1619">
        <f>E272*F272</f>
        <v>0</v>
      </c>
    </row>
    <row r="273" spans="2:7">
      <c r="B273" s="897" t="s">
        <v>782</v>
      </c>
      <c r="C273" s="898" t="s">
        <v>1143</v>
      </c>
      <c r="D273" s="2095" t="s">
        <v>65</v>
      </c>
      <c r="E273" s="2096">
        <v>16</v>
      </c>
      <c r="F273" s="1619">
        <v>0</v>
      </c>
      <c r="G273" s="1619">
        <f>E273*F273</f>
        <v>0</v>
      </c>
    </row>
    <row r="274" spans="2:7">
      <c r="B274" s="858"/>
      <c r="C274" s="899"/>
      <c r="D274" s="2130"/>
      <c r="E274" s="2131"/>
      <c r="F274" s="860"/>
      <c r="G274" s="861"/>
    </row>
    <row r="275" spans="2:7">
      <c r="B275" s="900"/>
      <c r="C275" s="2581" t="s">
        <v>1144</v>
      </c>
      <c r="D275" s="2582"/>
      <c r="E275" s="2583"/>
      <c r="F275" s="2584"/>
      <c r="G275" s="2084">
        <f>G270+G271+G272+G273</f>
        <v>0</v>
      </c>
    </row>
    <row r="276" spans="2:7" ht="20.25">
      <c r="B276" s="901"/>
      <c r="C276" s="902"/>
      <c r="D276" s="903"/>
      <c r="E276" s="904"/>
      <c r="F276" s="905"/>
      <c r="G276" s="906"/>
    </row>
    <row r="277" spans="2:7">
      <c r="B277" s="815"/>
      <c r="C277" s="816"/>
      <c r="D277" s="817"/>
      <c r="E277" s="818"/>
      <c r="F277" s="819"/>
      <c r="G277" s="820"/>
    </row>
    <row r="278" spans="2:7" ht="24">
      <c r="B278" s="786" t="s">
        <v>50</v>
      </c>
      <c r="C278" s="120" t="s">
        <v>51</v>
      </c>
      <c r="D278" s="121" t="s">
        <v>52</v>
      </c>
      <c r="E278" s="787" t="s">
        <v>53</v>
      </c>
      <c r="F278" s="788" t="s">
        <v>54</v>
      </c>
      <c r="G278" s="789" t="s">
        <v>55</v>
      </c>
    </row>
    <row r="279" spans="2:7">
      <c r="B279" s="760"/>
      <c r="C279" s="761"/>
      <c r="D279" s="762"/>
      <c r="E279" s="763"/>
      <c r="F279" s="764"/>
      <c r="G279" s="765"/>
    </row>
    <row r="280" spans="2:7" ht="20.25">
      <c r="B280" s="872" t="s">
        <v>905</v>
      </c>
      <c r="C280" s="873" t="s">
        <v>906</v>
      </c>
      <c r="D280" s="874"/>
      <c r="E280" s="875"/>
      <c r="F280" s="876"/>
      <c r="G280" s="877"/>
    </row>
    <row r="281" spans="2:7">
      <c r="B281" s="2568" t="s">
        <v>1145</v>
      </c>
      <c r="C281" s="2579"/>
      <c r="D281" s="2579"/>
      <c r="E281" s="2579"/>
      <c r="F281" s="2579"/>
      <c r="G281" s="2580"/>
    </row>
    <row r="282" spans="2:7">
      <c r="B282" s="2549" t="s">
        <v>1146</v>
      </c>
      <c r="C282" s="2550"/>
      <c r="D282" s="2550"/>
      <c r="E282" s="2550"/>
      <c r="F282" s="2550"/>
      <c r="G282" s="2551"/>
    </row>
    <row r="283" spans="2:7" ht="24.75" customHeight="1">
      <c r="B283" s="2549" t="s">
        <v>1147</v>
      </c>
      <c r="C283" s="2550"/>
      <c r="D283" s="2550"/>
      <c r="E283" s="2550"/>
      <c r="F283" s="2550"/>
      <c r="G283" s="2551"/>
    </row>
    <row r="284" spans="2:7" ht="22.5" customHeight="1">
      <c r="B284" s="2549" t="s">
        <v>1148</v>
      </c>
      <c r="C284" s="2550"/>
      <c r="D284" s="2550"/>
      <c r="E284" s="2550"/>
      <c r="F284" s="2550"/>
      <c r="G284" s="2551"/>
    </row>
    <row r="285" spans="2:7">
      <c r="B285" s="2549" t="s">
        <v>1149</v>
      </c>
      <c r="C285" s="2550"/>
      <c r="D285" s="2550"/>
      <c r="E285" s="2550"/>
      <c r="F285" s="2550"/>
      <c r="G285" s="2551"/>
    </row>
    <row r="286" spans="2:7">
      <c r="B286" s="2549" t="s">
        <v>1150</v>
      </c>
      <c r="C286" s="2550"/>
      <c r="D286" s="2550"/>
      <c r="E286" s="2550"/>
      <c r="F286" s="2550"/>
      <c r="G286" s="2551"/>
    </row>
    <row r="287" spans="2:7">
      <c r="B287" s="2549" t="s">
        <v>1151</v>
      </c>
      <c r="C287" s="2550"/>
      <c r="D287" s="2550"/>
      <c r="E287" s="2550"/>
      <c r="F287" s="2550"/>
      <c r="G287" s="2551"/>
    </row>
    <row r="288" spans="2:7">
      <c r="B288" s="2549" t="s">
        <v>1152</v>
      </c>
      <c r="C288" s="2550"/>
      <c r="D288" s="2550"/>
      <c r="E288" s="2550"/>
      <c r="F288" s="2550"/>
      <c r="G288" s="2551"/>
    </row>
    <row r="289" spans="2:7">
      <c r="B289" s="2576" t="s">
        <v>1153</v>
      </c>
      <c r="C289" s="2577"/>
      <c r="D289" s="2577"/>
      <c r="E289" s="2577"/>
      <c r="F289" s="2577"/>
      <c r="G289" s="2578"/>
    </row>
    <row r="290" spans="2:7" ht="48">
      <c r="B290" s="917" t="s">
        <v>564</v>
      </c>
      <c r="C290" s="2088" t="s">
        <v>1154</v>
      </c>
      <c r="D290" s="2086" t="s">
        <v>78</v>
      </c>
      <c r="E290" s="2087">
        <v>45.5</v>
      </c>
      <c r="F290" s="1619">
        <v>0</v>
      </c>
      <c r="G290" s="1619">
        <f>E290*F290</f>
        <v>0</v>
      </c>
    </row>
    <row r="291" spans="2:7" ht="48">
      <c r="B291" s="917" t="s">
        <v>644</v>
      </c>
      <c r="C291" s="2088" t="s">
        <v>1155</v>
      </c>
      <c r="D291" s="2086" t="s">
        <v>78</v>
      </c>
      <c r="E291" s="2087">
        <v>110.4</v>
      </c>
      <c r="F291" s="1619">
        <v>0</v>
      </c>
      <c r="G291" s="1619">
        <f>E291*F291</f>
        <v>0</v>
      </c>
    </row>
    <row r="292" spans="2:7" ht="24">
      <c r="B292" s="917" t="s">
        <v>647</v>
      </c>
      <c r="C292" s="2089" t="s">
        <v>1156</v>
      </c>
      <c r="D292" s="2086" t="s">
        <v>57</v>
      </c>
      <c r="E292" s="2087">
        <v>26.8</v>
      </c>
      <c r="F292" s="1619">
        <v>0</v>
      </c>
      <c r="G292" s="1619">
        <f>E292*F292</f>
        <v>0</v>
      </c>
    </row>
    <row r="293" spans="2:7" ht="24">
      <c r="B293" s="917" t="s">
        <v>782</v>
      </c>
      <c r="C293" s="2089" t="s">
        <v>1157</v>
      </c>
      <c r="D293" s="2086" t="s">
        <v>78</v>
      </c>
      <c r="E293" s="2087">
        <v>15</v>
      </c>
      <c r="F293" s="1619">
        <v>0</v>
      </c>
      <c r="G293" s="1619">
        <f>E293*F293</f>
        <v>0</v>
      </c>
    </row>
    <row r="294" spans="2:7">
      <c r="B294" s="917" t="s">
        <v>739</v>
      </c>
      <c r="C294" s="2088" t="s">
        <v>1158</v>
      </c>
      <c r="D294" s="2086" t="s">
        <v>65</v>
      </c>
      <c r="E294" s="2087">
        <v>12</v>
      </c>
      <c r="F294" s="1619">
        <v>0</v>
      </c>
      <c r="G294" s="1619">
        <f>E294*F294</f>
        <v>0</v>
      </c>
    </row>
    <row r="295" spans="2:7">
      <c r="B295" s="858"/>
      <c r="C295" s="886"/>
      <c r="D295" s="2130"/>
      <c r="E295" s="2131"/>
      <c r="F295" s="860"/>
      <c r="G295" s="861"/>
    </row>
    <row r="296" spans="2:7">
      <c r="B296" s="900"/>
      <c r="C296" s="907" t="s">
        <v>1159</v>
      </c>
      <c r="D296" s="2585"/>
      <c r="E296" s="2502"/>
      <c r="F296" s="2503"/>
      <c r="G296" s="2084">
        <f>SUM(G290:G294)</f>
        <v>0</v>
      </c>
    </row>
    <row r="297" spans="2:7" ht="20.25">
      <c r="B297" s="901"/>
      <c r="C297" s="902"/>
      <c r="D297" s="903"/>
      <c r="E297" s="904"/>
      <c r="F297" s="905"/>
      <c r="G297" s="906"/>
    </row>
    <row r="298" spans="2:7">
      <c r="B298" s="815"/>
      <c r="C298" s="816"/>
      <c r="D298" s="817"/>
      <c r="E298" s="818"/>
      <c r="F298" s="819"/>
      <c r="G298" s="820"/>
    </row>
    <row r="299" spans="2:7" ht="24">
      <c r="B299" s="786" t="s">
        <v>50</v>
      </c>
      <c r="C299" s="120" t="s">
        <v>51</v>
      </c>
      <c r="D299" s="121" t="s">
        <v>52</v>
      </c>
      <c r="E299" s="787" t="s">
        <v>53</v>
      </c>
      <c r="F299" s="788" t="s">
        <v>54</v>
      </c>
      <c r="G299" s="789" t="s">
        <v>55</v>
      </c>
    </row>
    <row r="300" spans="2:7">
      <c r="B300" s="760"/>
      <c r="C300" s="761"/>
      <c r="D300" s="762"/>
      <c r="E300" s="763"/>
      <c r="F300" s="764"/>
      <c r="G300" s="765"/>
    </row>
    <row r="301" spans="2:7" ht="20.25">
      <c r="B301" s="872" t="s">
        <v>907</v>
      </c>
      <c r="C301" s="873" t="s">
        <v>2242</v>
      </c>
      <c r="D301" s="874"/>
      <c r="E301" s="875"/>
      <c r="F301" s="876"/>
      <c r="G301" s="877"/>
    </row>
    <row r="302" spans="2:7">
      <c r="B302" s="908" t="s">
        <v>564</v>
      </c>
      <c r="C302" s="909" t="s">
        <v>2243</v>
      </c>
      <c r="D302" s="2093"/>
      <c r="E302" s="2094"/>
      <c r="F302" s="879"/>
      <c r="G302" s="880"/>
    </row>
    <row r="303" spans="2:7" ht="54.75" customHeight="1">
      <c r="B303" s="917"/>
      <c r="C303" s="2085" t="s">
        <v>2244</v>
      </c>
      <c r="D303" s="2086" t="s">
        <v>78</v>
      </c>
      <c r="E303" s="2087">
        <v>45.5</v>
      </c>
      <c r="F303" s="1619">
        <v>0</v>
      </c>
      <c r="G303" s="1619">
        <f>E303*F303</f>
        <v>0</v>
      </c>
    </row>
    <row r="304" spans="2:7">
      <c r="B304" s="897" t="s">
        <v>647</v>
      </c>
      <c r="C304" s="898" t="s">
        <v>1160</v>
      </c>
      <c r="D304" s="2095" t="s">
        <v>65</v>
      </c>
      <c r="E304" s="2096">
        <v>5</v>
      </c>
      <c r="F304" s="1619">
        <v>0</v>
      </c>
      <c r="G304" s="1619">
        <f>E304*F304</f>
        <v>0</v>
      </c>
    </row>
    <row r="305" spans="2:7">
      <c r="B305" s="858"/>
      <c r="C305" s="910"/>
      <c r="D305" s="2130"/>
      <c r="E305" s="2131"/>
      <c r="F305" s="860"/>
      <c r="G305" s="861"/>
    </row>
    <row r="306" spans="2:7">
      <c r="B306" s="900"/>
      <c r="C306" s="911" t="s">
        <v>1161</v>
      </c>
      <c r="D306" s="2585"/>
      <c r="E306" s="2592"/>
      <c r="F306" s="2584"/>
      <c r="G306" s="2084">
        <f>SUM(G303:G304)</f>
        <v>0</v>
      </c>
    </row>
    <row r="307" spans="2:7" ht="20.25">
      <c r="B307" s="901"/>
      <c r="C307" s="902"/>
      <c r="D307" s="903"/>
      <c r="E307" s="904"/>
      <c r="F307" s="905"/>
      <c r="G307" s="906"/>
    </row>
    <row r="308" spans="2:7">
      <c r="B308" s="815"/>
      <c r="C308" s="816"/>
      <c r="D308" s="817"/>
      <c r="E308" s="818"/>
      <c r="F308" s="819"/>
      <c r="G308" s="820"/>
    </row>
    <row r="309" spans="2:7" ht="24">
      <c r="B309" s="786" t="s">
        <v>50</v>
      </c>
      <c r="C309" s="120" t="s">
        <v>51</v>
      </c>
      <c r="D309" s="121" t="s">
        <v>52</v>
      </c>
      <c r="E309" s="787" t="s">
        <v>53</v>
      </c>
      <c r="F309" s="788" t="s">
        <v>54</v>
      </c>
      <c r="G309" s="789" t="s">
        <v>55</v>
      </c>
    </row>
    <row r="310" spans="2:7">
      <c r="B310" s="760"/>
      <c r="C310" s="761"/>
      <c r="D310" s="762"/>
      <c r="E310" s="763"/>
      <c r="F310" s="764"/>
      <c r="G310" s="765"/>
    </row>
    <row r="311" spans="2:7" ht="20.25">
      <c r="B311" s="872" t="s">
        <v>908</v>
      </c>
      <c r="C311" s="873" t="s">
        <v>909</v>
      </c>
      <c r="D311" s="874"/>
      <c r="E311" s="875"/>
      <c r="F311" s="876"/>
      <c r="G311" s="877"/>
    </row>
    <row r="312" spans="2:7">
      <c r="B312" s="2595" t="s">
        <v>1162</v>
      </c>
      <c r="C312" s="2596"/>
      <c r="D312" s="2596"/>
      <c r="E312" s="2596"/>
      <c r="F312" s="2596"/>
      <c r="G312" s="2597"/>
    </row>
    <row r="313" spans="2:7">
      <c r="B313" s="2586" t="s">
        <v>1163</v>
      </c>
      <c r="C313" s="2587"/>
      <c r="D313" s="2587"/>
      <c r="E313" s="2587"/>
      <c r="F313" s="2587"/>
      <c r="G313" s="2588"/>
    </row>
    <row r="314" spans="2:7">
      <c r="B314" s="2586" t="s">
        <v>1164</v>
      </c>
      <c r="C314" s="2587"/>
      <c r="D314" s="2587"/>
      <c r="E314" s="2587"/>
      <c r="F314" s="2587"/>
      <c r="G314" s="2588"/>
    </row>
    <row r="315" spans="2:7">
      <c r="B315" s="2586" t="s">
        <v>1165</v>
      </c>
      <c r="C315" s="2587"/>
      <c r="D315" s="2587"/>
      <c r="E315" s="2587"/>
      <c r="F315" s="2587"/>
      <c r="G315" s="2588"/>
    </row>
    <row r="316" spans="2:7">
      <c r="B316" s="2586" t="s">
        <v>1166</v>
      </c>
      <c r="C316" s="2589"/>
      <c r="D316" s="2589"/>
      <c r="E316" s="2589"/>
      <c r="F316" s="2589"/>
      <c r="G316" s="2590"/>
    </row>
    <row r="317" spans="2:7">
      <c r="B317" s="2586" t="s">
        <v>1167</v>
      </c>
      <c r="C317" s="2589"/>
      <c r="D317" s="2589"/>
      <c r="E317" s="2589"/>
      <c r="F317" s="2589"/>
      <c r="G317" s="2590"/>
    </row>
    <row r="318" spans="2:7">
      <c r="B318" s="2591" t="s">
        <v>1168</v>
      </c>
      <c r="C318" s="2534"/>
      <c r="D318" s="2534"/>
      <c r="E318" s="2534"/>
      <c r="F318" s="2534"/>
      <c r="G318" s="2535"/>
    </row>
    <row r="319" spans="2:7" ht="66.75" customHeight="1">
      <c r="B319" s="912" t="s">
        <v>564</v>
      </c>
      <c r="C319" s="913" t="s">
        <v>2280</v>
      </c>
      <c r="D319" s="2095" t="s">
        <v>252</v>
      </c>
      <c r="E319" s="2096">
        <v>1</v>
      </c>
      <c r="F319" s="1624">
        <v>0</v>
      </c>
      <c r="G319" s="1625">
        <f>E319*F319</f>
        <v>0</v>
      </c>
    </row>
    <row r="320" spans="2:7" ht="108">
      <c r="B320" s="897" t="s">
        <v>644</v>
      </c>
      <c r="C320" s="914" t="s">
        <v>2283</v>
      </c>
      <c r="D320" s="2095" t="s">
        <v>252</v>
      </c>
      <c r="E320" s="2096">
        <v>1</v>
      </c>
      <c r="F320" s="1624">
        <v>0</v>
      </c>
      <c r="G320" s="1625">
        <f>E320*F320</f>
        <v>0</v>
      </c>
    </row>
    <row r="321" spans="2:7">
      <c r="B321" s="897"/>
      <c r="C321" s="885" t="s">
        <v>1169</v>
      </c>
      <c r="D321" s="2095"/>
      <c r="E321" s="2096"/>
      <c r="F321" s="882"/>
      <c r="G321" s="883"/>
    </row>
    <row r="322" spans="2:7">
      <c r="B322" s="897"/>
      <c r="C322" s="857" t="s">
        <v>1170</v>
      </c>
      <c r="D322" s="2095"/>
      <c r="E322" s="2096"/>
      <c r="F322" s="882"/>
      <c r="G322" s="883"/>
    </row>
    <row r="323" spans="2:7">
      <c r="B323" s="897"/>
      <c r="C323" s="857" t="s">
        <v>1171</v>
      </c>
      <c r="D323" s="2095"/>
      <c r="E323" s="2096"/>
      <c r="F323" s="882"/>
      <c r="G323" s="883"/>
    </row>
    <row r="324" spans="2:7">
      <c r="B324" s="858"/>
      <c r="C324" s="910"/>
      <c r="D324" s="2130"/>
      <c r="E324" s="2131"/>
      <c r="F324" s="860"/>
      <c r="G324" s="861"/>
    </row>
    <row r="325" spans="2:7">
      <c r="B325" s="894"/>
      <c r="C325" s="895" t="s">
        <v>1172</v>
      </c>
      <c r="D325" s="2585"/>
      <c r="E325" s="2592"/>
      <c r="F325" s="2584"/>
      <c r="G325" s="1626">
        <f>SUM(G319:G320)</f>
        <v>0</v>
      </c>
    </row>
    <row r="326" spans="2:7" ht="20.25">
      <c r="B326" s="901"/>
      <c r="C326" s="902"/>
      <c r="D326" s="903"/>
      <c r="E326" s="904"/>
      <c r="F326" s="905"/>
      <c r="G326" s="906"/>
    </row>
    <row r="327" spans="2:7">
      <c r="B327" s="815"/>
      <c r="C327" s="816"/>
      <c r="D327" s="817"/>
      <c r="E327" s="818"/>
      <c r="F327" s="819"/>
      <c r="G327" s="820"/>
    </row>
    <row r="328" spans="2:7" ht="24">
      <c r="B328" s="786" t="s">
        <v>50</v>
      </c>
      <c r="C328" s="120" t="s">
        <v>51</v>
      </c>
      <c r="D328" s="121" t="s">
        <v>52</v>
      </c>
      <c r="E328" s="787" t="s">
        <v>53</v>
      </c>
      <c r="F328" s="788" t="s">
        <v>54</v>
      </c>
      <c r="G328" s="789" t="s">
        <v>55</v>
      </c>
    </row>
    <row r="329" spans="2:7">
      <c r="B329" s="760"/>
      <c r="C329" s="761"/>
      <c r="D329" s="762"/>
      <c r="E329" s="763"/>
      <c r="F329" s="764"/>
      <c r="G329" s="765"/>
    </row>
    <row r="330" spans="2:7" ht="20.25">
      <c r="B330" s="872" t="s">
        <v>910</v>
      </c>
      <c r="C330" s="873" t="s">
        <v>911</v>
      </c>
      <c r="D330" s="874"/>
      <c r="E330" s="875"/>
      <c r="F330" s="876"/>
      <c r="G330" s="1627"/>
    </row>
    <row r="331" spans="2:7" ht="57" customHeight="1">
      <c r="B331" s="912" t="s">
        <v>564</v>
      </c>
      <c r="C331" s="915" t="s">
        <v>1173</v>
      </c>
      <c r="D331" s="2134" t="s">
        <v>60</v>
      </c>
      <c r="E331" s="2135">
        <v>1</v>
      </c>
      <c r="F331" s="1624">
        <v>0</v>
      </c>
      <c r="G331" s="1624">
        <f>E331*F331</f>
        <v>0</v>
      </c>
    </row>
    <row r="332" spans="2:7" ht="60">
      <c r="B332" s="912" t="s">
        <v>644</v>
      </c>
      <c r="C332" s="916" t="s">
        <v>1174</v>
      </c>
      <c r="D332" s="2095" t="s">
        <v>57</v>
      </c>
      <c r="E332" s="2096">
        <v>7.4</v>
      </c>
      <c r="F332" s="1624">
        <v>0</v>
      </c>
      <c r="G332" s="1624">
        <f t="shared" ref="G332" si="9">E332*F332</f>
        <v>0</v>
      </c>
    </row>
    <row r="333" spans="2:7">
      <c r="B333" s="917"/>
      <c r="C333" s="886"/>
      <c r="D333" s="2086"/>
      <c r="E333" s="2087"/>
      <c r="F333" s="893"/>
      <c r="G333" s="893"/>
    </row>
    <row r="334" spans="2:7">
      <c r="B334" s="918"/>
      <c r="C334" s="907" t="s">
        <v>1175</v>
      </c>
      <c r="D334" s="2565"/>
      <c r="E334" s="2593"/>
      <c r="F334" s="2594"/>
      <c r="G334" s="1628">
        <f>SUM(G331:G332)</f>
        <v>0</v>
      </c>
    </row>
    <row r="335" spans="2:7" ht="20.25">
      <c r="B335" s="901"/>
      <c r="C335" s="902"/>
      <c r="D335" s="903"/>
      <c r="E335" s="904"/>
      <c r="F335" s="905"/>
      <c r="G335" s="906"/>
    </row>
    <row r="336" spans="2:7" ht="20.25">
      <c r="B336" s="919"/>
      <c r="C336" s="920"/>
      <c r="D336" s="921"/>
      <c r="E336" s="922"/>
      <c r="F336" s="923"/>
      <c r="G336" s="924"/>
    </row>
    <row r="337" spans="2:7" ht="24">
      <c r="B337" s="786" t="s">
        <v>50</v>
      </c>
      <c r="C337" s="120" t="s">
        <v>51</v>
      </c>
      <c r="D337" s="121" t="s">
        <v>52</v>
      </c>
      <c r="E337" s="787" t="s">
        <v>53</v>
      </c>
      <c r="F337" s="788" t="s">
        <v>54</v>
      </c>
      <c r="G337" s="789" t="s">
        <v>55</v>
      </c>
    </row>
    <row r="338" spans="2:7">
      <c r="B338" s="925"/>
      <c r="C338" s="126"/>
      <c r="D338" s="140"/>
      <c r="E338" s="198"/>
      <c r="F338" s="708"/>
      <c r="G338" s="926"/>
    </row>
    <row r="339" spans="2:7" ht="20.25">
      <c r="B339" s="927" t="s">
        <v>912</v>
      </c>
      <c r="C339" s="928" t="s">
        <v>913</v>
      </c>
      <c r="D339" s="929"/>
      <c r="E339" s="930"/>
      <c r="F339" s="931"/>
      <c r="G339" s="1627"/>
    </row>
    <row r="340" spans="2:7" ht="36">
      <c r="B340" s="917" t="s">
        <v>564</v>
      </c>
      <c r="C340" s="932" t="s">
        <v>1176</v>
      </c>
      <c r="D340" s="2130" t="s">
        <v>74</v>
      </c>
      <c r="E340" s="2131">
        <v>36</v>
      </c>
      <c r="F340" s="1619">
        <v>0</v>
      </c>
      <c r="G340" s="1619">
        <f t="shared" ref="G340:G352" si="10">E340*F340</f>
        <v>0</v>
      </c>
    </row>
    <row r="341" spans="2:7" ht="24">
      <c r="B341" s="917" t="s">
        <v>644</v>
      </c>
      <c r="C341" s="932" t="s">
        <v>1177</v>
      </c>
      <c r="D341" s="2130" t="s">
        <v>78</v>
      </c>
      <c r="E341" s="2131">
        <v>25</v>
      </c>
      <c r="F341" s="1619">
        <v>0</v>
      </c>
      <c r="G341" s="1619">
        <f t="shared" si="10"/>
        <v>0</v>
      </c>
    </row>
    <row r="342" spans="2:7" ht="24">
      <c r="B342" s="917" t="s">
        <v>647</v>
      </c>
      <c r="C342" s="932" t="s">
        <v>1178</v>
      </c>
      <c r="D342" s="2130" t="s">
        <v>78</v>
      </c>
      <c r="E342" s="2131">
        <v>20</v>
      </c>
      <c r="F342" s="1619">
        <v>0</v>
      </c>
      <c r="G342" s="1619">
        <f t="shared" si="10"/>
        <v>0</v>
      </c>
    </row>
    <row r="343" spans="2:7" ht="24">
      <c r="B343" s="917" t="s">
        <v>782</v>
      </c>
      <c r="C343" s="932" t="s">
        <v>1179</v>
      </c>
      <c r="D343" s="2130" t="s">
        <v>78</v>
      </c>
      <c r="E343" s="2131">
        <v>10</v>
      </c>
      <c r="F343" s="1619">
        <v>0</v>
      </c>
      <c r="G343" s="1619">
        <f t="shared" si="10"/>
        <v>0</v>
      </c>
    </row>
    <row r="344" spans="2:7" ht="24">
      <c r="B344" s="917" t="s">
        <v>739</v>
      </c>
      <c r="C344" s="932" t="s">
        <v>1180</v>
      </c>
      <c r="D344" s="2130" t="s">
        <v>57</v>
      </c>
      <c r="E344" s="2131">
        <v>30</v>
      </c>
      <c r="F344" s="1619">
        <v>0</v>
      </c>
      <c r="G344" s="1619">
        <f t="shared" si="10"/>
        <v>0</v>
      </c>
    </row>
    <row r="345" spans="2:7" ht="24">
      <c r="B345" s="917" t="s">
        <v>944</v>
      </c>
      <c r="C345" s="932" t="s">
        <v>1181</v>
      </c>
      <c r="D345" s="2130" t="s">
        <v>78</v>
      </c>
      <c r="E345" s="2131">
        <v>24</v>
      </c>
      <c r="F345" s="1619">
        <v>0</v>
      </c>
      <c r="G345" s="1619">
        <f t="shared" si="10"/>
        <v>0</v>
      </c>
    </row>
    <row r="346" spans="2:7" ht="24">
      <c r="B346" s="917" t="s">
        <v>946</v>
      </c>
      <c r="C346" s="932" t="s">
        <v>1182</v>
      </c>
      <c r="D346" s="2130" t="s">
        <v>57</v>
      </c>
      <c r="E346" s="2131">
        <v>30</v>
      </c>
      <c r="F346" s="1619">
        <v>0</v>
      </c>
      <c r="G346" s="1619">
        <f t="shared" si="10"/>
        <v>0</v>
      </c>
    </row>
    <row r="347" spans="2:7">
      <c r="B347" s="917" t="s">
        <v>948</v>
      </c>
      <c r="C347" s="932" t="s">
        <v>1183</v>
      </c>
      <c r="D347" s="2086" t="s">
        <v>252</v>
      </c>
      <c r="E347" s="2136">
        <v>1</v>
      </c>
      <c r="F347" s="1619">
        <v>0</v>
      </c>
      <c r="G347" s="1619">
        <f t="shared" si="10"/>
        <v>0</v>
      </c>
    </row>
    <row r="348" spans="2:7" ht="24">
      <c r="B348" s="917" t="s">
        <v>950</v>
      </c>
      <c r="C348" s="932" t="s">
        <v>1184</v>
      </c>
      <c r="D348" s="2086" t="s">
        <v>57</v>
      </c>
      <c r="E348" s="2136">
        <v>10</v>
      </c>
      <c r="F348" s="1619">
        <v>0</v>
      </c>
      <c r="G348" s="1619">
        <f t="shared" si="10"/>
        <v>0</v>
      </c>
    </row>
    <row r="349" spans="2:7" ht="24">
      <c r="B349" s="917" t="s">
        <v>952</v>
      </c>
      <c r="C349" s="932" t="s">
        <v>1185</v>
      </c>
      <c r="D349" s="2086" t="s">
        <v>252</v>
      </c>
      <c r="E349" s="2136">
        <v>1</v>
      </c>
      <c r="F349" s="1619">
        <v>0</v>
      </c>
      <c r="G349" s="1619">
        <f t="shared" si="10"/>
        <v>0</v>
      </c>
    </row>
    <row r="350" spans="2:7" ht="24">
      <c r="B350" s="917" t="s">
        <v>954</v>
      </c>
      <c r="C350" s="932" t="s">
        <v>1186</v>
      </c>
      <c r="D350" s="2086" t="s">
        <v>252</v>
      </c>
      <c r="E350" s="2136">
        <v>1</v>
      </c>
      <c r="F350" s="1619">
        <v>0</v>
      </c>
      <c r="G350" s="1619">
        <f t="shared" si="10"/>
        <v>0</v>
      </c>
    </row>
    <row r="351" spans="2:7" ht="24">
      <c r="B351" s="917" t="s">
        <v>956</v>
      </c>
      <c r="C351" s="932" t="s">
        <v>1187</v>
      </c>
      <c r="D351" s="2086" t="s">
        <v>252</v>
      </c>
      <c r="E351" s="2136">
        <v>1</v>
      </c>
      <c r="F351" s="1619">
        <v>0</v>
      </c>
      <c r="G351" s="1619">
        <f t="shared" si="10"/>
        <v>0</v>
      </c>
    </row>
    <row r="352" spans="2:7" ht="24">
      <c r="B352" s="917" t="s">
        <v>958</v>
      </c>
      <c r="C352" s="139" t="s">
        <v>2284</v>
      </c>
      <c r="D352" s="2086" t="s">
        <v>57</v>
      </c>
      <c r="E352" s="2136">
        <v>81</v>
      </c>
      <c r="F352" s="1619">
        <v>0</v>
      </c>
      <c r="G352" s="1619">
        <f t="shared" si="10"/>
        <v>0</v>
      </c>
    </row>
    <row r="353" spans="1:9">
      <c r="B353" s="917"/>
      <c r="C353" s="886"/>
      <c r="D353" s="2086"/>
      <c r="E353" s="2087"/>
      <c r="F353" s="893"/>
      <c r="G353" s="893"/>
    </row>
    <row r="354" spans="1:9">
      <c r="B354" s="918"/>
      <c r="C354" s="907" t="s">
        <v>1188</v>
      </c>
      <c r="D354" s="2565"/>
      <c r="E354" s="2593"/>
      <c r="F354" s="2594"/>
      <c r="G354" s="1628">
        <f>SUM(G340:G352)</f>
        <v>0</v>
      </c>
    </row>
    <row r="355" spans="1:9" s="2346" customFormat="1">
      <c r="B355" s="2347"/>
      <c r="C355" s="2348"/>
      <c r="D355" s="2349"/>
      <c r="E355" s="2350"/>
      <c r="F355" s="2351"/>
      <c r="G355" s="2352"/>
      <c r="H355" s="143"/>
    </row>
    <row r="356" spans="1:9" ht="20.25">
      <c r="B356" s="866" t="s">
        <v>47</v>
      </c>
      <c r="C356" s="867" t="s">
        <v>2270</v>
      </c>
      <c r="D356" s="868"/>
      <c r="E356" s="869"/>
      <c r="F356" s="870"/>
      <c r="G356" s="2353">
        <f>G230+G251+G275+G296+G306+G325+G334+G354</f>
        <v>0</v>
      </c>
    </row>
    <row r="357" spans="1:9">
      <c r="B357" s="933"/>
      <c r="C357" s="916"/>
      <c r="D357" s="2137"/>
      <c r="E357" s="2138"/>
      <c r="F357" s="934"/>
      <c r="G357" s="934"/>
    </row>
    <row r="358" spans="1:9" ht="20.25">
      <c r="B358" s="901"/>
      <c r="C358" s="902"/>
      <c r="D358" s="903"/>
      <c r="E358" s="904"/>
      <c r="F358" s="905"/>
      <c r="G358" s="906"/>
    </row>
    <row r="359" spans="1:9" ht="13.5" customHeight="1">
      <c r="B359" s="919"/>
      <c r="C359" s="920"/>
      <c r="D359" s="921"/>
      <c r="E359" s="935"/>
      <c r="F359" s="936"/>
      <c r="G359" s="937"/>
      <c r="H359" s="938"/>
      <c r="I359" s="939"/>
    </row>
    <row r="360" spans="1:9" ht="27.75" customHeight="1">
      <c r="B360" s="786" t="s">
        <v>50</v>
      </c>
      <c r="C360" s="120" t="s">
        <v>51</v>
      </c>
      <c r="D360" s="121" t="s">
        <v>52</v>
      </c>
      <c r="E360" s="787" t="s">
        <v>53</v>
      </c>
      <c r="F360" s="788" t="s">
        <v>54</v>
      </c>
      <c r="G360" s="789" t="s">
        <v>55</v>
      </c>
      <c r="H360" s="938"/>
      <c r="I360" s="939"/>
    </row>
    <row r="361" spans="1:9" ht="13.5" customHeight="1">
      <c r="B361" s="925"/>
      <c r="C361" s="126"/>
      <c r="D361" s="140"/>
      <c r="E361" s="732"/>
      <c r="F361" s="730"/>
      <c r="G361" s="733"/>
      <c r="H361" s="938"/>
      <c r="I361" s="939"/>
    </row>
    <row r="362" spans="1:9" s="138" customFormat="1" ht="20.25" customHeight="1">
      <c r="B362" s="940" t="s">
        <v>914</v>
      </c>
      <c r="C362" s="941" t="s">
        <v>102</v>
      </c>
      <c r="D362" s="942"/>
      <c r="E362" s="943"/>
      <c r="F362" s="944"/>
      <c r="G362" s="945"/>
      <c r="H362" s="946"/>
      <c r="I362" s="939"/>
    </row>
    <row r="363" spans="1:9" s="14" customFormat="1" ht="18" customHeight="1">
      <c r="A363" s="9"/>
      <c r="B363" s="2361" t="s">
        <v>38</v>
      </c>
      <c r="C363" s="2293"/>
      <c r="D363" s="2295"/>
      <c r="E363" s="2362"/>
      <c r="F363" s="2363"/>
      <c r="G363" s="2364"/>
      <c r="I363" s="947"/>
    </row>
    <row r="364" spans="1:9" s="14" customFormat="1" ht="18" customHeight="1">
      <c r="A364" s="15"/>
      <c r="B364" s="2365" t="s">
        <v>39</v>
      </c>
      <c r="C364" s="2297"/>
      <c r="D364" s="2298"/>
      <c r="E364" s="2366"/>
      <c r="F364" s="2367"/>
      <c r="G364" s="2368"/>
      <c r="I364" s="947"/>
    </row>
    <row r="365" spans="1:9" s="14" customFormat="1" ht="18" customHeight="1">
      <c r="A365" s="9"/>
      <c r="B365" s="2361" t="s">
        <v>4</v>
      </c>
      <c r="C365" s="2293"/>
      <c r="D365" s="2294"/>
      <c r="E365" s="2362"/>
      <c r="F365" s="2363"/>
      <c r="G365" s="2364"/>
      <c r="I365" s="947"/>
    </row>
    <row r="366" spans="1:9" s="14" customFormat="1" ht="18" customHeight="1">
      <c r="A366" s="15"/>
      <c r="B366" s="2365" t="s">
        <v>5</v>
      </c>
      <c r="C366" s="2297"/>
      <c r="D366" s="2299"/>
      <c r="E366" s="2366"/>
      <c r="F366" s="2367"/>
      <c r="G366" s="2368"/>
      <c r="I366" s="947"/>
    </row>
    <row r="367" spans="1:9" s="166" customFormat="1" ht="18.75" customHeight="1">
      <c r="B367" s="2601" t="s">
        <v>271</v>
      </c>
      <c r="C367" s="2602"/>
      <c r="D367" s="2602"/>
      <c r="E367" s="2602"/>
      <c r="F367" s="2602"/>
      <c r="G367" s="2603"/>
      <c r="H367" s="938"/>
      <c r="I367" s="948"/>
    </row>
    <row r="368" spans="1:9" s="166" customFormat="1" ht="18.75" customHeight="1">
      <c r="B368" s="2601" t="s">
        <v>104</v>
      </c>
      <c r="C368" s="2602"/>
      <c r="D368" s="2602"/>
      <c r="E368" s="2602"/>
      <c r="F368" s="2602"/>
      <c r="G368" s="2603"/>
      <c r="H368" s="938"/>
      <c r="I368" s="948"/>
    </row>
    <row r="369" spans="2:9" s="166" customFormat="1" ht="18.75" customHeight="1">
      <c r="B369" s="2601" t="s">
        <v>105</v>
      </c>
      <c r="C369" s="2602"/>
      <c r="D369" s="2602"/>
      <c r="E369" s="2602"/>
      <c r="F369" s="2602"/>
      <c r="G369" s="2603"/>
      <c r="H369" s="938"/>
      <c r="I369" s="948"/>
    </row>
    <row r="370" spans="2:9" ht="27.75" customHeight="1">
      <c r="B370" s="949">
        <v>1</v>
      </c>
      <c r="C370" s="950" t="s">
        <v>1189</v>
      </c>
      <c r="D370" s="190"/>
      <c r="E370" s="732"/>
      <c r="F370" s="730"/>
      <c r="G370" s="733"/>
      <c r="H370" s="938"/>
      <c r="I370" s="939"/>
    </row>
    <row r="371" spans="2:9" s="217" customFormat="1" ht="96" customHeight="1">
      <c r="B371" s="2260"/>
      <c r="C371" s="2250"/>
      <c r="D371" s="2251"/>
      <c r="E371" s="2252"/>
      <c r="F371" s="2253"/>
      <c r="G371" s="2254"/>
      <c r="H371" s="938"/>
    </row>
    <row r="372" spans="2:9" s="217" customFormat="1" ht="96" customHeight="1">
      <c r="B372" s="2261"/>
      <c r="C372" s="2255"/>
      <c r="D372" s="2251"/>
      <c r="E372" s="2252"/>
      <c r="F372" s="2253"/>
      <c r="G372" s="2254"/>
      <c r="H372" s="938"/>
    </row>
    <row r="373" spans="2:9" s="217" customFormat="1" ht="96" customHeight="1">
      <c r="B373" s="2261"/>
      <c r="C373" s="2255"/>
      <c r="D373" s="2251"/>
      <c r="E373" s="2252"/>
      <c r="F373" s="2253"/>
      <c r="G373" s="2254"/>
      <c r="H373" s="938"/>
    </row>
    <row r="374" spans="2:9" s="217" customFormat="1" ht="96" customHeight="1">
      <c r="B374" s="2261"/>
      <c r="C374" s="2255"/>
      <c r="D374" s="2251"/>
      <c r="E374" s="2252"/>
      <c r="F374" s="2253"/>
      <c r="G374" s="2254"/>
      <c r="H374" s="938"/>
    </row>
    <row r="375" spans="2:9" s="217" customFormat="1" ht="96" customHeight="1">
      <c r="B375" s="2261"/>
      <c r="C375" s="2255"/>
      <c r="D375" s="2251"/>
      <c r="E375" s="2252"/>
      <c r="F375" s="2253"/>
      <c r="G375" s="2254"/>
      <c r="H375" s="938"/>
    </row>
    <row r="376" spans="2:9" s="217" customFormat="1" ht="96" customHeight="1">
      <c r="B376" s="2261"/>
      <c r="C376" s="2255"/>
      <c r="D376" s="2251"/>
      <c r="E376" s="2252"/>
      <c r="F376" s="2253"/>
      <c r="G376" s="2254"/>
      <c r="H376" s="938"/>
    </row>
    <row r="377" spans="2:9" s="217" customFormat="1" ht="64.5" customHeight="1">
      <c r="B377" s="2261"/>
      <c r="C377" s="2255"/>
      <c r="D377" s="2251"/>
      <c r="E377" s="2252"/>
      <c r="F377" s="2253"/>
      <c r="G377" s="2254"/>
      <c r="H377" s="938"/>
    </row>
    <row r="378" spans="2:9" s="217" customFormat="1" ht="14.25" customHeight="1">
      <c r="B378" s="2261"/>
      <c r="C378" s="2250" t="s">
        <v>2261</v>
      </c>
      <c r="D378" s="2256" t="s">
        <v>60</v>
      </c>
      <c r="E378" s="2257">
        <v>1</v>
      </c>
      <c r="F378" s="2258">
        <v>0</v>
      </c>
      <c r="G378" s="2259">
        <f t="shared" ref="G378" si="11">E378*F378</f>
        <v>0</v>
      </c>
      <c r="H378" s="938"/>
    </row>
    <row r="379" spans="2:9" s="179" customFormat="1" ht="140.25" customHeight="1">
      <c r="B379" s="951"/>
      <c r="C379" s="952" t="s">
        <v>1190</v>
      </c>
      <c r="D379" s="190" t="s">
        <v>66</v>
      </c>
      <c r="E379" s="732">
        <v>1</v>
      </c>
      <c r="F379" s="1619">
        <v>0</v>
      </c>
      <c r="G379" s="1619">
        <f>E379*F379</f>
        <v>0</v>
      </c>
      <c r="H379" s="802"/>
      <c r="I379" s="953"/>
    </row>
    <row r="380" spans="2:9" ht="24">
      <c r="B380" s="949">
        <v>3</v>
      </c>
      <c r="C380" s="200" t="s">
        <v>121</v>
      </c>
      <c r="D380" s="127"/>
      <c r="E380" s="732"/>
      <c r="F380" s="720">
        <v>0</v>
      </c>
      <c r="G380" s="733"/>
      <c r="H380" s="938"/>
      <c r="I380" s="939"/>
    </row>
    <row r="381" spans="2:9">
      <c r="B381" s="954" t="s">
        <v>122</v>
      </c>
      <c r="C381" s="955" t="s">
        <v>1191</v>
      </c>
      <c r="D381" s="956"/>
      <c r="E381" s="957"/>
      <c r="F381" s="1629"/>
      <c r="G381" s="1630"/>
      <c r="H381" s="938"/>
      <c r="I381" s="939"/>
    </row>
    <row r="382" spans="2:9" s="179" customFormat="1" ht="18" customHeight="1">
      <c r="B382" s="925"/>
      <c r="C382" s="958" t="s">
        <v>1192</v>
      </c>
      <c r="D382" s="959" t="s">
        <v>66</v>
      </c>
      <c r="E382" s="957">
        <v>1</v>
      </c>
      <c r="F382" s="1631">
        <v>0</v>
      </c>
      <c r="G382" s="1632">
        <f t="shared" ref="G382:G390" si="12">E382*F382</f>
        <v>0</v>
      </c>
      <c r="H382" s="802"/>
      <c r="I382" s="953"/>
    </row>
    <row r="383" spans="2:9" s="179" customFormat="1" ht="18" customHeight="1">
      <c r="B383" s="925"/>
      <c r="C383" s="958" t="s">
        <v>1193</v>
      </c>
      <c r="D383" s="959" t="s">
        <v>66</v>
      </c>
      <c r="E383" s="957">
        <v>1</v>
      </c>
      <c r="F383" s="1631">
        <v>0</v>
      </c>
      <c r="G383" s="1632">
        <f t="shared" si="12"/>
        <v>0</v>
      </c>
      <c r="H383" s="802"/>
      <c r="I383" s="953"/>
    </row>
    <row r="384" spans="2:9" s="179" customFormat="1" ht="18" customHeight="1">
      <c r="B384" s="925"/>
      <c r="C384" s="958" t="s">
        <v>1194</v>
      </c>
      <c r="D384" s="959" t="s">
        <v>66</v>
      </c>
      <c r="E384" s="957">
        <v>2</v>
      </c>
      <c r="F384" s="1631">
        <v>0</v>
      </c>
      <c r="G384" s="1632">
        <f t="shared" si="12"/>
        <v>0</v>
      </c>
      <c r="H384" s="802"/>
      <c r="I384" s="953"/>
    </row>
    <row r="385" spans="2:9" s="179" customFormat="1" ht="18" customHeight="1">
      <c r="B385" s="925"/>
      <c r="C385" s="958" t="s">
        <v>1195</v>
      </c>
      <c r="D385" s="959" t="s">
        <v>66</v>
      </c>
      <c r="E385" s="957">
        <v>4</v>
      </c>
      <c r="F385" s="1631">
        <v>0</v>
      </c>
      <c r="G385" s="1632">
        <f t="shared" si="12"/>
        <v>0</v>
      </c>
      <c r="H385" s="802"/>
      <c r="I385" s="953"/>
    </row>
    <row r="386" spans="2:9" s="179" customFormat="1" ht="18" customHeight="1">
      <c r="B386" s="925"/>
      <c r="C386" s="958" t="s">
        <v>1196</v>
      </c>
      <c r="D386" s="959" t="s">
        <v>66</v>
      </c>
      <c r="E386" s="957">
        <v>3</v>
      </c>
      <c r="F386" s="1631">
        <v>0</v>
      </c>
      <c r="G386" s="1632">
        <f t="shared" si="12"/>
        <v>0</v>
      </c>
      <c r="H386" s="802"/>
      <c r="I386" s="953"/>
    </row>
    <row r="387" spans="2:9" s="179" customFormat="1" ht="48">
      <c r="B387" s="925"/>
      <c r="C387" s="958" t="s">
        <v>1197</v>
      </c>
      <c r="D387" s="959" t="s">
        <v>66</v>
      </c>
      <c r="E387" s="957">
        <v>1</v>
      </c>
      <c r="F387" s="1631">
        <v>0</v>
      </c>
      <c r="G387" s="1632">
        <f t="shared" si="12"/>
        <v>0</v>
      </c>
      <c r="H387" s="802"/>
      <c r="I387" s="953"/>
    </row>
    <row r="388" spans="2:9" s="179" customFormat="1" ht="18" customHeight="1">
      <c r="B388" s="925"/>
      <c r="C388" s="958" t="s">
        <v>1198</v>
      </c>
      <c r="D388" s="959" t="s">
        <v>66</v>
      </c>
      <c r="E388" s="957">
        <v>2</v>
      </c>
      <c r="F388" s="1631">
        <v>0</v>
      </c>
      <c r="G388" s="1632">
        <f t="shared" si="12"/>
        <v>0</v>
      </c>
      <c r="H388" s="802"/>
      <c r="I388" s="953"/>
    </row>
    <row r="389" spans="2:9" s="179" customFormat="1" ht="18" customHeight="1">
      <c r="B389" s="925"/>
      <c r="C389" s="958" t="s">
        <v>1199</v>
      </c>
      <c r="D389" s="959" t="s">
        <v>66</v>
      </c>
      <c r="E389" s="957">
        <v>1</v>
      </c>
      <c r="F389" s="1631">
        <v>0</v>
      </c>
      <c r="G389" s="1632">
        <f t="shared" si="12"/>
        <v>0</v>
      </c>
      <c r="H389" s="802"/>
      <c r="I389" s="953"/>
    </row>
    <row r="390" spans="2:9" s="179" customFormat="1" ht="18" customHeight="1">
      <c r="B390" s="925"/>
      <c r="C390" s="958" t="s">
        <v>1200</v>
      </c>
      <c r="D390" s="959" t="s">
        <v>66</v>
      </c>
      <c r="E390" s="957">
        <v>1</v>
      </c>
      <c r="F390" s="1631">
        <v>0</v>
      </c>
      <c r="G390" s="1632">
        <f t="shared" si="12"/>
        <v>0</v>
      </c>
      <c r="H390" s="802"/>
      <c r="I390" s="953"/>
    </row>
    <row r="391" spans="2:9" s="179" customFormat="1" ht="18" customHeight="1">
      <c r="B391" s="925"/>
      <c r="C391" s="958"/>
      <c r="D391" s="959"/>
      <c r="E391" s="957"/>
      <c r="F391" s="1631"/>
      <c r="G391" s="1632"/>
      <c r="H391" s="802"/>
      <c r="I391" s="953"/>
    </row>
    <row r="392" spans="2:9">
      <c r="B392" s="954" t="s">
        <v>126</v>
      </c>
      <c r="C392" s="960" t="s">
        <v>1201</v>
      </c>
      <c r="D392" s="961"/>
      <c r="E392" s="432"/>
      <c r="F392" s="1633"/>
      <c r="G392" s="1634"/>
      <c r="H392" s="938"/>
      <c r="I392" s="939"/>
    </row>
    <row r="393" spans="2:9" ht="18" customHeight="1">
      <c r="B393" s="925"/>
      <c r="C393" s="962" t="s">
        <v>1202</v>
      </c>
      <c r="D393" s="963" t="s">
        <v>66</v>
      </c>
      <c r="E393" s="432">
        <v>1</v>
      </c>
      <c r="F393" s="1635">
        <v>0</v>
      </c>
      <c r="G393" s="1636">
        <f t="shared" ref="G393:G405" si="13">E393*F393</f>
        <v>0</v>
      </c>
      <c r="H393" s="938"/>
      <c r="I393" s="939"/>
    </row>
    <row r="394" spans="2:9" ht="18" customHeight="1">
      <c r="B394" s="925"/>
      <c r="C394" s="962" t="s">
        <v>1203</v>
      </c>
      <c r="D394" s="963" t="s">
        <v>66</v>
      </c>
      <c r="E394" s="432">
        <v>3</v>
      </c>
      <c r="F394" s="1635">
        <v>0</v>
      </c>
      <c r="G394" s="1636">
        <f>E394*F394</f>
        <v>0</v>
      </c>
      <c r="H394" s="938"/>
      <c r="I394" s="939"/>
    </row>
    <row r="395" spans="2:9" ht="18" customHeight="1">
      <c r="B395" s="925"/>
      <c r="C395" s="962" t="s">
        <v>1204</v>
      </c>
      <c r="D395" s="963" t="s">
        <v>66</v>
      </c>
      <c r="E395" s="432">
        <v>1</v>
      </c>
      <c r="F395" s="1635">
        <v>0</v>
      </c>
      <c r="G395" s="1636">
        <f t="shared" si="13"/>
        <v>0</v>
      </c>
      <c r="H395" s="938"/>
      <c r="I395" s="939"/>
    </row>
    <row r="396" spans="2:9" ht="18" customHeight="1">
      <c r="B396" s="925"/>
      <c r="C396" s="962" t="s">
        <v>1205</v>
      </c>
      <c r="D396" s="963" t="s">
        <v>66</v>
      </c>
      <c r="E396" s="432">
        <v>1</v>
      </c>
      <c r="F396" s="1635">
        <v>0</v>
      </c>
      <c r="G396" s="1636">
        <f t="shared" si="13"/>
        <v>0</v>
      </c>
      <c r="H396" s="938"/>
      <c r="I396" s="939"/>
    </row>
    <row r="397" spans="2:9" ht="18" customHeight="1">
      <c r="B397" s="925"/>
      <c r="C397" s="962" t="s">
        <v>1206</v>
      </c>
      <c r="D397" s="963" t="s">
        <v>66</v>
      </c>
      <c r="E397" s="432">
        <v>1</v>
      </c>
      <c r="F397" s="1635">
        <v>0</v>
      </c>
      <c r="G397" s="1636">
        <f>E397*F397</f>
        <v>0</v>
      </c>
      <c r="H397" s="938"/>
      <c r="I397" s="939"/>
    </row>
    <row r="398" spans="2:9" ht="18" customHeight="1">
      <c r="B398" s="925"/>
      <c r="C398" s="962" t="s">
        <v>1207</v>
      </c>
      <c r="D398" s="963" t="s">
        <v>66</v>
      </c>
      <c r="E398" s="432">
        <v>1</v>
      </c>
      <c r="F398" s="1635">
        <v>0</v>
      </c>
      <c r="G398" s="1636">
        <f t="shared" si="13"/>
        <v>0</v>
      </c>
      <c r="H398" s="938"/>
      <c r="I398" s="939"/>
    </row>
    <row r="399" spans="2:9" s="179" customFormat="1" ht="18" customHeight="1">
      <c r="B399" s="925"/>
      <c r="C399" s="962" t="s">
        <v>1208</v>
      </c>
      <c r="D399" s="963" t="s">
        <v>66</v>
      </c>
      <c r="E399" s="432">
        <v>1</v>
      </c>
      <c r="F399" s="1635">
        <v>0</v>
      </c>
      <c r="G399" s="1636">
        <f t="shared" si="13"/>
        <v>0</v>
      </c>
      <c r="H399" s="802"/>
      <c r="I399" s="953"/>
    </row>
    <row r="400" spans="2:9" ht="18" customHeight="1">
      <c r="B400" s="925"/>
      <c r="C400" s="962" t="s">
        <v>1209</v>
      </c>
      <c r="D400" s="963" t="s">
        <v>66</v>
      </c>
      <c r="E400" s="432">
        <v>1</v>
      </c>
      <c r="F400" s="1635">
        <v>0</v>
      </c>
      <c r="G400" s="1636">
        <f t="shared" si="13"/>
        <v>0</v>
      </c>
      <c r="H400" s="938"/>
      <c r="I400" s="939"/>
    </row>
    <row r="401" spans="2:9" ht="18" customHeight="1">
      <c r="B401" s="925"/>
      <c r="C401" s="962" t="s">
        <v>353</v>
      </c>
      <c r="D401" s="963" t="s">
        <v>66</v>
      </c>
      <c r="E401" s="432">
        <v>1</v>
      </c>
      <c r="F401" s="1635">
        <v>0</v>
      </c>
      <c r="G401" s="1636">
        <f t="shared" si="13"/>
        <v>0</v>
      </c>
      <c r="H401" s="938"/>
      <c r="I401" s="939"/>
    </row>
    <row r="402" spans="2:9" ht="18" customHeight="1">
      <c r="B402" s="925"/>
      <c r="C402" s="962" t="s">
        <v>1210</v>
      </c>
      <c r="D402" s="963" t="s">
        <v>66</v>
      </c>
      <c r="E402" s="432">
        <v>1</v>
      </c>
      <c r="F402" s="1635">
        <v>0</v>
      </c>
      <c r="G402" s="1636">
        <f t="shared" si="13"/>
        <v>0</v>
      </c>
      <c r="H402" s="938"/>
      <c r="I402" s="939"/>
    </row>
    <row r="403" spans="2:9" ht="18" customHeight="1">
      <c r="B403" s="925"/>
      <c r="C403" s="962" t="s">
        <v>1211</v>
      </c>
      <c r="D403" s="963" t="s">
        <v>66</v>
      </c>
      <c r="E403" s="432">
        <v>1</v>
      </c>
      <c r="F403" s="1635">
        <v>0</v>
      </c>
      <c r="G403" s="1636">
        <f t="shared" si="13"/>
        <v>0</v>
      </c>
      <c r="H403" s="938"/>
      <c r="I403" s="939"/>
    </row>
    <row r="404" spans="2:9" s="179" customFormat="1" ht="29.25" customHeight="1">
      <c r="B404" s="925"/>
      <c r="C404" s="962" t="s">
        <v>1212</v>
      </c>
      <c r="D404" s="963" t="s">
        <v>66</v>
      </c>
      <c r="E404" s="432">
        <v>1</v>
      </c>
      <c r="F404" s="1635">
        <v>0</v>
      </c>
      <c r="G404" s="1636">
        <f t="shared" si="13"/>
        <v>0</v>
      </c>
      <c r="H404" s="802"/>
      <c r="I404" s="953"/>
    </row>
    <row r="405" spans="2:9" ht="18" customHeight="1">
      <c r="B405" s="925"/>
      <c r="C405" s="962" t="s">
        <v>518</v>
      </c>
      <c r="D405" s="963" t="s">
        <v>66</v>
      </c>
      <c r="E405" s="432">
        <v>2</v>
      </c>
      <c r="F405" s="1635">
        <v>0</v>
      </c>
      <c r="G405" s="1636">
        <f t="shared" si="13"/>
        <v>0</v>
      </c>
      <c r="H405" s="938"/>
      <c r="I405" s="939"/>
    </row>
    <row r="406" spans="2:9" s="179" customFormat="1" ht="18" customHeight="1">
      <c r="B406" s="925"/>
      <c r="C406" s="962"/>
      <c r="D406" s="963"/>
      <c r="E406" s="432"/>
      <c r="F406" s="1635"/>
      <c r="G406" s="1636"/>
      <c r="H406" s="802"/>
      <c r="I406" s="953"/>
    </row>
    <row r="407" spans="2:9">
      <c r="B407" s="954" t="s">
        <v>136</v>
      </c>
      <c r="C407" s="955" t="s">
        <v>1213</v>
      </c>
      <c r="D407" s="956"/>
      <c r="E407" s="957"/>
      <c r="F407" s="1629"/>
      <c r="G407" s="1630"/>
      <c r="H407" s="938"/>
      <c r="I407" s="939"/>
    </row>
    <row r="408" spans="2:9" ht="18" customHeight="1">
      <c r="B408" s="925"/>
      <c r="C408" s="958" t="s">
        <v>1202</v>
      </c>
      <c r="D408" s="959" t="s">
        <v>66</v>
      </c>
      <c r="E408" s="957">
        <v>1</v>
      </c>
      <c r="F408" s="1631">
        <v>0</v>
      </c>
      <c r="G408" s="1632">
        <f t="shared" ref="G408:G420" si="14">E408*F408</f>
        <v>0</v>
      </c>
      <c r="H408" s="938"/>
      <c r="I408" s="939"/>
    </row>
    <row r="409" spans="2:9" ht="18" customHeight="1">
      <c r="B409" s="925"/>
      <c r="C409" s="958" t="s">
        <v>1203</v>
      </c>
      <c r="D409" s="959" t="s">
        <v>66</v>
      </c>
      <c r="E409" s="957">
        <v>2</v>
      </c>
      <c r="F409" s="1631">
        <v>0</v>
      </c>
      <c r="G409" s="1632">
        <f t="shared" si="14"/>
        <v>0</v>
      </c>
      <c r="H409" s="938"/>
      <c r="I409" s="939"/>
    </row>
    <row r="410" spans="2:9" ht="18" customHeight="1">
      <c r="B410" s="925"/>
      <c r="C410" s="958" t="s">
        <v>1204</v>
      </c>
      <c r="D410" s="959" t="s">
        <v>66</v>
      </c>
      <c r="E410" s="957">
        <v>1</v>
      </c>
      <c r="F410" s="1631">
        <v>0</v>
      </c>
      <c r="G410" s="1632">
        <f t="shared" si="14"/>
        <v>0</v>
      </c>
      <c r="H410" s="938"/>
      <c r="I410" s="939"/>
    </row>
    <row r="411" spans="2:9" ht="18" customHeight="1">
      <c r="B411" s="925"/>
      <c r="C411" s="958" t="s">
        <v>1205</v>
      </c>
      <c r="D411" s="959" t="s">
        <v>66</v>
      </c>
      <c r="E411" s="957">
        <v>1</v>
      </c>
      <c r="F411" s="1631">
        <v>0</v>
      </c>
      <c r="G411" s="1632">
        <f t="shared" si="14"/>
        <v>0</v>
      </c>
      <c r="H411" s="938"/>
      <c r="I411" s="939"/>
    </row>
    <row r="412" spans="2:9" ht="18" customHeight="1">
      <c r="B412" s="925"/>
      <c r="C412" s="958" t="s">
        <v>1206</v>
      </c>
      <c r="D412" s="959" t="s">
        <v>66</v>
      </c>
      <c r="E412" s="957">
        <v>1</v>
      </c>
      <c r="F412" s="1631">
        <v>0</v>
      </c>
      <c r="G412" s="1632">
        <f t="shared" si="14"/>
        <v>0</v>
      </c>
      <c r="H412" s="938"/>
      <c r="I412" s="939"/>
    </row>
    <row r="413" spans="2:9" ht="18" customHeight="1">
      <c r="B413" s="925"/>
      <c r="C413" s="958" t="s">
        <v>1207</v>
      </c>
      <c r="D413" s="959" t="s">
        <v>66</v>
      </c>
      <c r="E413" s="957">
        <v>1</v>
      </c>
      <c r="F413" s="1631">
        <v>0</v>
      </c>
      <c r="G413" s="1632">
        <f t="shared" si="14"/>
        <v>0</v>
      </c>
      <c r="H413" s="938"/>
      <c r="I413" s="939"/>
    </row>
    <row r="414" spans="2:9" s="179" customFormat="1" ht="18" customHeight="1">
      <c r="B414" s="925"/>
      <c r="C414" s="958" t="s">
        <v>1208</v>
      </c>
      <c r="D414" s="959" t="s">
        <v>66</v>
      </c>
      <c r="E414" s="957">
        <v>1</v>
      </c>
      <c r="F414" s="1631">
        <v>0</v>
      </c>
      <c r="G414" s="1632">
        <f t="shared" si="14"/>
        <v>0</v>
      </c>
      <c r="H414" s="802"/>
      <c r="I414" s="953"/>
    </row>
    <row r="415" spans="2:9" ht="18" customHeight="1">
      <c r="B415" s="925"/>
      <c r="C415" s="958" t="s">
        <v>1209</v>
      </c>
      <c r="D415" s="959" t="s">
        <v>66</v>
      </c>
      <c r="E415" s="957">
        <v>1</v>
      </c>
      <c r="F415" s="1631">
        <v>0</v>
      </c>
      <c r="G415" s="1632">
        <f t="shared" si="14"/>
        <v>0</v>
      </c>
      <c r="H415" s="938"/>
      <c r="I415" s="939"/>
    </row>
    <row r="416" spans="2:9" ht="73.5" customHeight="1">
      <c r="B416" s="925"/>
      <c r="C416" s="966" t="s">
        <v>1214</v>
      </c>
      <c r="D416" s="959" t="s">
        <v>66</v>
      </c>
      <c r="E416" s="957">
        <v>1</v>
      </c>
      <c r="F416" s="1631">
        <v>0</v>
      </c>
      <c r="G416" s="1632">
        <f>E416*F416</f>
        <v>0</v>
      </c>
      <c r="H416" s="938"/>
      <c r="I416" s="967"/>
    </row>
    <row r="417" spans="2:9" ht="18" customHeight="1">
      <c r="B417" s="925"/>
      <c r="C417" s="958" t="s">
        <v>1210</v>
      </c>
      <c r="D417" s="959" t="s">
        <v>66</v>
      </c>
      <c r="E417" s="957">
        <v>1</v>
      </c>
      <c r="F417" s="1631">
        <v>0</v>
      </c>
      <c r="G417" s="1632">
        <f t="shared" si="14"/>
        <v>0</v>
      </c>
      <c r="H417" s="938"/>
      <c r="I417" s="939"/>
    </row>
    <row r="418" spans="2:9" ht="18" customHeight="1">
      <c r="B418" s="925"/>
      <c r="C418" s="958" t="s">
        <v>1211</v>
      </c>
      <c r="D418" s="959" t="s">
        <v>66</v>
      </c>
      <c r="E418" s="957">
        <v>1</v>
      </c>
      <c r="F418" s="1631">
        <v>0</v>
      </c>
      <c r="G418" s="1632">
        <f t="shared" si="14"/>
        <v>0</v>
      </c>
      <c r="H418" s="938"/>
      <c r="I418" s="939"/>
    </row>
    <row r="419" spans="2:9" s="179" customFormat="1" ht="29.25" customHeight="1">
      <c r="B419" s="925"/>
      <c r="C419" s="958" t="s">
        <v>1215</v>
      </c>
      <c r="D419" s="959" t="s">
        <v>66</v>
      </c>
      <c r="E419" s="957">
        <v>2</v>
      </c>
      <c r="F419" s="1631">
        <v>0</v>
      </c>
      <c r="G419" s="1632">
        <f t="shared" si="14"/>
        <v>0</v>
      </c>
      <c r="H419" s="802"/>
      <c r="I419" s="953"/>
    </row>
    <row r="420" spans="2:9" ht="18" customHeight="1">
      <c r="B420" s="925"/>
      <c r="C420" s="958" t="s">
        <v>518</v>
      </c>
      <c r="D420" s="959" t="s">
        <v>66</v>
      </c>
      <c r="E420" s="957">
        <v>2</v>
      </c>
      <c r="F420" s="1631">
        <v>0</v>
      </c>
      <c r="G420" s="1632">
        <f t="shared" si="14"/>
        <v>0</v>
      </c>
      <c r="H420" s="938"/>
      <c r="I420" s="939"/>
    </row>
    <row r="421" spans="2:9" ht="18" customHeight="1">
      <c r="B421" s="925"/>
      <c r="C421" s="958" t="s">
        <v>1216</v>
      </c>
      <c r="D421" s="959" t="s">
        <v>66</v>
      </c>
      <c r="E421" s="957">
        <v>1</v>
      </c>
      <c r="F421" s="1631">
        <v>0</v>
      </c>
      <c r="G421" s="1632">
        <f>E421*F421</f>
        <v>0</v>
      </c>
      <c r="H421" s="938"/>
      <c r="I421" s="939"/>
    </row>
    <row r="422" spans="2:9" ht="18" customHeight="1">
      <c r="B422" s="925"/>
      <c r="C422" s="968"/>
      <c r="D422" s="963"/>
      <c r="E422" s="432"/>
      <c r="F422" s="964"/>
      <c r="G422" s="965"/>
      <c r="H422" s="938"/>
      <c r="I422" s="969"/>
    </row>
    <row r="423" spans="2:9" s="179" customFormat="1" ht="16.5" customHeight="1">
      <c r="B423" s="970" t="s">
        <v>914</v>
      </c>
      <c r="C423" s="971" t="s">
        <v>175</v>
      </c>
      <c r="D423" s="972"/>
      <c r="E423" s="431"/>
      <c r="F423" s="973"/>
      <c r="G423" s="2270">
        <f>SUM(G370:G421)</f>
        <v>0</v>
      </c>
      <c r="H423" s="802"/>
      <c r="I423" s="974"/>
    </row>
    <row r="424" spans="2:9" s="179" customFormat="1" ht="16.5" customHeight="1">
      <c r="B424" s="975"/>
      <c r="C424" s="159"/>
      <c r="D424" s="140"/>
      <c r="E424" s="198"/>
      <c r="F424" s="708"/>
      <c r="G424" s="976"/>
      <c r="H424" s="802"/>
      <c r="I424" s="974"/>
    </row>
    <row r="425" spans="2:9" s="759" customFormat="1" ht="24">
      <c r="B425" s="754" t="s">
        <v>50</v>
      </c>
      <c r="C425" s="120" t="s">
        <v>51</v>
      </c>
      <c r="D425" s="120" t="s">
        <v>52</v>
      </c>
      <c r="E425" s="755" t="s">
        <v>53</v>
      </c>
      <c r="F425" s="756" t="s">
        <v>54</v>
      </c>
      <c r="G425" s="757" t="s">
        <v>55</v>
      </c>
      <c r="H425" s="758"/>
    </row>
    <row r="426" spans="2:9">
      <c r="B426" s="925"/>
      <c r="C426" s="126"/>
      <c r="D426" s="140"/>
      <c r="E426" s="198"/>
      <c r="F426" s="708"/>
      <c r="G426" s="926"/>
    </row>
    <row r="427" spans="2:9" ht="20.25">
      <c r="B427" s="940" t="s">
        <v>915</v>
      </c>
      <c r="C427" s="941" t="s">
        <v>1217</v>
      </c>
      <c r="D427" s="942"/>
      <c r="E427" s="943"/>
      <c r="F427" s="944"/>
      <c r="G427" s="945"/>
    </row>
    <row r="428" spans="2:9">
      <c r="B428" s="896"/>
      <c r="C428" s="977"/>
      <c r="D428" s="2139"/>
      <c r="E428" s="2140"/>
      <c r="F428" s="978"/>
      <c r="G428" s="978"/>
    </row>
    <row r="429" spans="2:9" ht="24" customHeight="1">
      <c r="B429" s="2598" t="s">
        <v>552</v>
      </c>
      <c r="C429" s="2599"/>
      <c r="D429" s="2599"/>
      <c r="E429" s="2599"/>
      <c r="F429" s="2599"/>
      <c r="G429" s="2600"/>
    </row>
    <row r="430" spans="2:9" ht="12.75" customHeight="1">
      <c r="B430" s="2598" t="s">
        <v>553</v>
      </c>
      <c r="C430" s="2599"/>
      <c r="D430" s="2599"/>
      <c r="E430" s="2599"/>
      <c r="F430" s="2599"/>
      <c r="G430" s="2600"/>
    </row>
    <row r="431" spans="2:9" ht="25.5" customHeight="1">
      <c r="B431" s="2598" t="s">
        <v>554</v>
      </c>
      <c r="C431" s="2599"/>
      <c r="D431" s="2599"/>
      <c r="E431" s="2599"/>
      <c r="F431" s="2599"/>
      <c r="G431" s="2600"/>
    </row>
    <row r="432" spans="2:9" ht="12.75" customHeight="1">
      <c r="B432" s="2598" t="s">
        <v>555</v>
      </c>
      <c r="C432" s="2599"/>
      <c r="D432" s="2599"/>
      <c r="E432" s="2599"/>
      <c r="F432" s="2599"/>
      <c r="G432" s="2600"/>
    </row>
    <row r="433" spans="2:7" ht="26.25" customHeight="1">
      <c r="B433" s="2598" t="s">
        <v>556</v>
      </c>
      <c r="C433" s="2599"/>
      <c r="D433" s="2599"/>
      <c r="E433" s="2599"/>
      <c r="F433" s="2599"/>
      <c r="G433" s="2600"/>
    </row>
    <row r="434" spans="2:7" ht="12.75" customHeight="1">
      <c r="B434" s="2598" t="s">
        <v>557</v>
      </c>
      <c r="C434" s="2599"/>
      <c r="D434" s="2599"/>
      <c r="E434" s="2599"/>
      <c r="F434" s="2599"/>
      <c r="G434" s="2600"/>
    </row>
    <row r="436" spans="2:7">
      <c r="B436" s="979" t="s">
        <v>111</v>
      </c>
      <c r="C436" s="980" t="s">
        <v>1218</v>
      </c>
      <c r="D436" s="2141" t="s">
        <v>1219</v>
      </c>
      <c r="E436" s="981" t="s">
        <v>1219</v>
      </c>
      <c r="F436" s="982"/>
      <c r="G436" s="983"/>
    </row>
    <row r="437" spans="2:7" ht="48">
      <c r="B437" s="984" t="s">
        <v>11</v>
      </c>
      <c r="C437" s="985" t="s">
        <v>1220</v>
      </c>
      <c r="D437" s="2142" t="s">
        <v>1221</v>
      </c>
      <c r="E437" s="2143">
        <v>1</v>
      </c>
      <c r="F437" s="1637">
        <v>0</v>
      </c>
      <c r="G437" s="1638">
        <f>E437*F437</f>
        <v>0</v>
      </c>
    </row>
    <row r="438" spans="2:7" ht="72">
      <c r="B438" s="984" t="s">
        <v>13</v>
      </c>
      <c r="C438" s="985" t="s">
        <v>1222</v>
      </c>
      <c r="D438" s="2142" t="s">
        <v>252</v>
      </c>
      <c r="E438" s="2143">
        <v>1</v>
      </c>
      <c r="F438" s="1637">
        <v>0</v>
      </c>
      <c r="G438" s="1638">
        <f>E438*F438</f>
        <v>0</v>
      </c>
    </row>
    <row r="439" spans="2:7" ht="36">
      <c r="B439" s="986" t="s">
        <v>15</v>
      </c>
      <c r="C439" s="987" t="s">
        <v>1223</v>
      </c>
      <c r="D439" s="2142" t="s">
        <v>1221</v>
      </c>
      <c r="E439" s="2144">
        <v>1</v>
      </c>
      <c r="F439" s="1637">
        <v>0</v>
      </c>
      <c r="G439" s="1639">
        <f>F439*E439</f>
        <v>0</v>
      </c>
    </row>
    <row r="440" spans="2:7" ht="24">
      <c r="B440" s="984" t="s">
        <v>17</v>
      </c>
      <c r="C440" s="988" t="s">
        <v>1224</v>
      </c>
      <c r="D440" s="2142" t="s">
        <v>252</v>
      </c>
      <c r="E440" s="2143">
        <v>2</v>
      </c>
      <c r="F440" s="1637">
        <v>0</v>
      </c>
      <c r="G440" s="1638">
        <f t="shared" ref="G440:G446" si="15">E440*F440</f>
        <v>0</v>
      </c>
    </row>
    <row r="441" spans="2:7" ht="24">
      <c r="B441" s="984" t="s">
        <v>19</v>
      </c>
      <c r="C441" s="988" t="s">
        <v>1225</v>
      </c>
      <c r="D441" s="2142" t="s">
        <v>252</v>
      </c>
      <c r="E441" s="2143">
        <v>1</v>
      </c>
      <c r="F441" s="1637">
        <v>0</v>
      </c>
      <c r="G441" s="1638">
        <f t="shared" si="15"/>
        <v>0</v>
      </c>
    </row>
    <row r="442" spans="2:7" ht="24">
      <c r="B442" s="984" t="s">
        <v>21</v>
      </c>
      <c r="C442" s="988" t="s">
        <v>1226</v>
      </c>
      <c r="D442" s="2142" t="s">
        <v>252</v>
      </c>
      <c r="E442" s="2143">
        <v>1</v>
      </c>
      <c r="F442" s="1637">
        <v>0</v>
      </c>
      <c r="G442" s="1638">
        <f t="shared" si="15"/>
        <v>0</v>
      </c>
    </row>
    <row r="443" spans="2:7" ht="24">
      <c r="B443" s="984" t="s">
        <v>23</v>
      </c>
      <c r="C443" s="988" t="s">
        <v>1227</v>
      </c>
      <c r="D443" s="2142" t="s">
        <v>252</v>
      </c>
      <c r="E443" s="2143">
        <v>1</v>
      </c>
      <c r="F443" s="1637">
        <v>0</v>
      </c>
      <c r="G443" s="1638">
        <f t="shared" si="15"/>
        <v>0</v>
      </c>
    </row>
    <row r="444" spans="2:7" ht="48">
      <c r="B444" s="984" t="s">
        <v>25</v>
      </c>
      <c r="C444" s="988" t="s">
        <v>1228</v>
      </c>
      <c r="D444" s="2142" t="s">
        <v>1221</v>
      </c>
      <c r="E444" s="2143">
        <v>1</v>
      </c>
      <c r="F444" s="1637">
        <v>0</v>
      </c>
      <c r="G444" s="1638">
        <f t="shared" si="15"/>
        <v>0</v>
      </c>
    </row>
    <row r="445" spans="2:7" ht="36">
      <c r="B445" s="984" t="s">
        <v>864</v>
      </c>
      <c r="C445" s="988" t="s">
        <v>1229</v>
      </c>
      <c r="D445" s="2142" t="s">
        <v>252</v>
      </c>
      <c r="E445" s="2143">
        <v>1</v>
      </c>
      <c r="F445" s="1637">
        <v>0</v>
      </c>
      <c r="G445" s="1638">
        <f t="shared" si="15"/>
        <v>0</v>
      </c>
    </row>
    <row r="446" spans="2:7" ht="48">
      <c r="B446" s="984" t="s">
        <v>865</v>
      </c>
      <c r="C446" s="988" t="s">
        <v>1230</v>
      </c>
      <c r="D446" s="2142" t="s">
        <v>252</v>
      </c>
      <c r="E446" s="2143">
        <v>1</v>
      </c>
      <c r="F446" s="1637">
        <v>0</v>
      </c>
      <c r="G446" s="1638">
        <f t="shared" si="15"/>
        <v>0</v>
      </c>
    </row>
    <row r="447" spans="2:7" ht="48">
      <c r="B447" s="984" t="s">
        <v>866</v>
      </c>
      <c r="C447" s="988" t="s">
        <v>1231</v>
      </c>
      <c r="D447" s="2142" t="s">
        <v>66</v>
      </c>
      <c r="E447" s="2143">
        <v>1</v>
      </c>
      <c r="F447" s="1637">
        <v>0</v>
      </c>
      <c r="G447" s="1638">
        <f>F447*E447</f>
        <v>0</v>
      </c>
    </row>
    <row r="448" spans="2:7" ht="24">
      <c r="B448" s="984" t="s">
        <v>1232</v>
      </c>
      <c r="C448" s="988" t="s">
        <v>1233</v>
      </c>
      <c r="D448" s="2142" t="s">
        <v>66</v>
      </c>
      <c r="E448" s="2143">
        <v>1</v>
      </c>
      <c r="F448" s="1637">
        <v>0</v>
      </c>
      <c r="G448" s="1638">
        <f>F448*E448</f>
        <v>0</v>
      </c>
    </row>
    <row r="449" spans="2:7" ht="36">
      <c r="B449" s="984" t="s">
        <v>1234</v>
      </c>
      <c r="C449" s="988" t="s">
        <v>1235</v>
      </c>
      <c r="D449" s="2142" t="s">
        <v>66</v>
      </c>
      <c r="E449" s="2143">
        <v>1</v>
      </c>
      <c r="F449" s="1637">
        <v>0</v>
      </c>
      <c r="G449" s="1638">
        <f>F449*E449</f>
        <v>0</v>
      </c>
    </row>
    <row r="450" spans="2:7" ht="180">
      <c r="B450" s="986" t="s">
        <v>1236</v>
      </c>
      <c r="C450" s="144" t="s">
        <v>1237</v>
      </c>
      <c r="D450" s="2142" t="s">
        <v>252</v>
      </c>
      <c r="E450" s="2143">
        <v>1</v>
      </c>
      <c r="F450" s="1637">
        <v>0</v>
      </c>
      <c r="G450" s="1638">
        <f t="shared" ref="G450:G465" si="16">E450*F450</f>
        <v>0</v>
      </c>
    </row>
    <row r="451" spans="2:7" ht="24">
      <c r="B451" s="984" t="s">
        <v>1238</v>
      </c>
      <c r="C451" s="989" t="s">
        <v>1239</v>
      </c>
      <c r="D451" s="2145" t="s">
        <v>252</v>
      </c>
      <c r="E451" s="2144">
        <v>2</v>
      </c>
      <c r="F451" s="1637">
        <v>0</v>
      </c>
      <c r="G451" s="1639">
        <f t="shared" si="16"/>
        <v>0</v>
      </c>
    </row>
    <row r="452" spans="2:7" ht="24.75" customHeight="1">
      <c r="B452" s="984" t="s">
        <v>1240</v>
      </c>
      <c r="C452" s="988" t="s">
        <v>1241</v>
      </c>
      <c r="D452" s="2142" t="s">
        <v>252</v>
      </c>
      <c r="E452" s="2143">
        <v>1</v>
      </c>
      <c r="F452" s="1637">
        <v>0</v>
      </c>
      <c r="G452" s="1638">
        <f t="shared" si="16"/>
        <v>0</v>
      </c>
    </row>
    <row r="453" spans="2:7" ht="24">
      <c r="B453" s="984" t="s">
        <v>1242</v>
      </c>
      <c r="C453" s="988" t="s">
        <v>1243</v>
      </c>
      <c r="D453" s="2142" t="s">
        <v>252</v>
      </c>
      <c r="E453" s="2143">
        <v>2</v>
      </c>
      <c r="F453" s="1637">
        <v>0</v>
      </c>
      <c r="G453" s="1638">
        <f t="shared" si="16"/>
        <v>0</v>
      </c>
    </row>
    <row r="454" spans="2:7" ht="24">
      <c r="B454" s="984" t="s">
        <v>1244</v>
      </c>
      <c r="C454" s="988" t="s">
        <v>1245</v>
      </c>
      <c r="D454" s="2142" t="s">
        <v>252</v>
      </c>
      <c r="E454" s="2143">
        <v>2</v>
      </c>
      <c r="F454" s="1637">
        <v>0</v>
      </c>
      <c r="G454" s="1638">
        <f t="shared" si="16"/>
        <v>0</v>
      </c>
    </row>
    <row r="455" spans="2:7" ht="24">
      <c r="B455" s="984" t="s">
        <v>1246</v>
      </c>
      <c r="C455" s="988" t="s">
        <v>1247</v>
      </c>
      <c r="D455" s="2142" t="s">
        <v>252</v>
      </c>
      <c r="E455" s="2143">
        <v>3</v>
      </c>
      <c r="F455" s="1637">
        <v>0</v>
      </c>
      <c r="G455" s="1638">
        <f t="shared" si="16"/>
        <v>0</v>
      </c>
    </row>
    <row r="456" spans="2:7" ht="24">
      <c r="B456" s="984" t="s">
        <v>1248</v>
      </c>
      <c r="C456" s="988" t="s">
        <v>1249</v>
      </c>
      <c r="D456" s="2142" t="s">
        <v>252</v>
      </c>
      <c r="E456" s="2143">
        <v>1</v>
      </c>
      <c r="F456" s="1637">
        <v>0</v>
      </c>
      <c r="G456" s="1638">
        <f t="shared" si="16"/>
        <v>0</v>
      </c>
    </row>
    <row r="457" spans="2:7" ht="24">
      <c r="B457" s="984" t="s">
        <v>1250</v>
      </c>
      <c r="C457" s="988" t="s">
        <v>1251</v>
      </c>
      <c r="D457" s="2142" t="s">
        <v>252</v>
      </c>
      <c r="E457" s="2143">
        <v>2</v>
      </c>
      <c r="F457" s="1637">
        <v>0</v>
      </c>
      <c r="G457" s="1638">
        <f t="shared" si="16"/>
        <v>0</v>
      </c>
    </row>
    <row r="458" spans="2:7" ht="24">
      <c r="B458" s="984" t="s">
        <v>1252</v>
      </c>
      <c r="C458" s="988" t="s">
        <v>1253</v>
      </c>
      <c r="D458" s="2142" t="s">
        <v>252</v>
      </c>
      <c r="E458" s="2143">
        <v>1</v>
      </c>
      <c r="F458" s="1637">
        <v>0</v>
      </c>
      <c r="G458" s="1638">
        <f t="shared" si="16"/>
        <v>0</v>
      </c>
    </row>
    <row r="459" spans="2:7" ht="24">
      <c r="B459" s="984" t="s">
        <v>1254</v>
      </c>
      <c r="C459" s="988" t="s">
        <v>1255</v>
      </c>
      <c r="D459" s="2142" t="s">
        <v>252</v>
      </c>
      <c r="E459" s="2143">
        <v>1</v>
      </c>
      <c r="F459" s="1637">
        <v>0</v>
      </c>
      <c r="G459" s="1638">
        <f t="shared" si="16"/>
        <v>0</v>
      </c>
    </row>
    <row r="460" spans="2:7" ht="24">
      <c r="B460" s="984" t="s">
        <v>1256</v>
      </c>
      <c r="C460" s="988" t="s">
        <v>1257</v>
      </c>
      <c r="D460" s="2142" t="s">
        <v>252</v>
      </c>
      <c r="E460" s="2143">
        <v>3</v>
      </c>
      <c r="F460" s="1637">
        <v>0</v>
      </c>
      <c r="G460" s="1638">
        <f t="shared" si="16"/>
        <v>0</v>
      </c>
    </row>
    <row r="461" spans="2:7" ht="51.75" customHeight="1">
      <c r="B461" s="984" t="s">
        <v>1258</v>
      </c>
      <c r="C461" s="988" t="s">
        <v>1259</v>
      </c>
      <c r="D461" s="2142" t="s">
        <v>252</v>
      </c>
      <c r="E461" s="2143">
        <v>1</v>
      </c>
      <c r="F461" s="1637">
        <v>0</v>
      </c>
      <c r="G461" s="1638">
        <f t="shared" si="16"/>
        <v>0</v>
      </c>
    </row>
    <row r="462" spans="2:7" ht="47.25" customHeight="1">
      <c r="B462" s="984" t="s">
        <v>299</v>
      </c>
      <c r="C462" s="988" t="s">
        <v>1260</v>
      </c>
      <c r="D462" s="2142" t="s">
        <v>252</v>
      </c>
      <c r="E462" s="2143">
        <v>19</v>
      </c>
      <c r="F462" s="1637">
        <v>0</v>
      </c>
      <c r="G462" s="1638">
        <f t="shared" si="16"/>
        <v>0</v>
      </c>
    </row>
    <row r="463" spans="2:7" ht="40.5" customHeight="1">
      <c r="B463" s="984" t="s">
        <v>1261</v>
      </c>
      <c r="C463" s="988" t="s">
        <v>1262</v>
      </c>
      <c r="D463" s="2142" t="s">
        <v>252</v>
      </c>
      <c r="E463" s="2143">
        <v>3</v>
      </c>
      <c r="F463" s="1637">
        <v>0</v>
      </c>
      <c r="G463" s="1638">
        <f t="shared" si="16"/>
        <v>0</v>
      </c>
    </row>
    <row r="464" spans="2:7" ht="36">
      <c r="B464" s="984" t="s">
        <v>1263</v>
      </c>
      <c r="C464" s="988" t="s">
        <v>1264</v>
      </c>
      <c r="D464" s="2142" t="s">
        <v>252</v>
      </c>
      <c r="E464" s="2143">
        <v>2</v>
      </c>
      <c r="F464" s="1637">
        <v>0</v>
      </c>
      <c r="G464" s="1638">
        <f t="shared" si="16"/>
        <v>0</v>
      </c>
    </row>
    <row r="465" spans="2:7" ht="24">
      <c r="B465" s="984" t="s">
        <v>1265</v>
      </c>
      <c r="C465" s="989" t="s">
        <v>1266</v>
      </c>
      <c r="D465" s="2142" t="s">
        <v>252</v>
      </c>
      <c r="E465" s="2143">
        <v>1</v>
      </c>
      <c r="F465" s="1637">
        <v>0</v>
      </c>
      <c r="G465" s="1638">
        <f t="shared" si="16"/>
        <v>0</v>
      </c>
    </row>
    <row r="466" spans="2:7" ht="24">
      <c r="B466" s="984" t="s">
        <v>1267</v>
      </c>
      <c r="C466" s="990" t="s">
        <v>1268</v>
      </c>
      <c r="D466" s="2142" t="s">
        <v>1221</v>
      </c>
      <c r="E466" s="2143">
        <v>1</v>
      </c>
      <c r="F466" s="1637">
        <v>0</v>
      </c>
      <c r="G466" s="1638">
        <f>F466*E466</f>
        <v>0</v>
      </c>
    </row>
    <row r="467" spans="2:7" ht="24">
      <c r="B467" s="984" t="s">
        <v>1269</v>
      </c>
      <c r="C467" s="990" t="s">
        <v>1270</v>
      </c>
      <c r="D467" s="2142" t="s">
        <v>1221</v>
      </c>
      <c r="E467" s="2143">
        <v>1</v>
      </c>
      <c r="F467" s="1637">
        <v>0</v>
      </c>
      <c r="G467" s="1638">
        <f>F467*E467</f>
        <v>0</v>
      </c>
    </row>
    <row r="468" spans="2:7" ht="84">
      <c r="B468" s="984" t="s">
        <v>1271</v>
      </c>
      <c r="C468" s="985" t="s">
        <v>1272</v>
      </c>
      <c r="D468" s="2142" t="s">
        <v>252</v>
      </c>
      <c r="E468" s="2143">
        <v>3</v>
      </c>
      <c r="F468" s="1637">
        <v>0</v>
      </c>
      <c r="G468" s="1638">
        <f t="shared" ref="G468:G473" si="17">E468*F468</f>
        <v>0</v>
      </c>
    </row>
    <row r="469" spans="2:7" ht="84">
      <c r="B469" s="984" t="s">
        <v>1273</v>
      </c>
      <c r="C469" s="985" t="s">
        <v>1274</v>
      </c>
      <c r="D469" s="2142" t="s">
        <v>252</v>
      </c>
      <c r="E469" s="2143">
        <v>1</v>
      </c>
      <c r="F469" s="1637">
        <v>0</v>
      </c>
      <c r="G469" s="1638">
        <f t="shared" si="17"/>
        <v>0</v>
      </c>
    </row>
    <row r="470" spans="2:7" ht="36">
      <c r="B470" s="984" t="s">
        <v>1275</v>
      </c>
      <c r="C470" s="988" t="s">
        <v>1276</v>
      </c>
      <c r="D470" s="2142" t="s">
        <v>252</v>
      </c>
      <c r="E470" s="2143">
        <v>3</v>
      </c>
      <c r="F470" s="1637">
        <v>0</v>
      </c>
      <c r="G470" s="1638">
        <f t="shared" si="17"/>
        <v>0</v>
      </c>
    </row>
    <row r="471" spans="2:7" ht="36">
      <c r="B471" s="984" t="s">
        <v>1277</v>
      </c>
      <c r="C471" s="988" t="s">
        <v>1278</v>
      </c>
      <c r="D471" s="2142" t="s">
        <v>1221</v>
      </c>
      <c r="E471" s="2143">
        <v>1</v>
      </c>
      <c r="F471" s="1637">
        <v>0</v>
      </c>
      <c r="G471" s="1638">
        <f t="shared" si="17"/>
        <v>0</v>
      </c>
    </row>
    <row r="472" spans="2:7" ht="48">
      <c r="B472" s="984" t="s">
        <v>1279</v>
      </c>
      <c r="C472" s="988" t="s">
        <v>643</v>
      </c>
      <c r="D472" s="2142" t="s">
        <v>1221</v>
      </c>
      <c r="E472" s="2143">
        <v>1</v>
      </c>
      <c r="F472" s="1637">
        <v>0</v>
      </c>
      <c r="G472" s="1638">
        <f t="shared" si="17"/>
        <v>0</v>
      </c>
    </row>
    <row r="473" spans="2:7" ht="108">
      <c r="B473" s="984" t="s">
        <v>1280</v>
      </c>
      <c r="C473" s="991" t="s">
        <v>635</v>
      </c>
      <c r="D473" s="2146" t="s">
        <v>252</v>
      </c>
      <c r="E473" s="2147">
        <v>1</v>
      </c>
      <c r="F473" s="1637">
        <v>0</v>
      </c>
      <c r="G473" s="1638">
        <f t="shared" si="17"/>
        <v>0</v>
      </c>
    </row>
    <row r="474" spans="2:7" ht="13.5" thickBot="1">
      <c r="B474" s="992"/>
      <c r="C474" s="993"/>
      <c r="D474" s="2148"/>
      <c r="E474" s="2149"/>
      <c r="F474" s="1640"/>
      <c r="G474" s="1641"/>
    </row>
    <row r="475" spans="2:7" ht="14.25" thickTop="1" thickBot="1">
      <c r="B475" s="994" t="s">
        <v>111</v>
      </c>
      <c r="C475" s="995" t="s">
        <v>1281</v>
      </c>
      <c r="D475" s="2150"/>
      <c r="E475" s="996"/>
      <c r="F475" s="1642"/>
      <c r="G475" s="1643">
        <f>SUM(G437:G473)</f>
        <v>0</v>
      </c>
    </row>
    <row r="476" spans="2:7" ht="13.5" thickTop="1">
      <c r="B476" s="998"/>
      <c r="C476" s="999"/>
      <c r="D476" s="2151"/>
      <c r="E476" s="2152"/>
      <c r="F476" s="1000"/>
      <c r="G476" s="1001"/>
    </row>
    <row r="477" spans="2:7">
      <c r="B477" s="1002"/>
      <c r="C477" s="1003"/>
      <c r="D477" s="2153"/>
      <c r="E477" s="2154"/>
      <c r="F477" s="1004"/>
      <c r="G477" s="1005"/>
    </row>
    <row r="478" spans="2:7">
      <c r="B478" s="979" t="s">
        <v>1282</v>
      </c>
      <c r="C478" s="980" t="s">
        <v>1283</v>
      </c>
      <c r="D478" s="2141"/>
      <c r="E478" s="981"/>
      <c r="F478" s="982"/>
      <c r="G478" s="983"/>
    </row>
    <row r="479" spans="2:7">
      <c r="B479" s="1006"/>
      <c r="C479" s="1007"/>
      <c r="D479" s="2155"/>
      <c r="E479" s="2156"/>
      <c r="F479" s="1008"/>
      <c r="G479" s="1009"/>
    </row>
    <row r="480" spans="2:7" ht="24">
      <c r="B480" s="984"/>
      <c r="C480" s="1010" t="s">
        <v>650</v>
      </c>
      <c r="D480" s="2146"/>
      <c r="E480" s="2147"/>
      <c r="F480" s="1011"/>
      <c r="G480" s="1012"/>
    </row>
    <row r="481" spans="2:8" ht="387.75" customHeight="1">
      <c r="B481" s="2262"/>
      <c r="C481" s="2263"/>
      <c r="D481" s="2264"/>
      <c r="E481" s="2265"/>
      <c r="F481" s="2266"/>
      <c r="G481" s="2254"/>
      <c r="H481" s="938"/>
    </row>
    <row r="482" spans="2:8" ht="24.75" customHeight="1">
      <c r="B482" s="2262"/>
      <c r="C482" s="2263" t="s">
        <v>2262</v>
      </c>
      <c r="D482" s="2267" t="s">
        <v>60</v>
      </c>
      <c r="E482" s="2265">
        <v>1</v>
      </c>
      <c r="F482" s="2266">
        <v>0</v>
      </c>
      <c r="G482" s="2254">
        <f t="shared" ref="G482" si="18">E482*F482</f>
        <v>0</v>
      </c>
      <c r="H482" s="938"/>
    </row>
    <row r="483" spans="2:8" ht="15.75" customHeight="1">
      <c r="B483" s="984"/>
      <c r="C483" s="1010" t="s">
        <v>1284</v>
      </c>
      <c r="D483" s="2146"/>
      <c r="E483" s="2147"/>
      <c r="F483" s="1637">
        <v>0</v>
      </c>
      <c r="G483" s="1637"/>
    </row>
    <row r="484" spans="2:8" ht="48">
      <c r="B484" s="984" t="s">
        <v>13</v>
      </c>
      <c r="C484" s="1013" t="s">
        <v>1285</v>
      </c>
      <c r="D484" s="2142" t="s">
        <v>252</v>
      </c>
      <c r="E484" s="2143">
        <v>1</v>
      </c>
      <c r="F484" s="1637">
        <v>0</v>
      </c>
      <c r="G484" s="1637">
        <f>E484*F484</f>
        <v>0</v>
      </c>
    </row>
    <row r="485" spans="2:8" ht="48">
      <c r="B485" s="984" t="s">
        <v>15</v>
      </c>
      <c r="C485" s="1013" t="s">
        <v>1286</v>
      </c>
      <c r="D485" s="2142" t="s">
        <v>252</v>
      </c>
      <c r="E485" s="2143">
        <v>1</v>
      </c>
      <c r="F485" s="1637">
        <v>0</v>
      </c>
      <c r="G485" s="1637">
        <f>E485*F485</f>
        <v>0</v>
      </c>
    </row>
    <row r="486" spans="2:8" ht="60">
      <c r="B486" s="984" t="s">
        <v>17</v>
      </c>
      <c r="C486" s="1013" t="s">
        <v>1287</v>
      </c>
      <c r="D486" s="2142" t="s">
        <v>252</v>
      </c>
      <c r="E486" s="2143">
        <v>1</v>
      </c>
      <c r="F486" s="1637">
        <v>0</v>
      </c>
      <c r="G486" s="1637">
        <f>E486*F486</f>
        <v>0</v>
      </c>
    </row>
    <row r="487" spans="2:8" ht="276">
      <c r="B487" s="984" t="s">
        <v>19</v>
      </c>
      <c r="C487" s="1014" t="s">
        <v>1288</v>
      </c>
      <c r="D487" s="2142" t="s">
        <v>1221</v>
      </c>
      <c r="E487" s="2143">
        <v>1</v>
      </c>
      <c r="F487" s="1637">
        <v>0</v>
      </c>
      <c r="G487" s="1637">
        <f>E487*F487</f>
        <v>0</v>
      </c>
    </row>
    <row r="488" spans="2:8" ht="12.75" customHeight="1">
      <c r="B488" s="986"/>
      <c r="C488" s="1015" t="s">
        <v>1289</v>
      </c>
      <c r="D488" s="2157"/>
      <c r="E488" s="2158"/>
      <c r="F488" s="1637"/>
      <c r="G488" s="1637"/>
    </row>
    <row r="489" spans="2:8" ht="192">
      <c r="B489" s="986" t="s">
        <v>21</v>
      </c>
      <c r="C489" s="1016" t="s">
        <v>1290</v>
      </c>
      <c r="D489" s="2157" t="s">
        <v>252</v>
      </c>
      <c r="E489" s="2158">
        <v>1</v>
      </c>
      <c r="F489" s="1637">
        <v>0</v>
      </c>
      <c r="G489" s="1637">
        <f>E489*F489</f>
        <v>0</v>
      </c>
    </row>
    <row r="490" spans="2:8" ht="71.25" customHeight="1">
      <c r="B490" s="984" t="s">
        <v>23</v>
      </c>
      <c r="C490" s="1016" t="s">
        <v>1291</v>
      </c>
      <c r="D490" s="2142" t="s">
        <v>252</v>
      </c>
      <c r="E490" s="2143">
        <v>1</v>
      </c>
      <c r="F490" s="1637">
        <v>0</v>
      </c>
      <c r="G490" s="1637">
        <f>E490*F490</f>
        <v>0</v>
      </c>
    </row>
    <row r="491" spans="2:8" ht="297" customHeight="1">
      <c r="B491" s="984" t="s">
        <v>25</v>
      </c>
      <c r="C491" s="1017" t="s">
        <v>1292</v>
      </c>
      <c r="D491" s="2142" t="s">
        <v>252</v>
      </c>
      <c r="E491" s="2143">
        <v>2</v>
      </c>
      <c r="F491" s="1637">
        <v>0</v>
      </c>
      <c r="G491" s="1637">
        <f>E491*F491</f>
        <v>0</v>
      </c>
    </row>
    <row r="492" spans="2:8">
      <c r="B492" s="1006" t="s">
        <v>864</v>
      </c>
      <c r="C492" s="1018" t="s">
        <v>1293</v>
      </c>
      <c r="D492" s="2142" t="s">
        <v>1221</v>
      </c>
      <c r="E492" s="2143">
        <v>1</v>
      </c>
      <c r="F492" s="1637">
        <v>0</v>
      </c>
      <c r="G492" s="1637">
        <f>E492*F492</f>
        <v>0</v>
      </c>
    </row>
    <row r="493" spans="2:8" ht="13.5" thickBot="1">
      <c r="B493" s="1019"/>
      <c r="C493" s="1020"/>
      <c r="D493" s="2159"/>
      <c r="E493" s="2160"/>
      <c r="F493" s="1021"/>
      <c r="G493" s="1022"/>
    </row>
    <row r="494" spans="2:8" ht="14.25" thickTop="1" thickBot="1">
      <c r="B494" s="994" t="s">
        <v>1282</v>
      </c>
      <c r="C494" s="1023" t="s">
        <v>1294</v>
      </c>
      <c r="D494" s="2150"/>
      <c r="E494" s="996"/>
      <c r="F494" s="997"/>
      <c r="G494" s="1643">
        <f>SUM(G480:G492)</f>
        <v>0</v>
      </c>
    </row>
    <row r="495" spans="2:8" ht="13.5" thickTop="1">
      <c r="B495" s="998"/>
      <c r="C495" s="999"/>
      <c r="D495" s="2151"/>
      <c r="E495" s="2152"/>
      <c r="F495" s="1000"/>
      <c r="G495" s="1001"/>
    </row>
    <row r="496" spans="2:8">
      <c r="B496" s="1002"/>
      <c r="C496" s="1003"/>
      <c r="D496" s="2153"/>
      <c r="E496" s="2154"/>
      <c r="F496" s="1004"/>
      <c r="G496" s="1005"/>
    </row>
    <row r="497" spans="2:7">
      <c r="B497" s="979" t="s">
        <v>1295</v>
      </c>
      <c r="C497" s="980" t="s">
        <v>1296</v>
      </c>
      <c r="D497" s="2141"/>
      <c r="E497" s="981"/>
      <c r="F497" s="982"/>
      <c r="G497" s="983"/>
    </row>
    <row r="498" spans="2:7">
      <c r="B498" s="1006"/>
      <c r="C498" s="1007"/>
      <c r="D498" s="2155"/>
      <c r="E498" s="2156"/>
      <c r="F498" s="1008"/>
      <c r="G498" s="1009"/>
    </row>
    <row r="499" spans="2:7" ht="60">
      <c r="B499" s="984" t="s">
        <v>11</v>
      </c>
      <c r="C499" s="144" t="s">
        <v>1297</v>
      </c>
      <c r="D499" s="2142" t="s">
        <v>252</v>
      </c>
      <c r="E499" s="2143">
        <v>1</v>
      </c>
      <c r="F499" s="1637">
        <v>0</v>
      </c>
      <c r="G499" s="1637">
        <f t="shared" ref="G499:G508" si="19">E499*F499</f>
        <v>0</v>
      </c>
    </row>
    <row r="500" spans="2:7" ht="48">
      <c r="B500" s="984" t="s">
        <v>13</v>
      </c>
      <c r="C500" s="144" t="s">
        <v>1298</v>
      </c>
      <c r="D500" s="2142" t="s">
        <v>252</v>
      </c>
      <c r="E500" s="2143">
        <v>1</v>
      </c>
      <c r="F500" s="1637">
        <v>0</v>
      </c>
      <c r="G500" s="1637">
        <f t="shared" si="19"/>
        <v>0</v>
      </c>
    </row>
    <row r="501" spans="2:7" ht="60">
      <c r="B501" s="984" t="s">
        <v>15</v>
      </c>
      <c r="C501" s="1024" t="s">
        <v>1299</v>
      </c>
      <c r="D501" s="2142" t="s">
        <v>252</v>
      </c>
      <c r="E501" s="2143">
        <v>2</v>
      </c>
      <c r="F501" s="1637">
        <v>0</v>
      </c>
      <c r="G501" s="1637">
        <f t="shared" si="19"/>
        <v>0</v>
      </c>
    </row>
    <row r="502" spans="2:7" ht="24">
      <c r="B502" s="984" t="s">
        <v>17</v>
      </c>
      <c r="C502" s="1025" t="s">
        <v>1300</v>
      </c>
      <c r="D502" s="2142" t="s">
        <v>252</v>
      </c>
      <c r="E502" s="2143">
        <v>1</v>
      </c>
      <c r="F502" s="1637">
        <v>0</v>
      </c>
      <c r="G502" s="1637">
        <f t="shared" si="19"/>
        <v>0</v>
      </c>
    </row>
    <row r="503" spans="2:7" ht="24">
      <c r="B503" s="984" t="s">
        <v>19</v>
      </c>
      <c r="C503" s="1025" t="s">
        <v>1301</v>
      </c>
      <c r="D503" s="2142" t="s">
        <v>252</v>
      </c>
      <c r="E503" s="2143">
        <v>1</v>
      </c>
      <c r="F503" s="1637">
        <v>0</v>
      </c>
      <c r="G503" s="1637">
        <f t="shared" si="19"/>
        <v>0</v>
      </c>
    </row>
    <row r="504" spans="2:7" ht="29.25" customHeight="1">
      <c r="B504" s="984" t="s">
        <v>21</v>
      </c>
      <c r="C504" s="1025" t="s">
        <v>1302</v>
      </c>
      <c r="D504" s="2142" t="s">
        <v>252</v>
      </c>
      <c r="E504" s="2143">
        <v>1</v>
      </c>
      <c r="F504" s="1637">
        <v>0</v>
      </c>
      <c r="G504" s="1637">
        <f t="shared" si="19"/>
        <v>0</v>
      </c>
    </row>
    <row r="505" spans="2:7" ht="240">
      <c r="B505" s="984" t="s">
        <v>23</v>
      </c>
      <c r="C505" s="1025" t="s">
        <v>1303</v>
      </c>
      <c r="D505" s="2142" t="s">
        <v>252</v>
      </c>
      <c r="E505" s="2143">
        <v>1</v>
      </c>
      <c r="F505" s="1637">
        <v>0</v>
      </c>
      <c r="G505" s="1637">
        <f t="shared" si="19"/>
        <v>0</v>
      </c>
    </row>
    <row r="506" spans="2:7" ht="60">
      <c r="B506" s="984" t="s">
        <v>25</v>
      </c>
      <c r="C506" s="1025" t="s">
        <v>1304</v>
      </c>
      <c r="D506" s="2142" t="s">
        <v>252</v>
      </c>
      <c r="E506" s="2143">
        <v>1</v>
      </c>
      <c r="F506" s="1637">
        <v>0</v>
      </c>
      <c r="G506" s="1637">
        <f t="shared" si="19"/>
        <v>0</v>
      </c>
    </row>
    <row r="507" spans="2:7">
      <c r="B507" s="984" t="s">
        <v>864</v>
      </c>
      <c r="C507" s="1025" t="s">
        <v>1305</v>
      </c>
      <c r="D507" s="2142" t="s">
        <v>252</v>
      </c>
      <c r="E507" s="2143">
        <v>1</v>
      </c>
      <c r="F507" s="1637">
        <v>0</v>
      </c>
      <c r="G507" s="1637">
        <f t="shared" si="19"/>
        <v>0</v>
      </c>
    </row>
    <row r="508" spans="2:7">
      <c r="B508" s="1006" t="s">
        <v>865</v>
      </c>
      <c r="C508" s="1018" t="s">
        <v>1306</v>
      </c>
      <c r="D508" s="2142" t="s">
        <v>1221</v>
      </c>
      <c r="E508" s="2143">
        <v>1</v>
      </c>
      <c r="F508" s="1637">
        <v>0</v>
      </c>
      <c r="G508" s="1637">
        <f t="shared" si="19"/>
        <v>0</v>
      </c>
    </row>
    <row r="509" spans="2:7" ht="13.5" thickBot="1">
      <c r="B509" s="992"/>
      <c r="C509" s="1026"/>
      <c r="D509" s="2148"/>
      <c r="E509" s="2149"/>
      <c r="F509" s="1027"/>
      <c r="G509" s="1028"/>
    </row>
    <row r="510" spans="2:7" ht="14.25" thickTop="1" thickBot="1">
      <c r="B510" s="994" t="s">
        <v>1295</v>
      </c>
      <c r="C510" s="1023" t="s">
        <v>1307</v>
      </c>
      <c r="D510" s="2150"/>
      <c r="E510" s="996"/>
      <c r="F510" s="997"/>
      <c r="G510" s="1643">
        <f>SUM(G499:G508)</f>
        <v>0</v>
      </c>
    </row>
    <row r="511" spans="2:7" ht="13.5" thickTop="1">
      <c r="B511" s="998"/>
      <c r="C511" s="999"/>
      <c r="D511" s="2151"/>
      <c r="E511" s="2152"/>
      <c r="F511" s="1000"/>
      <c r="G511" s="1001"/>
    </row>
    <row r="512" spans="2:7">
      <c r="B512" s="1029"/>
      <c r="C512" s="1030"/>
      <c r="D512" s="2161"/>
      <c r="E512" s="2162"/>
      <c r="F512" s="1031"/>
      <c r="G512" s="1032"/>
    </row>
    <row r="513" spans="2:7">
      <c r="B513" s="979" t="s">
        <v>413</v>
      </c>
      <c r="C513" s="980" t="s">
        <v>1308</v>
      </c>
      <c r="D513" s="2141"/>
      <c r="E513" s="981"/>
      <c r="F513" s="982"/>
      <c r="G513" s="983"/>
    </row>
    <row r="514" spans="2:7">
      <c r="B514" s="1006" t="s">
        <v>11</v>
      </c>
      <c r="C514" s="1018" t="s">
        <v>1309</v>
      </c>
      <c r="D514" s="2142" t="s">
        <v>397</v>
      </c>
      <c r="E514" s="2143">
        <v>40</v>
      </c>
      <c r="F514" s="1637">
        <v>0</v>
      </c>
      <c r="G514" s="1637">
        <f t="shared" ref="G514:G527" si="20">E514*F514</f>
        <v>0</v>
      </c>
    </row>
    <row r="515" spans="2:7">
      <c r="B515" s="1033" t="s">
        <v>13</v>
      </c>
      <c r="C515" s="1034" t="s">
        <v>1310</v>
      </c>
      <c r="D515" s="2145" t="s">
        <v>397</v>
      </c>
      <c r="E515" s="2144">
        <v>45</v>
      </c>
      <c r="F515" s="1637">
        <v>0</v>
      </c>
      <c r="G515" s="1637">
        <f t="shared" si="20"/>
        <v>0</v>
      </c>
    </row>
    <row r="516" spans="2:7">
      <c r="B516" s="1033" t="s">
        <v>15</v>
      </c>
      <c r="C516" s="1034" t="s">
        <v>1311</v>
      </c>
      <c r="D516" s="2145" t="s">
        <v>397</v>
      </c>
      <c r="E516" s="2144">
        <v>45</v>
      </c>
      <c r="F516" s="1637">
        <v>0</v>
      </c>
      <c r="G516" s="1637">
        <f t="shared" si="20"/>
        <v>0</v>
      </c>
    </row>
    <row r="517" spans="2:7">
      <c r="B517" s="1033" t="s">
        <v>17</v>
      </c>
      <c r="C517" s="1034" t="s">
        <v>1312</v>
      </c>
      <c r="D517" s="2145" t="s">
        <v>397</v>
      </c>
      <c r="E517" s="2144">
        <v>25</v>
      </c>
      <c r="F517" s="1637">
        <v>0</v>
      </c>
      <c r="G517" s="1637">
        <f t="shared" si="20"/>
        <v>0</v>
      </c>
    </row>
    <row r="518" spans="2:7">
      <c r="B518" s="1033" t="s">
        <v>19</v>
      </c>
      <c r="C518" s="1034" t="s">
        <v>1313</v>
      </c>
      <c r="D518" s="2145" t="s">
        <v>397</v>
      </c>
      <c r="E518" s="2144">
        <v>100</v>
      </c>
      <c r="F518" s="1637">
        <v>0</v>
      </c>
      <c r="G518" s="1637">
        <f t="shared" si="20"/>
        <v>0</v>
      </c>
    </row>
    <row r="519" spans="2:7">
      <c r="B519" s="1033" t="s">
        <v>21</v>
      </c>
      <c r="C519" s="1034" t="s">
        <v>1314</v>
      </c>
      <c r="D519" s="2145" t="s">
        <v>397</v>
      </c>
      <c r="E519" s="2144">
        <v>20</v>
      </c>
      <c r="F519" s="1637">
        <v>0</v>
      </c>
      <c r="G519" s="1637">
        <f t="shared" si="20"/>
        <v>0</v>
      </c>
    </row>
    <row r="520" spans="2:7">
      <c r="B520" s="1033" t="s">
        <v>23</v>
      </c>
      <c r="C520" s="1034" t="s">
        <v>1315</v>
      </c>
      <c r="D520" s="2145" t="s">
        <v>397</v>
      </c>
      <c r="E520" s="2144">
        <v>95</v>
      </c>
      <c r="F520" s="1637">
        <v>0</v>
      </c>
      <c r="G520" s="1637">
        <f t="shared" si="20"/>
        <v>0</v>
      </c>
    </row>
    <row r="521" spans="2:7">
      <c r="B521" s="1033" t="s">
        <v>25</v>
      </c>
      <c r="C521" s="1034" t="s">
        <v>1316</v>
      </c>
      <c r="D521" s="2145" t="s">
        <v>397</v>
      </c>
      <c r="E521" s="2144">
        <v>55</v>
      </c>
      <c r="F521" s="1637">
        <v>0</v>
      </c>
      <c r="G521" s="1637">
        <f t="shared" si="20"/>
        <v>0</v>
      </c>
    </row>
    <row r="522" spans="2:7">
      <c r="B522" s="1033" t="s">
        <v>864</v>
      </c>
      <c r="C522" s="1034" t="s">
        <v>1317</v>
      </c>
      <c r="D522" s="2145" t="s">
        <v>252</v>
      </c>
      <c r="E522" s="2144">
        <v>3</v>
      </c>
      <c r="F522" s="1637">
        <v>0</v>
      </c>
      <c r="G522" s="1637">
        <f t="shared" si="20"/>
        <v>0</v>
      </c>
    </row>
    <row r="523" spans="2:7">
      <c r="B523" s="1033" t="s">
        <v>865</v>
      </c>
      <c r="C523" s="1034" t="s">
        <v>1318</v>
      </c>
      <c r="D523" s="2145" t="s">
        <v>252</v>
      </c>
      <c r="E523" s="2144">
        <v>1</v>
      </c>
      <c r="F523" s="1637">
        <v>0</v>
      </c>
      <c r="G523" s="1637">
        <f t="shared" si="20"/>
        <v>0</v>
      </c>
    </row>
    <row r="524" spans="2:7">
      <c r="B524" s="1006" t="s">
        <v>866</v>
      </c>
      <c r="C524" s="1018" t="s">
        <v>1319</v>
      </c>
      <c r="D524" s="2142" t="s">
        <v>397</v>
      </c>
      <c r="E524" s="2143">
        <v>85</v>
      </c>
      <c r="F524" s="1637">
        <v>0</v>
      </c>
      <c r="G524" s="1637">
        <f t="shared" si="20"/>
        <v>0</v>
      </c>
    </row>
    <row r="525" spans="2:7">
      <c r="B525" s="1006" t="s">
        <v>1232</v>
      </c>
      <c r="C525" s="1018" t="s">
        <v>1320</v>
      </c>
      <c r="D525" s="2142" t="s">
        <v>397</v>
      </c>
      <c r="E525" s="2143">
        <v>50</v>
      </c>
      <c r="F525" s="1637">
        <v>0</v>
      </c>
      <c r="G525" s="1637">
        <f t="shared" si="20"/>
        <v>0</v>
      </c>
    </row>
    <row r="526" spans="2:7">
      <c r="B526" s="984" t="s">
        <v>1234</v>
      </c>
      <c r="C526" s="1018" t="s">
        <v>1321</v>
      </c>
      <c r="D526" s="2142" t="s">
        <v>397</v>
      </c>
      <c r="E526" s="2143">
        <v>50</v>
      </c>
      <c r="F526" s="1637">
        <v>0</v>
      </c>
      <c r="G526" s="1637">
        <f t="shared" si="20"/>
        <v>0</v>
      </c>
    </row>
    <row r="527" spans="2:7">
      <c r="B527" s="1006" t="s">
        <v>1236</v>
      </c>
      <c r="C527" s="1018" t="s">
        <v>1293</v>
      </c>
      <c r="D527" s="2142" t="s">
        <v>1221</v>
      </c>
      <c r="E527" s="2143">
        <v>1</v>
      </c>
      <c r="F527" s="1637">
        <v>0</v>
      </c>
      <c r="G527" s="1637">
        <f t="shared" si="20"/>
        <v>0</v>
      </c>
    </row>
    <row r="528" spans="2:7" ht="13.5" thickBot="1">
      <c r="B528" s="1006"/>
      <c r="C528" s="1035"/>
      <c r="D528" s="2155"/>
      <c r="E528" s="2156"/>
      <c r="F528" s="1008"/>
      <c r="G528" s="1009"/>
    </row>
    <row r="529" spans="2:7" ht="14.25" thickTop="1" thickBot="1">
      <c r="B529" s="994" t="s">
        <v>413</v>
      </c>
      <c r="C529" s="995" t="s">
        <v>1322</v>
      </c>
      <c r="D529" s="2150"/>
      <c r="E529" s="996"/>
      <c r="F529" s="997"/>
      <c r="G529" s="1643">
        <f>SUM(G514:G527)</f>
        <v>0</v>
      </c>
    </row>
    <row r="530" spans="2:7" ht="13.5" thickTop="1">
      <c r="B530" s="998"/>
      <c r="C530" s="999"/>
      <c r="D530" s="2151"/>
      <c r="E530" s="2152"/>
      <c r="F530" s="1000"/>
      <c r="G530" s="1001"/>
    </row>
    <row r="531" spans="2:7">
      <c r="B531" s="1029"/>
      <c r="C531" s="1030"/>
      <c r="D531" s="2161"/>
      <c r="E531" s="2162"/>
      <c r="F531" s="1031"/>
      <c r="G531" s="1032"/>
    </row>
    <row r="532" spans="2:7">
      <c r="B532" s="979" t="s">
        <v>1323</v>
      </c>
      <c r="C532" s="980" t="s">
        <v>1324</v>
      </c>
      <c r="D532" s="2141"/>
      <c r="E532" s="981"/>
      <c r="F532" s="982"/>
      <c r="G532" s="983"/>
    </row>
    <row r="533" spans="2:7">
      <c r="B533" s="984" t="s">
        <v>11</v>
      </c>
      <c r="C533" s="1018" t="s">
        <v>1325</v>
      </c>
      <c r="D533" s="2142" t="s">
        <v>397</v>
      </c>
      <c r="E533" s="2143">
        <v>75</v>
      </c>
      <c r="F533" s="1637">
        <v>0</v>
      </c>
      <c r="G533" s="1637">
        <f t="shared" ref="G533:G541" si="21">E533*F533</f>
        <v>0</v>
      </c>
    </row>
    <row r="534" spans="2:7" ht="36">
      <c r="B534" s="984" t="s">
        <v>13</v>
      </c>
      <c r="C534" s="1018" t="s">
        <v>1326</v>
      </c>
      <c r="D534" s="2142" t="s">
        <v>1221</v>
      </c>
      <c r="E534" s="2143">
        <v>1</v>
      </c>
      <c r="F534" s="1637">
        <v>0</v>
      </c>
      <c r="G534" s="1637">
        <f t="shared" si="21"/>
        <v>0</v>
      </c>
    </row>
    <row r="535" spans="2:7" ht="24">
      <c r="B535" s="984" t="s">
        <v>15</v>
      </c>
      <c r="C535" s="1018" t="s">
        <v>1327</v>
      </c>
      <c r="D535" s="2142" t="s">
        <v>1221</v>
      </c>
      <c r="E535" s="2143">
        <v>1</v>
      </c>
      <c r="F535" s="1637">
        <v>0</v>
      </c>
      <c r="G535" s="1637">
        <f t="shared" si="21"/>
        <v>0</v>
      </c>
    </row>
    <row r="536" spans="2:7">
      <c r="B536" s="984" t="s">
        <v>17</v>
      </c>
      <c r="C536" s="1018" t="s">
        <v>1328</v>
      </c>
      <c r="D536" s="2142" t="s">
        <v>397</v>
      </c>
      <c r="E536" s="2143">
        <v>30</v>
      </c>
      <c r="F536" s="1637">
        <v>0</v>
      </c>
      <c r="G536" s="1637">
        <f t="shared" si="21"/>
        <v>0</v>
      </c>
    </row>
    <row r="537" spans="2:7" ht="24">
      <c r="B537" s="984" t="s">
        <v>19</v>
      </c>
      <c r="C537" s="1018" t="s">
        <v>1329</v>
      </c>
      <c r="D537" s="2142" t="s">
        <v>397</v>
      </c>
      <c r="E537" s="2143">
        <v>85</v>
      </c>
      <c r="F537" s="1637">
        <v>0</v>
      </c>
      <c r="G537" s="1637">
        <f t="shared" si="21"/>
        <v>0</v>
      </c>
    </row>
    <row r="538" spans="2:7">
      <c r="B538" s="984" t="s">
        <v>21</v>
      </c>
      <c r="C538" s="1018" t="s">
        <v>1330</v>
      </c>
      <c r="D538" s="2142" t="s">
        <v>252</v>
      </c>
      <c r="E538" s="2143">
        <v>4</v>
      </c>
      <c r="F538" s="1637">
        <v>0</v>
      </c>
      <c r="G538" s="1637">
        <f t="shared" si="21"/>
        <v>0</v>
      </c>
    </row>
    <row r="539" spans="2:7">
      <c r="B539" s="984" t="s">
        <v>23</v>
      </c>
      <c r="C539" s="1018" t="s">
        <v>1331</v>
      </c>
      <c r="D539" s="2142" t="s">
        <v>252</v>
      </c>
      <c r="E539" s="2143">
        <v>6</v>
      </c>
      <c r="F539" s="1637">
        <v>0</v>
      </c>
      <c r="G539" s="1637">
        <f t="shared" si="21"/>
        <v>0</v>
      </c>
    </row>
    <row r="540" spans="2:7">
      <c r="B540" s="984" t="s">
        <v>25</v>
      </c>
      <c r="C540" s="1018" t="s">
        <v>1332</v>
      </c>
      <c r="D540" s="2142" t="s">
        <v>1221</v>
      </c>
      <c r="E540" s="2143">
        <v>10</v>
      </c>
      <c r="F540" s="1637">
        <v>0</v>
      </c>
      <c r="G540" s="1637">
        <f t="shared" si="21"/>
        <v>0</v>
      </c>
    </row>
    <row r="541" spans="2:7">
      <c r="B541" s="984" t="s">
        <v>864</v>
      </c>
      <c r="C541" s="1018" t="s">
        <v>1333</v>
      </c>
      <c r="D541" s="2142" t="s">
        <v>1221</v>
      </c>
      <c r="E541" s="2143">
        <v>1</v>
      </c>
      <c r="F541" s="1637">
        <v>0</v>
      </c>
      <c r="G541" s="1637">
        <f t="shared" si="21"/>
        <v>0</v>
      </c>
    </row>
    <row r="542" spans="2:7" ht="13.5" thickBot="1">
      <c r="B542" s="1006"/>
      <c r="C542" s="1036"/>
      <c r="D542" s="2163"/>
      <c r="E542" s="2164"/>
      <c r="F542" s="1037"/>
      <c r="G542" s="1038"/>
    </row>
    <row r="543" spans="2:7" ht="14.25" thickTop="1" thickBot="1">
      <c r="B543" s="994" t="s">
        <v>1323</v>
      </c>
      <c r="C543" s="995" t="s">
        <v>1324</v>
      </c>
      <c r="D543" s="2150"/>
      <c r="E543" s="996"/>
      <c r="F543" s="997"/>
      <c r="G543" s="1643">
        <f>SUM(G533:G541)</f>
        <v>0</v>
      </c>
    </row>
    <row r="544" spans="2:7" ht="13.5" thickTop="1">
      <c r="B544" s="998"/>
      <c r="C544" s="999"/>
      <c r="D544" s="2151"/>
      <c r="E544" s="2152"/>
      <c r="F544" s="1000"/>
      <c r="G544" s="1001"/>
    </row>
    <row r="545" spans="2:7">
      <c r="B545" s="1029"/>
      <c r="C545" s="1030"/>
      <c r="D545" s="2161"/>
      <c r="E545" s="2162"/>
      <c r="F545" s="1039"/>
      <c r="G545" s="1040"/>
    </row>
    <row r="546" spans="2:7">
      <c r="B546" s="979" t="s">
        <v>414</v>
      </c>
      <c r="C546" s="980" t="s">
        <v>1334</v>
      </c>
      <c r="D546" s="2141"/>
      <c r="E546" s="981"/>
      <c r="F546" s="982"/>
      <c r="G546" s="983"/>
    </row>
    <row r="547" spans="2:7" ht="24">
      <c r="B547" s="984" t="s">
        <v>11</v>
      </c>
      <c r="C547" s="1018" t="s">
        <v>1335</v>
      </c>
      <c r="D547" s="2142" t="s">
        <v>397</v>
      </c>
      <c r="E547" s="2143">
        <v>75</v>
      </c>
      <c r="F547" s="1637">
        <v>0</v>
      </c>
      <c r="G547" s="1637">
        <f t="shared" ref="G547:G556" si="22">E547*F547</f>
        <v>0</v>
      </c>
    </row>
    <row r="548" spans="2:7" ht="24">
      <c r="B548" s="984" t="s">
        <v>13</v>
      </c>
      <c r="C548" s="1018" t="s">
        <v>1336</v>
      </c>
      <c r="D548" s="2142" t="s">
        <v>252</v>
      </c>
      <c r="E548" s="2143">
        <v>2</v>
      </c>
      <c r="F548" s="1637">
        <v>0</v>
      </c>
      <c r="G548" s="1637">
        <f t="shared" si="22"/>
        <v>0</v>
      </c>
    </row>
    <row r="549" spans="2:7">
      <c r="B549" s="984" t="s">
        <v>15</v>
      </c>
      <c r="C549" s="1018" t="s">
        <v>1337</v>
      </c>
      <c r="D549" s="2142" t="s">
        <v>252</v>
      </c>
      <c r="E549" s="2143">
        <v>2</v>
      </c>
      <c r="F549" s="1637">
        <v>0</v>
      </c>
      <c r="G549" s="1637">
        <f t="shared" si="22"/>
        <v>0</v>
      </c>
    </row>
    <row r="550" spans="2:7">
      <c r="B550" s="984" t="s">
        <v>17</v>
      </c>
      <c r="C550" s="1018" t="s">
        <v>1338</v>
      </c>
      <c r="D550" s="2142" t="s">
        <v>252</v>
      </c>
      <c r="E550" s="2143">
        <v>4</v>
      </c>
      <c r="F550" s="1637">
        <v>0</v>
      </c>
      <c r="G550" s="1637">
        <f t="shared" si="22"/>
        <v>0</v>
      </c>
    </row>
    <row r="551" spans="2:7" ht="24">
      <c r="B551" s="984" t="s">
        <v>19</v>
      </c>
      <c r="C551" s="1018" t="s">
        <v>1339</v>
      </c>
      <c r="D551" s="2142" t="s">
        <v>252</v>
      </c>
      <c r="E551" s="2143">
        <v>4</v>
      </c>
      <c r="F551" s="1637">
        <v>0</v>
      </c>
      <c r="G551" s="1637">
        <f t="shared" si="22"/>
        <v>0</v>
      </c>
    </row>
    <row r="552" spans="2:7" ht="24">
      <c r="B552" s="984" t="s">
        <v>21</v>
      </c>
      <c r="C552" s="1018" t="s">
        <v>1340</v>
      </c>
      <c r="D552" s="2142" t="s">
        <v>252</v>
      </c>
      <c r="E552" s="2143">
        <v>10</v>
      </c>
      <c r="F552" s="1637">
        <v>0</v>
      </c>
      <c r="G552" s="1637">
        <f t="shared" si="22"/>
        <v>0</v>
      </c>
    </row>
    <row r="553" spans="2:7">
      <c r="B553" s="984" t="s">
        <v>23</v>
      </c>
      <c r="C553" s="1018" t="s">
        <v>1341</v>
      </c>
      <c r="D553" s="2142" t="s">
        <v>252</v>
      </c>
      <c r="E553" s="2143">
        <v>18</v>
      </c>
      <c r="F553" s="1637">
        <v>0</v>
      </c>
      <c r="G553" s="1637">
        <f t="shared" si="22"/>
        <v>0</v>
      </c>
    </row>
    <row r="554" spans="2:7" ht="24">
      <c r="B554" s="984" t="s">
        <v>25</v>
      </c>
      <c r="C554" s="1018" t="s">
        <v>1342</v>
      </c>
      <c r="D554" s="2142" t="s">
        <v>252</v>
      </c>
      <c r="E554" s="2143">
        <v>34</v>
      </c>
      <c r="F554" s="1637">
        <v>0</v>
      </c>
      <c r="G554" s="1637">
        <f t="shared" si="22"/>
        <v>0</v>
      </c>
    </row>
    <row r="555" spans="2:7">
      <c r="B555" s="984" t="s">
        <v>864</v>
      </c>
      <c r="C555" s="1018" t="s">
        <v>1343</v>
      </c>
      <c r="D555" s="2142" t="s">
        <v>252</v>
      </c>
      <c r="E555" s="2143">
        <v>2</v>
      </c>
      <c r="F555" s="1637">
        <v>0</v>
      </c>
      <c r="G555" s="1637">
        <f t="shared" si="22"/>
        <v>0</v>
      </c>
    </row>
    <row r="556" spans="2:7">
      <c r="B556" s="984" t="s">
        <v>865</v>
      </c>
      <c r="C556" s="1018" t="s">
        <v>1333</v>
      </c>
      <c r="D556" s="2142" t="s">
        <v>1221</v>
      </c>
      <c r="E556" s="2143">
        <v>1</v>
      </c>
      <c r="F556" s="1637">
        <v>0</v>
      </c>
      <c r="G556" s="1637">
        <f t="shared" si="22"/>
        <v>0</v>
      </c>
    </row>
    <row r="557" spans="2:7" ht="13.5" thickBot="1">
      <c r="B557" s="992"/>
      <c r="C557" s="1041"/>
      <c r="D557" s="2165"/>
      <c r="E557" s="2166"/>
      <c r="F557" s="1042"/>
      <c r="G557" s="1043"/>
    </row>
    <row r="558" spans="2:7" ht="14.25" thickTop="1" thickBot="1">
      <c r="B558" s="994" t="s">
        <v>414</v>
      </c>
      <c r="C558" s="995" t="s">
        <v>1334</v>
      </c>
      <c r="D558" s="2150"/>
      <c r="E558" s="996"/>
      <c r="F558" s="997"/>
      <c r="G558" s="1643">
        <f>SUM(G547:G556)</f>
        <v>0</v>
      </c>
    </row>
    <row r="559" spans="2:7" ht="13.5" thickTop="1">
      <c r="B559" s="998"/>
      <c r="C559" s="999"/>
      <c r="D559" s="2151"/>
      <c r="E559" s="2152"/>
      <c r="F559" s="1000"/>
      <c r="G559" s="1001"/>
    </row>
    <row r="560" spans="2:7">
      <c r="B560" s="1029"/>
      <c r="C560" s="1030"/>
      <c r="D560" s="2161"/>
      <c r="E560" s="2162"/>
      <c r="F560" s="1031"/>
      <c r="G560" s="1032"/>
    </row>
    <row r="561" spans="2:7">
      <c r="B561" s="979" t="s">
        <v>416</v>
      </c>
      <c r="C561" s="980" t="s">
        <v>1344</v>
      </c>
      <c r="D561" s="2141"/>
      <c r="E561" s="981"/>
      <c r="F561" s="982"/>
      <c r="G561" s="983"/>
    </row>
    <row r="562" spans="2:7" ht="36">
      <c r="B562" s="984" t="s">
        <v>11</v>
      </c>
      <c r="C562" s="1018" t="s">
        <v>1345</v>
      </c>
      <c r="D562" s="2142" t="s">
        <v>397</v>
      </c>
      <c r="E562" s="2143">
        <v>21</v>
      </c>
      <c r="F562" s="1637">
        <v>0</v>
      </c>
      <c r="G562" s="1637">
        <f t="shared" ref="G562:G574" si="23">E562*F562</f>
        <v>0</v>
      </c>
    </row>
    <row r="563" spans="2:7" ht="37.5" customHeight="1">
      <c r="B563" s="984" t="s">
        <v>13</v>
      </c>
      <c r="C563" s="1018" t="s">
        <v>1346</v>
      </c>
      <c r="D563" s="2142" t="s">
        <v>397</v>
      </c>
      <c r="E563" s="2143">
        <v>15</v>
      </c>
      <c r="F563" s="1637">
        <v>0</v>
      </c>
      <c r="G563" s="1637">
        <f t="shared" si="23"/>
        <v>0</v>
      </c>
    </row>
    <row r="564" spans="2:7">
      <c r="B564" s="984" t="s">
        <v>15</v>
      </c>
      <c r="C564" s="1018" t="s">
        <v>1347</v>
      </c>
      <c r="D564" s="2142" t="s">
        <v>397</v>
      </c>
      <c r="E564" s="2143">
        <v>50</v>
      </c>
      <c r="F564" s="1637">
        <v>0</v>
      </c>
      <c r="G564" s="1637">
        <f t="shared" si="23"/>
        <v>0</v>
      </c>
    </row>
    <row r="565" spans="2:7">
      <c r="B565" s="984" t="s">
        <v>17</v>
      </c>
      <c r="C565" s="1018" t="s">
        <v>1348</v>
      </c>
      <c r="D565" s="2142" t="s">
        <v>397</v>
      </c>
      <c r="E565" s="2143">
        <v>30</v>
      </c>
      <c r="F565" s="1637">
        <v>0</v>
      </c>
      <c r="G565" s="1637">
        <f t="shared" si="23"/>
        <v>0</v>
      </c>
    </row>
    <row r="566" spans="2:7">
      <c r="B566" s="984" t="s">
        <v>19</v>
      </c>
      <c r="C566" s="1018" t="s">
        <v>1349</v>
      </c>
      <c r="D566" s="2142" t="s">
        <v>252</v>
      </c>
      <c r="E566" s="2143">
        <v>1</v>
      </c>
      <c r="F566" s="1637">
        <v>0</v>
      </c>
      <c r="G566" s="1637">
        <f t="shared" si="23"/>
        <v>0</v>
      </c>
    </row>
    <row r="567" spans="2:7" ht="48">
      <c r="B567" s="984" t="s">
        <v>21</v>
      </c>
      <c r="C567" s="988" t="s">
        <v>1350</v>
      </c>
      <c r="D567" s="2142" t="s">
        <v>252</v>
      </c>
      <c r="E567" s="2143">
        <v>2</v>
      </c>
      <c r="F567" s="1637">
        <v>0</v>
      </c>
      <c r="G567" s="1637">
        <f t="shared" si="23"/>
        <v>0</v>
      </c>
    </row>
    <row r="568" spans="2:7" ht="24">
      <c r="B568" s="984" t="s">
        <v>23</v>
      </c>
      <c r="C568" s="988" t="s">
        <v>1351</v>
      </c>
      <c r="D568" s="2142" t="s">
        <v>252</v>
      </c>
      <c r="E568" s="2143">
        <v>1</v>
      </c>
      <c r="F568" s="1637">
        <v>0</v>
      </c>
      <c r="G568" s="1637">
        <f t="shared" si="23"/>
        <v>0</v>
      </c>
    </row>
    <row r="569" spans="2:7" ht="24">
      <c r="B569" s="984" t="s">
        <v>25</v>
      </c>
      <c r="C569" s="988" t="s">
        <v>1352</v>
      </c>
      <c r="D569" s="2142" t="s">
        <v>252</v>
      </c>
      <c r="E569" s="2143">
        <v>2</v>
      </c>
      <c r="F569" s="1637">
        <v>0</v>
      </c>
      <c r="G569" s="1637">
        <f t="shared" si="23"/>
        <v>0</v>
      </c>
    </row>
    <row r="570" spans="2:7" ht="24">
      <c r="B570" s="984" t="s">
        <v>864</v>
      </c>
      <c r="C570" s="1018" t="s">
        <v>1353</v>
      </c>
      <c r="D570" s="2142" t="s">
        <v>252</v>
      </c>
      <c r="E570" s="2143">
        <v>6</v>
      </c>
      <c r="F570" s="1637">
        <v>0</v>
      </c>
      <c r="G570" s="1637">
        <f t="shared" si="23"/>
        <v>0</v>
      </c>
    </row>
    <row r="571" spans="2:7" ht="24">
      <c r="B571" s="984" t="s">
        <v>865</v>
      </c>
      <c r="C571" s="1018" t="s">
        <v>1354</v>
      </c>
      <c r="D571" s="2142" t="s">
        <v>252</v>
      </c>
      <c r="E571" s="2143">
        <v>1</v>
      </c>
      <c r="F571" s="1637">
        <v>0</v>
      </c>
      <c r="G571" s="1637">
        <f t="shared" si="23"/>
        <v>0</v>
      </c>
    </row>
    <row r="572" spans="2:7">
      <c r="B572" s="984" t="s">
        <v>866</v>
      </c>
      <c r="C572" s="1018" t="s">
        <v>1355</v>
      </c>
      <c r="D572" s="2142" t="s">
        <v>252</v>
      </c>
      <c r="E572" s="2143">
        <v>1</v>
      </c>
      <c r="F572" s="1637">
        <v>0</v>
      </c>
      <c r="G572" s="1637">
        <f t="shared" si="23"/>
        <v>0</v>
      </c>
    </row>
    <row r="573" spans="2:7">
      <c r="B573" s="984" t="s">
        <v>1232</v>
      </c>
      <c r="C573" s="1018" t="s">
        <v>1356</v>
      </c>
      <c r="D573" s="2142" t="s">
        <v>252</v>
      </c>
      <c r="E573" s="2143">
        <v>2</v>
      </c>
      <c r="F573" s="1637">
        <v>0</v>
      </c>
      <c r="G573" s="1637">
        <f t="shared" si="23"/>
        <v>0</v>
      </c>
    </row>
    <row r="574" spans="2:7">
      <c r="B574" s="984" t="s">
        <v>1234</v>
      </c>
      <c r="C574" s="1018" t="s">
        <v>1333</v>
      </c>
      <c r="D574" s="2142" t="s">
        <v>252</v>
      </c>
      <c r="E574" s="2143">
        <v>1</v>
      </c>
      <c r="F574" s="1637">
        <v>0</v>
      </c>
      <c r="G574" s="1637">
        <f t="shared" si="23"/>
        <v>0</v>
      </c>
    </row>
    <row r="575" spans="2:7" ht="13.5" thickBot="1">
      <c r="B575" s="1006"/>
      <c r="C575" s="1044"/>
      <c r="D575" s="2163"/>
      <c r="E575" s="2164"/>
      <c r="F575" s="1045"/>
      <c r="G575" s="1046"/>
    </row>
    <row r="576" spans="2:7" ht="14.25" thickTop="1" thickBot="1">
      <c r="B576" s="994" t="s">
        <v>416</v>
      </c>
      <c r="C576" s="995" t="s">
        <v>1344</v>
      </c>
      <c r="D576" s="2150"/>
      <c r="E576" s="996"/>
      <c r="F576" s="997"/>
      <c r="G576" s="1643">
        <f>SUM(G562:G574)</f>
        <v>0</v>
      </c>
    </row>
    <row r="577" spans="2:7" ht="13.5" thickTop="1">
      <c r="B577" s="998"/>
      <c r="C577" s="999"/>
      <c r="D577" s="2151"/>
      <c r="E577" s="2152"/>
      <c r="F577" s="1000"/>
      <c r="G577" s="1001"/>
    </row>
    <row r="578" spans="2:7">
      <c r="B578" s="1029"/>
      <c r="C578" s="1030"/>
      <c r="D578" s="2161"/>
      <c r="E578" s="2162"/>
      <c r="F578" s="1031"/>
      <c r="G578" s="1032"/>
    </row>
    <row r="579" spans="2:7">
      <c r="B579" s="979" t="s">
        <v>418</v>
      </c>
      <c r="C579" s="980" t="s">
        <v>1357</v>
      </c>
      <c r="D579" s="2141"/>
      <c r="E579" s="981"/>
      <c r="F579" s="982"/>
      <c r="G579" s="983"/>
    </row>
    <row r="580" spans="2:7">
      <c r="B580" s="984" t="s">
        <v>11</v>
      </c>
      <c r="C580" s="1047" t="s">
        <v>1358</v>
      </c>
      <c r="D580" s="2142" t="s">
        <v>1359</v>
      </c>
      <c r="E580" s="2143">
        <v>12</v>
      </c>
      <c r="F580" s="1637">
        <v>0</v>
      </c>
      <c r="G580" s="1637">
        <f>E580*F580</f>
        <v>0</v>
      </c>
    </row>
    <row r="581" spans="2:7">
      <c r="B581" s="984" t="s">
        <v>13</v>
      </c>
      <c r="C581" s="1047" t="s">
        <v>1360</v>
      </c>
      <c r="D581" s="2142" t="s">
        <v>1359</v>
      </c>
      <c r="E581" s="2143">
        <v>1</v>
      </c>
      <c r="F581" s="1637">
        <v>0</v>
      </c>
      <c r="G581" s="1637">
        <f>E581*F581</f>
        <v>0</v>
      </c>
    </row>
    <row r="582" spans="2:7" ht="72">
      <c r="B582" s="984" t="s">
        <v>15</v>
      </c>
      <c r="C582" s="1048" t="s">
        <v>1361</v>
      </c>
      <c r="D582" s="2142" t="s">
        <v>1359</v>
      </c>
      <c r="E582" s="2143">
        <v>1</v>
      </c>
      <c r="F582" s="1637">
        <v>0</v>
      </c>
      <c r="G582" s="1637">
        <f t="shared" ref="G582:G587" si="24">E582*F582</f>
        <v>0</v>
      </c>
    </row>
    <row r="583" spans="2:7" ht="84">
      <c r="B583" s="984" t="s">
        <v>17</v>
      </c>
      <c r="C583" s="1049" t="s">
        <v>1362</v>
      </c>
      <c r="D583" s="2142" t="s">
        <v>1359</v>
      </c>
      <c r="E583" s="2143">
        <v>1</v>
      </c>
      <c r="F583" s="1637">
        <v>0</v>
      </c>
      <c r="G583" s="1637">
        <f t="shared" si="24"/>
        <v>0</v>
      </c>
    </row>
    <row r="584" spans="2:7" ht="48">
      <c r="B584" s="984" t="s">
        <v>19</v>
      </c>
      <c r="C584" s="1050" t="s">
        <v>1363</v>
      </c>
      <c r="D584" s="2142" t="s">
        <v>1359</v>
      </c>
      <c r="E584" s="2143">
        <v>1</v>
      </c>
      <c r="F584" s="1637">
        <v>0</v>
      </c>
      <c r="G584" s="1637">
        <f t="shared" si="24"/>
        <v>0</v>
      </c>
    </row>
    <row r="585" spans="2:7" ht="36">
      <c r="B585" s="984" t="s">
        <v>21</v>
      </c>
      <c r="C585" s="1049" t="s">
        <v>1364</v>
      </c>
      <c r="D585" s="2142" t="s">
        <v>1359</v>
      </c>
      <c r="E585" s="2143">
        <v>1</v>
      </c>
      <c r="F585" s="1637">
        <v>0</v>
      </c>
      <c r="G585" s="1637">
        <f t="shared" si="24"/>
        <v>0</v>
      </c>
    </row>
    <row r="586" spans="2:7" ht="36">
      <c r="B586" s="984" t="s">
        <v>23</v>
      </c>
      <c r="C586" s="1049" t="s">
        <v>1365</v>
      </c>
      <c r="D586" s="2142" t="s">
        <v>1359</v>
      </c>
      <c r="E586" s="2143">
        <v>1</v>
      </c>
      <c r="F586" s="1637">
        <v>0</v>
      </c>
      <c r="G586" s="1637">
        <f t="shared" si="24"/>
        <v>0</v>
      </c>
    </row>
    <row r="587" spans="2:7" ht="36">
      <c r="B587" s="984" t="s">
        <v>25</v>
      </c>
      <c r="C587" s="1049" t="s">
        <v>1366</v>
      </c>
      <c r="D587" s="2142" t="s">
        <v>1359</v>
      </c>
      <c r="E587" s="2143">
        <v>1</v>
      </c>
      <c r="F587" s="1637">
        <v>0</v>
      </c>
      <c r="G587" s="1637">
        <f t="shared" si="24"/>
        <v>0</v>
      </c>
    </row>
    <row r="588" spans="2:7" ht="13.5" thickBot="1">
      <c r="B588" s="1006"/>
      <c r="C588" s="1051"/>
      <c r="D588" s="2163"/>
      <c r="E588" s="2164"/>
      <c r="F588" s="1052"/>
      <c r="G588" s="1038"/>
    </row>
    <row r="589" spans="2:7" ht="14.25" thickTop="1" thickBot="1">
      <c r="B589" s="1053" t="s">
        <v>418</v>
      </c>
      <c r="C589" s="995" t="s">
        <v>1357</v>
      </c>
      <c r="D589" s="2150"/>
      <c r="E589" s="996"/>
      <c r="F589" s="997"/>
      <c r="G589" s="1643">
        <f>SUM(G580:G587)</f>
        <v>0</v>
      </c>
    </row>
    <row r="590" spans="2:7" ht="13.5" thickTop="1">
      <c r="B590" s="1054"/>
      <c r="C590" s="1055"/>
      <c r="D590" s="2167"/>
      <c r="E590" s="1056"/>
      <c r="F590" s="1057"/>
      <c r="G590" s="1058"/>
    </row>
    <row r="591" spans="2:7">
      <c r="B591" s="1059"/>
      <c r="C591" s="1060"/>
      <c r="D591" s="2168"/>
      <c r="E591" s="2169"/>
      <c r="F591" s="1061"/>
      <c r="G591" s="1062"/>
    </row>
    <row r="592" spans="2:7">
      <c r="B592" s="1063" t="s">
        <v>419</v>
      </c>
      <c r="C592" s="1064" t="s">
        <v>1367</v>
      </c>
      <c r="D592" s="2170"/>
      <c r="E592" s="2171"/>
      <c r="F592" s="1065"/>
      <c r="G592" s="1066"/>
    </row>
    <row r="593" spans="2:7" ht="36">
      <c r="B593" s="1067" t="s">
        <v>11</v>
      </c>
      <c r="C593" s="1068" t="s">
        <v>1368</v>
      </c>
      <c r="D593" s="2172" t="s">
        <v>1359</v>
      </c>
      <c r="E593" s="2173">
        <v>1</v>
      </c>
      <c r="F593" s="1637">
        <v>0</v>
      </c>
      <c r="G593" s="1637">
        <f t="shared" ref="G593:G603" si="25">E593*F593</f>
        <v>0</v>
      </c>
    </row>
    <row r="594" spans="2:7">
      <c r="B594" s="1067" t="s">
        <v>13</v>
      </c>
      <c r="C594" s="1068" t="s">
        <v>1369</v>
      </c>
      <c r="D594" s="2172" t="s">
        <v>1359</v>
      </c>
      <c r="E594" s="2173">
        <v>3</v>
      </c>
      <c r="F594" s="1637">
        <v>0</v>
      </c>
      <c r="G594" s="1637">
        <f t="shared" si="25"/>
        <v>0</v>
      </c>
    </row>
    <row r="595" spans="2:7">
      <c r="B595" s="1067" t="s">
        <v>15</v>
      </c>
      <c r="C595" s="1068" t="s">
        <v>1370</v>
      </c>
      <c r="D595" s="2172" t="s">
        <v>397</v>
      </c>
      <c r="E595" s="2173">
        <v>20</v>
      </c>
      <c r="F595" s="1637">
        <v>0</v>
      </c>
      <c r="G595" s="1637">
        <f t="shared" si="25"/>
        <v>0</v>
      </c>
    </row>
    <row r="596" spans="2:7">
      <c r="B596" s="1067" t="s">
        <v>17</v>
      </c>
      <c r="C596" s="1068" t="s">
        <v>1371</v>
      </c>
      <c r="D596" s="2172" t="s">
        <v>397</v>
      </c>
      <c r="E596" s="2173">
        <v>120</v>
      </c>
      <c r="F596" s="1637">
        <v>0</v>
      </c>
      <c r="G596" s="1637">
        <f t="shared" si="25"/>
        <v>0</v>
      </c>
    </row>
    <row r="597" spans="2:7">
      <c r="B597" s="1067" t="s">
        <v>19</v>
      </c>
      <c r="C597" s="1068" t="s">
        <v>1372</v>
      </c>
      <c r="D597" s="2172" t="s">
        <v>397</v>
      </c>
      <c r="E597" s="2173">
        <v>120</v>
      </c>
      <c r="F597" s="1637">
        <v>0</v>
      </c>
      <c r="G597" s="1637">
        <f t="shared" si="25"/>
        <v>0</v>
      </c>
    </row>
    <row r="598" spans="2:7">
      <c r="B598" s="1067" t="s">
        <v>21</v>
      </c>
      <c r="C598" s="1068" t="s">
        <v>1373</v>
      </c>
      <c r="D598" s="2172" t="s">
        <v>397</v>
      </c>
      <c r="E598" s="2173">
        <v>125</v>
      </c>
      <c r="F598" s="1637">
        <v>0</v>
      </c>
      <c r="G598" s="1637">
        <f t="shared" si="25"/>
        <v>0</v>
      </c>
    </row>
    <row r="599" spans="2:7">
      <c r="B599" s="1067" t="s">
        <v>23</v>
      </c>
      <c r="C599" s="1068" t="s">
        <v>1374</v>
      </c>
      <c r="D599" s="2172" t="s">
        <v>397</v>
      </c>
      <c r="E599" s="2173">
        <v>125</v>
      </c>
      <c r="F599" s="1637">
        <v>0</v>
      </c>
      <c r="G599" s="1637">
        <f t="shared" si="25"/>
        <v>0</v>
      </c>
    </row>
    <row r="600" spans="2:7">
      <c r="B600" s="1067" t="s">
        <v>25</v>
      </c>
      <c r="C600" s="1068" t="s">
        <v>1375</v>
      </c>
      <c r="D600" s="2172" t="s">
        <v>397</v>
      </c>
      <c r="E600" s="2173">
        <v>120</v>
      </c>
      <c r="F600" s="1637">
        <v>0</v>
      </c>
      <c r="G600" s="1637">
        <f t="shared" si="25"/>
        <v>0</v>
      </c>
    </row>
    <row r="601" spans="2:7">
      <c r="B601" s="1067" t="s">
        <v>864</v>
      </c>
      <c r="C601" s="1068" t="s">
        <v>1376</v>
      </c>
      <c r="D601" s="2172" t="s">
        <v>1359</v>
      </c>
      <c r="E601" s="2173">
        <v>1</v>
      </c>
      <c r="F601" s="1637">
        <v>0</v>
      </c>
      <c r="G601" s="1637">
        <f t="shared" si="25"/>
        <v>0</v>
      </c>
    </row>
    <row r="602" spans="2:7" ht="24">
      <c r="B602" s="1067" t="s">
        <v>865</v>
      </c>
      <c r="C602" s="1068" t="s">
        <v>1377</v>
      </c>
      <c r="D602" s="2172" t="s">
        <v>1359</v>
      </c>
      <c r="E602" s="2173">
        <v>1</v>
      </c>
      <c r="F602" s="1637">
        <v>0</v>
      </c>
      <c r="G602" s="1637">
        <f t="shared" si="25"/>
        <v>0</v>
      </c>
    </row>
    <row r="603" spans="2:7" ht="12.75" customHeight="1">
      <c r="B603" s="1067" t="s">
        <v>866</v>
      </c>
      <c r="C603" s="1068" t="s">
        <v>1378</v>
      </c>
      <c r="D603" s="2172" t="s">
        <v>1359</v>
      </c>
      <c r="E603" s="2173">
        <v>1</v>
      </c>
      <c r="F603" s="1637">
        <v>0</v>
      </c>
      <c r="G603" s="1637">
        <f t="shared" si="25"/>
        <v>0</v>
      </c>
    </row>
    <row r="604" spans="2:7" ht="13.5" thickBot="1">
      <c r="B604" s="1067"/>
      <c r="C604" s="1068"/>
      <c r="D604" s="2172"/>
      <c r="E604" s="2173"/>
      <c r="F604" s="1637"/>
      <c r="G604" s="1637"/>
    </row>
    <row r="605" spans="2:7" ht="14.25" thickTop="1" thickBot="1">
      <c r="B605" s="1071" t="s">
        <v>419</v>
      </c>
      <c r="C605" s="1072" t="s">
        <v>1367</v>
      </c>
      <c r="D605" s="2174"/>
      <c r="E605" s="2175"/>
      <c r="F605" s="1073"/>
      <c r="G605" s="1643">
        <f>SUM(G593:G603)</f>
        <v>0</v>
      </c>
    </row>
    <row r="606" spans="2:7" ht="13.5" thickTop="1">
      <c r="B606" s="1074"/>
      <c r="C606" s="1075"/>
      <c r="D606" s="2176"/>
      <c r="E606" s="2177"/>
      <c r="F606" s="1076"/>
      <c r="G606" s="1077"/>
    </row>
    <row r="607" spans="2:7">
      <c r="B607" s="1074"/>
      <c r="C607" s="1075"/>
      <c r="D607" s="2176"/>
      <c r="E607" s="2177"/>
      <c r="F607" s="1076"/>
      <c r="G607" s="1077"/>
    </row>
    <row r="608" spans="2:7">
      <c r="B608" s="1063" t="s">
        <v>420</v>
      </c>
      <c r="C608" s="1064" t="s">
        <v>1379</v>
      </c>
      <c r="D608" s="2170"/>
      <c r="E608" s="2171"/>
      <c r="F608" s="1065"/>
      <c r="G608" s="1066"/>
    </row>
    <row r="609" spans="2:7" ht="168">
      <c r="B609" s="1067" t="s">
        <v>11</v>
      </c>
      <c r="C609" s="1078" t="s">
        <v>1380</v>
      </c>
      <c r="D609" s="2172" t="s">
        <v>1359</v>
      </c>
      <c r="E609" s="2173">
        <v>1</v>
      </c>
      <c r="F609" s="1637">
        <v>0</v>
      </c>
      <c r="G609" s="1637">
        <f t="shared" ref="G609:G614" si="26">E609*F609</f>
        <v>0</v>
      </c>
    </row>
    <row r="610" spans="2:7">
      <c r="B610" s="1067" t="s">
        <v>13</v>
      </c>
      <c r="C610" s="1078" t="s">
        <v>1381</v>
      </c>
      <c r="D610" s="2172" t="s">
        <v>1359</v>
      </c>
      <c r="E610" s="2173">
        <v>1</v>
      </c>
      <c r="F610" s="1637">
        <v>0</v>
      </c>
      <c r="G610" s="1637">
        <f t="shared" si="26"/>
        <v>0</v>
      </c>
    </row>
    <row r="611" spans="2:7">
      <c r="B611" s="1067" t="s">
        <v>15</v>
      </c>
      <c r="C611" s="1068" t="s">
        <v>1382</v>
      </c>
      <c r="D611" s="2172" t="s">
        <v>397</v>
      </c>
      <c r="E611" s="2173">
        <v>25</v>
      </c>
      <c r="F611" s="1637">
        <v>0</v>
      </c>
      <c r="G611" s="1637">
        <f t="shared" si="26"/>
        <v>0</v>
      </c>
    </row>
    <row r="612" spans="2:7">
      <c r="B612" s="1067" t="s">
        <v>17</v>
      </c>
      <c r="C612" s="1068" t="s">
        <v>1383</v>
      </c>
      <c r="D612" s="2172" t="s">
        <v>397</v>
      </c>
      <c r="E612" s="2173">
        <v>28</v>
      </c>
      <c r="F612" s="1637">
        <v>0</v>
      </c>
      <c r="G612" s="1637">
        <f t="shared" si="26"/>
        <v>0</v>
      </c>
    </row>
    <row r="613" spans="2:7">
      <c r="B613" s="1067" t="s">
        <v>19</v>
      </c>
      <c r="C613" s="1068" t="s">
        <v>1370</v>
      </c>
      <c r="D613" s="2172" t="s">
        <v>397</v>
      </c>
      <c r="E613" s="2173">
        <v>30</v>
      </c>
      <c r="F613" s="1637">
        <v>0</v>
      </c>
      <c r="G613" s="1637">
        <f t="shared" si="26"/>
        <v>0</v>
      </c>
    </row>
    <row r="614" spans="2:7">
      <c r="B614" s="1067" t="s">
        <v>21</v>
      </c>
      <c r="C614" s="1068" t="s">
        <v>1384</v>
      </c>
      <c r="D614" s="2172" t="s">
        <v>1359</v>
      </c>
      <c r="E614" s="2173">
        <v>1</v>
      </c>
      <c r="F614" s="1637">
        <v>0</v>
      </c>
      <c r="G614" s="1637">
        <f t="shared" si="26"/>
        <v>0</v>
      </c>
    </row>
    <row r="615" spans="2:7" ht="13.5" thickBot="1">
      <c r="B615" s="1067"/>
      <c r="C615" s="1068"/>
      <c r="D615" s="2172"/>
      <c r="E615" s="2173"/>
      <c r="F615" s="1069"/>
      <c r="G615" s="1070"/>
    </row>
    <row r="616" spans="2:7" ht="14.25" thickTop="1" thickBot="1">
      <c r="B616" s="1071" t="s">
        <v>420</v>
      </c>
      <c r="C616" s="1072" t="s">
        <v>1379</v>
      </c>
      <c r="D616" s="2174"/>
      <c r="E616" s="2175"/>
      <c r="F616" s="1073"/>
      <c r="G616" s="1643">
        <f>SUM(G609:G614)</f>
        <v>0</v>
      </c>
    </row>
    <row r="617" spans="2:7" ht="13.5" thickTop="1">
      <c r="B617" s="1059"/>
      <c r="C617" s="1068"/>
      <c r="D617" s="2178"/>
      <c r="E617" s="2179"/>
      <c r="F617" s="1076"/>
      <c r="G617" s="1079"/>
    </row>
    <row r="618" spans="2:7">
      <c r="B618" s="925"/>
      <c r="C618" s="1080"/>
      <c r="D618" s="140"/>
      <c r="E618" s="198"/>
      <c r="F618" s="710"/>
      <c r="G618" s="711"/>
    </row>
    <row r="619" spans="2:7">
      <c r="B619" s="970" t="s">
        <v>915</v>
      </c>
      <c r="C619" s="971" t="s">
        <v>1385</v>
      </c>
      <c r="D619" s="972"/>
      <c r="E619" s="431"/>
      <c r="F619" s="973"/>
      <c r="G619" s="1644">
        <f>G475+G494+G510+G529+G543+G558+G576+G589+G605+G616</f>
        <v>0</v>
      </c>
    </row>
    <row r="620" spans="2:7">
      <c r="B620" s="975"/>
      <c r="C620" s="159"/>
      <c r="D620" s="140"/>
      <c r="E620" s="198"/>
      <c r="F620" s="708"/>
      <c r="G620" s="1637"/>
    </row>
  </sheetData>
  <mergeCells count="129">
    <mergeCell ref="B433:G433"/>
    <mergeCell ref="B434:G434"/>
    <mergeCell ref="D354:F354"/>
    <mergeCell ref="B367:G367"/>
    <mergeCell ref="B368:G368"/>
    <mergeCell ref="B369:G369"/>
    <mergeCell ref="B429:G429"/>
    <mergeCell ref="B430:G430"/>
    <mergeCell ref="B431:G431"/>
    <mergeCell ref="B317:G317"/>
    <mergeCell ref="B318:G318"/>
    <mergeCell ref="D325:F325"/>
    <mergeCell ref="D334:F334"/>
    <mergeCell ref="D306:F306"/>
    <mergeCell ref="B312:G312"/>
    <mergeCell ref="B313:G313"/>
    <mergeCell ref="B314:G314"/>
    <mergeCell ref="B432:G432"/>
    <mergeCell ref="D296:F296"/>
    <mergeCell ref="B284:G284"/>
    <mergeCell ref="B285:G285"/>
    <mergeCell ref="B286:G286"/>
    <mergeCell ref="B287:G287"/>
    <mergeCell ref="B288:G288"/>
    <mergeCell ref="B289:G289"/>
    <mergeCell ref="B315:G315"/>
    <mergeCell ref="B316:G316"/>
    <mergeCell ref="B269:G269"/>
    <mergeCell ref="C275:D275"/>
    <mergeCell ref="E275:F275"/>
    <mergeCell ref="B281:G281"/>
    <mergeCell ref="B282:G282"/>
    <mergeCell ref="B283:G283"/>
    <mergeCell ref="B263:G263"/>
    <mergeCell ref="B264:G264"/>
    <mergeCell ref="B265:G265"/>
    <mergeCell ref="B266:G266"/>
    <mergeCell ref="B267:G267"/>
    <mergeCell ref="B268:G268"/>
    <mergeCell ref="B257:G257"/>
    <mergeCell ref="B258:G258"/>
    <mergeCell ref="B259:G259"/>
    <mergeCell ref="B260:G260"/>
    <mergeCell ref="B261:G261"/>
    <mergeCell ref="B262:G262"/>
    <mergeCell ref="B241:G241"/>
    <mergeCell ref="B242:G242"/>
    <mergeCell ref="B243:G243"/>
    <mergeCell ref="B244:G244"/>
    <mergeCell ref="B245:G245"/>
    <mergeCell ref="D251:F251"/>
    <mergeCell ref="D230:F230"/>
    <mergeCell ref="B236:G236"/>
    <mergeCell ref="B237:G237"/>
    <mergeCell ref="B238:G238"/>
    <mergeCell ref="B239:G239"/>
    <mergeCell ref="B240:G240"/>
    <mergeCell ref="B209:G209"/>
    <mergeCell ref="B210:G210"/>
    <mergeCell ref="B211:G211"/>
    <mergeCell ref="B212:G212"/>
    <mergeCell ref="B213:G213"/>
    <mergeCell ref="B214:G214"/>
    <mergeCell ref="B203:G203"/>
    <mergeCell ref="B204:G204"/>
    <mergeCell ref="B205:G205"/>
    <mergeCell ref="B206:G206"/>
    <mergeCell ref="B207:G207"/>
    <mergeCell ref="B208:G208"/>
    <mergeCell ref="B163:G163"/>
    <mergeCell ref="B164:G164"/>
    <mergeCell ref="B165:G165"/>
    <mergeCell ref="D192:F192"/>
    <mergeCell ref="B201:G201"/>
    <mergeCell ref="B202:G202"/>
    <mergeCell ref="B157:G157"/>
    <mergeCell ref="B158:G158"/>
    <mergeCell ref="B159:G159"/>
    <mergeCell ref="B160:G160"/>
    <mergeCell ref="B161:G161"/>
    <mergeCell ref="B162:G162"/>
    <mergeCell ref="B129:G129"/>
    <mergeCell ref="B130:G130"/>
    <mergeCell ref="B131:G131"/>
    <mergeCell ref="D149:F149"/>
    <mergeCell ref="B155:G155"/>
    <mergeCell ref="B156:G156"/>
    <mergeCell ref="D118:F118"/>
    <mergeCell ref="B124:G124"/>
    <mergeCell ref="B125:G125"/>
    <mergeCell ref="B126:G126"/>
    <mergeCell ref="B127:G127"/>
    <mergeCell ref="B128:G128"/>
    <mergeCell ref="B98:G98"/>
    <mergeCell ref="B99:G99"/>
    <mergeCell ref="B100:G100"/>
    <mergeCell ref="B101:G101"/>
    <mergeCell ref="B102:G102"/>
    <mergeCell ref="B103:G103"/>
    <mergeCell ref="B88:C88"/>
    <mergeCell ref="D88:F88"/>
    <mergeCell ref="B94:G94"/>
    <mergeCell ref="B95:G95"/>
    <mergeCell ref="B96:G96"/>
    <mergeCell ref="B97:G97"/>
    <mergeCell ref="B43:G43"/>
    <mergeCell ref="B44:G44"/>
    <mergeCell ref="B45:G45"/>
    <mergeCell ref="B46:G46"/>
    <mergeCell ref="D63:F63"/>
    <mergeCell ref="B70:B71"/>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37:G37"/>
    <mergeCell ref="B38:G38"/>
    <mergeCell ref="B39:G39"/>
  </mergeCells>
  <pageMargins left="0.7" right="0.7" top="0.75" bottom="0.75" header="0.3" footer="0.3"/>
  <pageSetup paperSize="9" scale="85" orientation="portrait" r:id="rId1"/>
  <headerFooter alignWithMargins="0">
    <oddFooter>&amp;C&amp;8&amp;P/&amp;N</oddFooter>
  </headerFooter>
  <rowBreaks count="1" manualBreakCount="1">
    <brk id="21" max="6"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35C34-BE8B-4135-A32E-935174DE72C2}">
  <sheetPr>
    <tabColor rgb="FF00B0F0"/>
  </sheetPr>
  <dimension ref="A2:Z192"/>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1386</v>
      </c>
      <c r="D4" s="76"/>
      <c r="E4" s="77"/>
      <c r="F4" s="674"/>
      <c r="G4" s="79"/>
      <c r="H4" s="37"/>
    </row>
    <row r="5" spans="1:26" s="73" customFormat="1" ht="12" customHeight="1">
      <c r="B5" s="80"/>
      <c r="C5" s="81"/>
      <c r="D5" s="82"/>
      <c r="E5" s="83"/>
      <c r="F5" s="675"/>
      <c r="G5" s="85"/>
      <c r="H5" s="37"/>
    </row>
    <row r="6" spans="1:26" s="86" customFormat="1" ht="21" customHeight="1">
      <c r="B6" s="676" t="s">
        <v>37</v>
      </c>
      <c r="C6" s="677" t="s">
        <v>1387</v>
      </c>
      <c r="D6" s="678"/>
      <c r="E6" s="679"/>
      <c r="F6" s="680"/>
      <c r="G6" s="681"/>
      <c r="H6" s="27"/>
      <c r="I6" s="87"/>
    </row>
    <row r="7" spans="1:26" s="86" customFormat="1" ht="21" customHeight="1">
      <c r="B7" s="80"/>
      <c r="C7" s="81"/>
      <c r="D7" s="82"/>
      <c r="E7" s="83"/>
      <c r="F7" s="675"/>
      <c r="G7" s="88"/>
      <c r="H7" s="27"/>
      <c r="I7" s="87"/>
    </row>
    <row r="8" spans="1:26" s="86" customFormat="1" ht="14.25">
      <c r="B8" s="682" t="s">
        <v>551</v>
      </c>
      <c r="C8" s="683" t="s">
        <v>1388</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G68</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693" t="s">
        <v>47</v>
      </c>
      <c r="C19" s="694" t="s">
        <v>48</v>
      </c>
      <c r="D19" s="109"/>
      <c r="E19" s="110"/>
      <c r="F19" s="695"/>
      <c r="G19" s="1408">
        <f>G192</f>
        <v>0</v>
      </c>
      <c r="H19" s="37"/>
      <c r="I19" s="73"/>
      <c r="J19" s="73"/>
      <c r="K19" s="73"/>
      <c r="L19" s="73"/>
      <c r="M19" s="73"/>
      <c r="N19" s="73"/>
      <c r="O19" s="73"/>
      <c r="P19" s="73"/>
      <c r="Q19" s="73"/>
      <c r="R19" s="73"/>
      <c r="S19" s="73"/>
      <c r="T19" s="73"/>
      <c r="U19" s="73"/>
      <c r="V19" s="73"/>
      <c r="W19" s="73"/>
      <c r="X19" s="73"/>
      <c r="Y19" s="73"/>
      <c r="Z19" s="73"/>
    </row>
    <row r="20" spans="2:26" s="101" customFormat="1" ht="18.75" customHeight="1">
      <c r="B20" s="2314"/>
      <c r="C20" s="2315" t="s">
        <v>49</v>
      </c>
      <c r="D20" s="2316"/>
      <c r="E20" s="2317"/>
      <c r="F20" s="2318"/>
      <c r="G20" s="2308">
        <f>SUM(G17:G19)</f>
        <v>0</v>
      </c>
      <c r="H20" s="37"/>
      <c r="I20" s="73"/>
      <c r="J20" s="73"/>
      <c r="K20" s="73"/>
      <c r="L20" s="73"/>
      <c r="M20" s="73"/>
      <c r="N20" s="73"/>
      <c r="O20" s="73"/>
      <c r="P20" s="73"/>
      <c r="Q20" s="73"/>
      <c r="R20" s="73"/>
      <c r="S20" s="73"/>
      <c r="T20" s="73"/>
      <c r="U20" s="73"/>
      <c r="V20" s="73"/>
      <c r="W20" s="73"/>
      <c r="X20" s="73"/>
      <c r="Y20" s="73"/>
      <c r="Z20" s="73"/>
    </row>
    <row r="21" spans="2:26">
      <c r="B21" s="61"/>
      <c r="C21" s="62"/>
      <c r="D21" s="63"/>
      <c r="E21" s="64"/>
      <c r="F21" s="701"/>
    </row>
    <row r="22" spans="2:26">
      <c r="G22" s="118"/>
    </row>
    <row r="23" spans="2:26" ht="24">
      <c r="B23" s="702" t="s">
        <v>41</v>
      </c>
      <c r="C23" s="703" t="s">
        <v>51</v>
      </c>
      <c r="D23" s="704" t="s">
        <v>52</v>
      </c>
      <c r="E23" s="705" t="s">
        <v>53</v>
      </c>
      <c r="F23" s="706" t="s">
        <v>54</v>
      </c>
      <c r="G23" s="707" t="s">
        <v>55</v>
      </c>
    </row>
    <row r="24" spans="2:26">
      <c r="B24" s="125"/>
      <c r="C24" s="126"/>
      <c r="D24" s="127"/>
      <c r="E24" s="128"/>
      <c r="F24" s="708"/>
      <c r="G24" s="130"/>
    </row>
    <row r="25" spans="2:26" s="138" customFormat="1" ht="20.25">
      <c r="B25" s="131" t="s">
        <v>43</v>
      </c>
      <c r="C25" s="132" t="s">
        <v>44</v>
      </c>
      <c r="D25" s="133"/>
      <c r="E25" s="134"/>
      <c r="F25" s="709"/>
      <c r="G25" s="136"/>
      <c r="H25" s="137"/>
    </row>
    <row r="26" spans="2:26" ht="24">
      <c r="B26" s="125">
        <v>1</v>
      </c>
      <c r="C26" s="144" t="s">
        <v>56</v>
      </c>
      <c r="D26" s="140" t="s">
        <v>57</v>
      </c>
      <c r="E26" s="1081">
        <v>954</v>
      </c>
      <c r="F26" s="1082">
        <v>0</v>
      </c>
      <c r="G26" s="1083">
        <f t="shared" ref="G26" si="0">E26*F26</f>
        <v>0</v>
      </c>
    </row>
    <row r="27" spans="2:26">
      <c r="B27" s="125">
        <v>2</v>
      </c>
      <c r="C27" s="144" t="s">
        <v>58</v>
      </c>
      <c r="D27" s="140" t="s">
        <v>57</v>
      </c>
      <c r="E27" s="1081">
        <v>954</v>
      </c>
      <c r="F27" s="1082">
        <v>0</v>
      </c>
      <c r="G27" s="1083">
        <f>E27*F27</f>
        <v>0</v>
      </c>
    </row>
    <row r="28" spans="2:26" ht="51.75" customHeight="1">
      <c r="B28" s="125">
        <v>3</v>
      </c>
      <c r="C28" s="144" t="s">
        <v>245</v>
      </c>
      <c r="D28" s="140" t="s">
        <v>60</v>
      </c>
      <c r="E28" s="1081">
        <v>1</v>
      </c>
      <c r="F28" s="1082">
        <v>0</v>
      </c>
      <c r="G28" s="1083">
        <f t="shared" ref="G28:G38" si="1">E28*F28</f>
        <v>0</v>
      </c>
    </row>
    <row r="29" spans="2:26" ht="124.5" customHeight="1">
      <c r="B29" s="125">
        <v>4</v>
      </c>
      <c r="C29" s="144" t="s">
        <v>61</v>
      </c>
      <c r="D29" s="145" t="s">
        <v>60</v>
      </c>
      <c r="E29" s="1081">
        <v>1</v>
      </c>
      <c r="F29" s="1082">
        <v>0</v>
      </c>
      <c r="G29" s="1083">
        <f t="shared" si="1"/>
        <v>0</v>
      </c>
    </row>
    <row r="30" spans="2:26" ht="24">
      <c r="B30" s="125">
        <v>5</v>
      </c>
      <c r="C30" s="144" t="s">
        <v>1389</v>
      </c>
      <c r="D30" s="146" t="s">
        <v>60</v>
      </c>
      <c r="E30" s="1081">
        <v>4</v>
      </c>
      <c r="F30" s="1082">
        <v>0</v>
      </c>
      <c r="G30" s="1083">
        <f t="shared" si="1"/>
        <v>0</v>
      </c>
    </row>
    <row r="31" spans="2:26" ht="24">
      <c r="B31" s="125">
        <v>6</v>
      </c>
      <c r="C31" s="1084" t="s">
        <v>63</v>
      </c>
      <c r="D31" s="140" t="s">
        <v>57</v>
      </c>
      <c r="E31" s="1081">
        <v>954</v>
      </c>
      <c r="F31" s="1082">
        <v>0</v>
      </c>
      <c r="G31" s="1083">
        <f t="shared" si="1"/>
        <v>0</v>
      </c>
    </row>
    <row r="32" spans="2:26" ht="48">
      <c r="B32" s="125">
        <v>7</v>
      </c>
      <c r="C32" s="1084" t="s">
        <v>64</v>
      </c>
      <c r="D32" s="146" t="s">
        <v>60</v>
      </c>
      <c r="E32" s="1081">
        <v>1</v>
      </c>
      <c r="F32" s="1082">
        <v>0</v>
      </c>
      <c r="G32" s="1083">
        <f t="shared" si="1"/>
        <v>0</v>
      </c>
    </row>
    <row r="33" spans="1:26" ht="54.75" customHeight="1">
      <c r="B33" s="125">
        <v>8</v>
      </c>
      <c r="C33" s="1080" t="s">
        <v>2292</v>
      </c>
      <c r="D33" s="146" t="s">
        <v>66</v>
      </c>
      <c r="E33" s="1081">
        <v>39</v>
      </c>
      <c r="F33" s="1082">
        <v>0</v>
      </c>
      <c r="G33" s="1083">
        <f t="shared" si="1"/>
        <v>0</v>
      </c>
    </row>
    <row r="34" spans="1:26" ht="36">
      <c r="B34" s="125">
        <v>9</v>
      </c>
      <c r="C34" s="1080" t="s">
        <v>2294</v>
      </c>
      <c r="D34" s="146" t="s">
        <v>57</v>
      </c>
      <c r="E34" s="1081">
        <f>E26+E86+E87</f>
        <v>1237</v>
      </c>
      <c r="F34" s="1082">
        <v>0</v>
      </c>
      <c r="G34" s="1083">
        <f t="shared" si="1"/>
        <v>0</v>
      </c>
    </row>
    <row r="35" spans="1:26" ht="24">
      <c r="B35" s="125">
        <v>10</v>
      </c>
      <c r="C35" s="1080" t="s">
        <v>2293</v>
      </c>
      <c r="D35" s="146" t="s">
        <v>57</v>
      </c>
      <c r="E35" s="1081">
        <f>E26+E86+E87</f>
        <v>1237</v>
      </c>
      <c r="F35" s="1082">
        <v>0</v>
      </c>
      <c r="G35" s="1083">
        <f t="shared" si="1"/>
        <v>0</v>
      </c>
    </row>
    <row r="36" spans="1:26">
      <c r="B36" s="125">
        <v>11</v>
      </c>
      <c r="C36" s="1084" t="s">
        <v>67</v>
      </c>
      <c r="D36" s="146" t="s">
        <v>60</v>
      </c>
      <c r="E36" s="1081">
        <v>1</v>
      </c>
      <c r="F36" s="1082">
        <v>0</v>
      </c>
      <c r="G36" s="1083">
        <f t="shared" si="1"/>
        <v>0</v>
      </c>
    </row>
    <row r="37" spans="1:26" ht="36">
      <c r="B37" s="125">
        <v>12</v>
      </c>
      <c r="C37" s="952" t="s">
        <v>68</v>
      </c>
      <c r="D37" s="146" t="s">
        <v>60</v>
      </c>
      <c r="E37" s="1085">
        <v>1</v>
      </c>
      <c r="F37" s="1082">
        <v>0</v>
      </c>
      <c r="G37" s="1083">
        <f t="shared" si="1"/>
        <v>0</v>
      </c>
    </row>
    <row r="38" spans="1:26" ht="36">
      <c r="B38" s="125">
        <v>13</v>
      </c>
      <c r="C38" s="952" t="s">
        <v>69</v>
      </c>
      <c r="D38" s="146" t="s">
        <v>60</v>
      </c>
      <c r="E38" s="1085">
        <v>1</v>
      </c>
      <c r="F38" s="1082">
        <v>0</v>
      </c>
      <c r="G38" s="1083">
        <f t="shared" si="1"/>
        <v>0</v>
      </c>
    </row>
    <row r="39" spans="1:26">
      <c r="B39" s="125"/>
      <c r="C39" s="150"/>
      <c r="D39" s="146"/>
      <c r="E39" s="1085"/>
      <c r="F39" s="1082"/>
      <c r="G39" s="1083"/>
    </row>
    <row r="40" spans="1:26">
      <c r="B40" s="151" t="s">
        <v>43</v>
      </c>
      <c r="C40" s="1086" t="s">
        <v>1390</v>
      </c>
      <c r="D40" s="1087"/>
      <c r="E40" s="1088"/>
      <c r="F40" s="1089"/>
      <c r="G40" s="2370">
        <f>SUM(G26:G38)</f>
        <v>0</v>
      </c>
    </row>
    <row r="41" spans="1:26" s="8" customFormat="1">
      <c r="A41" s="1"/>
      <c r="B41" s="125"/>
      <c r="C41" s="126"/>
      <c r="D41" s="127"/>
      <c r="E41" s="128"/>
      <c r="F41" s="129"/>
      <c r="G41" s="130"/>
      <c r="I41" s="1"/>
      <c r="J41" s="1"/>
      <c r="K41" s="1"/>
      <c r="L41" s="1"/>
      <c r="M41" s="1"/>
      <c r="N41" s="1"/>
      <c r="O41" s="1"/>
      <c r="P41" s="1"/>
      <c r="Q41" s="1"/>
      <c r="R41" s="1"/>
      <c r="S41" s="1"/>
      <c r="T41" s="1"/>
      <c r="U41" s="1"/>
      <c r="V41" s="1"/>
      <c r="W41" s="1"/>
      <c r="X41" s="1"/>
      <c r="Y41" s="1"/>
      <c r="Z41" s="1"/>
    </row>
    <row r="42" spans="1:26"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c r="Z42" s="1"/>
    </row>
    <row r="43" spans="1:26" s="8" customFormat="1">
      <c r="A43" s="1"/>
      <c r="B43" s="125"/>
      <c r="C43" s="163"/>
      <c r="D43" s="140"/>
      <c r="E43" s="128"/>
      <c r="F43" s="129"/>
      <c r="G43" s="130"/>
      <c r="I43" s="1"/>
      <c r="J43" s="1"/>
      <c r="K43" s="1"/>
      <c r="L43" s="1"/>
      <c r="M43" s="1"/>
      <c r="N43" s="1"/>
      <c r="O43" s="1"/>
      <c r="P43" s="1"/>
      <c r="Q43" s="1"/>
      <c r="R43" s="1"/>
      <c r="S43" s="1"/>
      <c r="T43" s="1"/>
      <c r="U43" s="1"/>
      <c r="V43" s="1"/>
      <c r="W43" s="1"/>
      <c r="X43" s="1"/>
      <c r="Y43" s="1"/>
      <c r="Z43" s="1"/>
    </row>
    <row r="44" spans="1:26"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c r="Z44" s="1"/>
    </row>
    <row r="45" spans="1:26"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c r="Z45" s="1"/>
    </row>
    <row r="46" spans="1:26" s="8" customFormat="1" ht="24">
      <c r="A46" s="1"/>
      <c r="B46" s="167">
        <v>1</v>
      </c>
      <c r="C46" s="139" t="s">
        <v>73</v>
      </c>
      <c r="D46" s="140" t="s">
        <v>74</v>
      </c>
      <c r="E46" s="1091">
        <v>40</v>
      </c>
      <c r="F46" s="1092">
        <v>0</v>
      </c>
      <c r="G46" s="1093">
        <f t="shared" ref="G46:G66" si="2">E46*F46</f>
        <v>0</v>
      </c>
      <c r="I46" s="1"/>
      <c r="J46" s="1"/>
      <c r="K46" s="1"/>
      <c r="L46" s="1"/>
      <c r="M46" s="1"/>
      <c r="N46" s="1"/>
      <c r="O46" s="1"/>
      <c r="P46" s="1"/>
      <c r="Q46" s="1"/>
      <c r="R46" s="1"/>
      <c r="S46" s="1"/>
      <c r="T46" s="1"/>
      <c r="U46" s="1"/>
      <c r="V46" s="1"/>
      <c r="W46" s="1"/>
      <c r="X46" s="1"/>
      <c r="Y46" s="1"/>
      <c r="Z46" s="1"/>
    </row>
    <row r="47" spans="1:26" s="8" customFormat="1" ht="41.25" customHeight="1">
      <c r="A47" s="1"/>
      <c r="B47" s="717">
        <v>2</v>
      </c>
      <c r="C47" s="139" t="s">
        <v>75</v>
      </c>
      <c r="D47" s="140" t="s">
        <v>74</v>
      </c>
      <c r="E47" s="1091">
        <f>E26*1.5*1.2*0.15</f>
        <v>257.58</v>
      </c>
      <c r="F47" s="1092">
        <v>0</v>
      </c>
      <c r="G47" s="1093">
        <f t="shared" si="2"/>
        <v>0</v>
      </c>
      <c r="I47" s="1"/>
      <c r="J47" s="1"/>
      <c r="K47" s="1"/>
      <c r="L47" s="1"/>
      <c r="M47" s="1"/>
      <c r="N47" s="1"/>
      <c r="O47" s="1"/>
      <c r="P47" s="1"/>
      <c r="Q47" s="1"/>
      <c r="R47" s="1"/>
      <c r="S47" s="1"/>
      <c r="T47" s="1"/>
      <c r="U47" s="1"/>
      <c r="V47" s="1"/>
      <c r="W47" s="1"/>
      <c r="X47" s="1"/>
      <c r="Y47" s="1"/>
      <c r="Z47" s="1"/>
    </row>
    <row r="48" spans="1:26" s="8" customFormat="1" ht="41.25" customHeight="1">
      <c r="A48" s="1"/>
      <c r="B48" s="167">
        <v>3</v>
      </c>
      <c r="C48" s="139" t="s">
        <v>76</v>
      </c>
      <c r="D48" s="145" t="s">
        <v>74</v>
      </c>
      <c r="E48" s="1094">
        <f>E26*1.5*1.2*0.85</f>
        <v>1459.62</v>
      </c>
      <c r="F48" s="1092">
        <v>0</v>
      </c>
      <c r="G48" s="142">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4</v>
      </c>
      <c r="C49" s="126" t="s">
        <v>77</v>
      </c>
      <c r="D49" s="140" t="s">
        <v>78</v>
      </c>
      <c r="E49" s="1094">
        <f>E26*1.5</f>
        <v>1431</v>
      </c>
      <c r="F49" s="1092">
        <v>0</v>
      </c>
      <c r="G49" s="1083">
        <f t="shared" si="2"/>
        <v>0</v>
      </c>
      <c r="I49" s="1"/>
      <c r="J49" s="1"/>
      <c r="K49" s="1"/>
      <c r="L49" s="1"/>
      <c r="M49" s="1"/>
      <c r="N49" s="1"/>
      <c r="O49" s="1"/>
      <c r="P49" s="1"/>
      <c r="Q49" s="1"/>
      <c r="R49" s="1"/>
      <c r="S49" s="1"/>
      <c r="T49" s="1"/>
      <c r="U49" s="1"/>
      <c r="V49" s="1"/>
      <c r="W49" s="1"/>
      <c r="X49" s="1"/>
      <c r="Y49" s="1"/>
      <c r="Z49" s="1"/>
    </row>
    <row r="50" spans="1:26" s="8" customFormat="1" ht="27.75" customHeight="1">
      <c r="A50" s="1"/>
      <c r="B50" s="167">
        <v>5</v>
      </c>
      <c r="C50" s="126" t="s">
        <v>79</v>
      </c>
      <c r="D50" s="145" t="s">
        <v>78</v>
      </c>
      <c r="E50" s="1094">
        <f>E26</f>
        <v>954</v>
      </c>
      <c r="F50" s="1092">
        <v>0</v>
      </c>
      <c r="G50" s="1083">
        <f t="shared" si="2"/>
        <v>0</v>
      </c>
      <c r="I50" s="1"/>
      <c r="J50" s="1"/>
      <c r="K50" s="1"/>
      <c r="L50" s="1"/>
      <c r="M50" s="1"/>
      <c r="N50" s="1"/>
      <c r="O50" s="1"/>
      <c r="P50" s="1"/>
      <c r="Q50" s="1"/>
      <c r="R50" s="1"/>
      <c r="S50" s="1"/>
      <c r="T50" s="1"/>
      <c r="U50" s="1"/>
      <c r="V50" s="1"/>
      <c r="W50" s="1"/>
      <c r="X50" s="1"/>
      <c r="Y50" s="1"/>
      <c r="Z50" s="1"/>
    </row>
    <row r="51" spans="1:26" s="8" customFormat="1" ht="27.75" customHeight="1">
      <c r="A51" s="1"/>
      <c r="B51" s="717">
        <v>6</v>
      </c>
      <c r="C51" s="139" t="s">
        <v>247</v>
      </c>
      <c r="D51" s="145" t="s">
        <v>74</v>
      </c>
      <c r="E51" s="1094">
        <f>E26*1.2*1</f>
        <v>1144.8</v>
      </c>
      <c r="F51" s="1092">
        <v>0</v>
      </c>
      <c r="G51" s="1083">
        <f t="shared" si="2"/>
        <v>0</v>
      </c>
      <c r="I51" s="1"/>
      <c r="J51" s="1"/>
      <c r="K51" s="1"/>
      <c r="L51" s="1"/>
      <c r="M51" s="1"/>
      <c r="N51" s="1"/>
      <c r="O51" s="1"/>
      <c r="P51" s="1"/>
      <c r="Q51" s="1"/>
      <c r="R51" s="1"/>
      <c r="S51" s="1"/>
      <c r="T51" s="1"/>
      <c r="U51" s="1"/>
      <c r="V51" s="1"/>
      <c r="W51" s="1"/>
      <c r="X51" s="1"/>
      <c r="Y51" s="1"/>
      <c r="Z51" s="1"/>
    </row>
    <row r="52" spans="1:26" s="8" customFormat="1" ht="40.5" customHeight="1">
      <c r="A52" s="1"/>
      <c r="B52" s="167">
        <v>7</v>
      </c>
      <c r="C52" s="139" t="s">
        <v>82</v>
      </c>
      <c r="D52" s="146" t="s">
        <v>74</v>
      </c>
      <c r="E52" s="1094">
        <f>E26*1.5*0.4</f>
        <v>572.4</v>
      </c>
      <c r="F52" s="1092">
        <v>0</v>
      </c>
      <c r="G52" s="1083">
        <f t="shared" si="2"/>
        <v>0</v>
      </c>
      <c r="I52" s="1"/>
      <c r="J52" s="1"/>
      <c r="K52" s="1"/>
      <c r="L52" s="1"/>
      <c r="M52" s="1"/>
      <c r="N52" s="1"/>
      <c r="O52" s="1"/>
      <c r="P52" s="1"/>
      <c r="Q52" s="1"/>
      <c r="R52" s="1"/>
      <c r="S52" s="1"/>
      <c r="T52" s="1"/>
      <c r="U52" s="1"/>
      <c r="V52" s="1"/>
      <c r="W52" s="1"/>
      <c r="X52" s="1"/>
      <c r="Y52" s="1"/>
      <c r="Z52" s="1"/>
    </row>
    <row r="53" spans="1:26" s="8" customFormat="1" ht="27" customHeight="1">
      <c r="A53" s="1"/>
      <c r="B53" s="717">
        <v>8</v>
      </c>
      <c r="C53" s="1095" t="s">
        <v>85</v>
      </c>
      <c r="D53" s="140" t="s">
        <v>57</v>
      </c>
      <c r="E53" s="1094">
        <v>55</v>
      </c>
      <c r="F53" s="1092">
        <v>0</v>
      </c>
      <c r="G53" s="1083">
        <f t="shared" si="2"/>
        <v>0</v>
      </c>
      <c r="I53" s="1"/>
      <c r="J53" s="1"/>
      <c r="K53" s="1"/>
      <c r="L53" s="1"/>
      <c r="M53" s="1"/>
      <c r="N53" s="1"/>
      <c r="O53" s="1"/>
      <c r="P53" s="1"/>
      <c r="Q53" s="1"/>
      <c r="R53" s="1"/>
      <c r="S53" s="1"/>
      <c r="T53" s="1"/>
      <c r="U53" s="1"/>
      <c r="V53" s="1"/>
      <c r="W53" s="1"/>
      <c r="X53" s="1"/>
      <c r="Y53" s="1"/>
      <c r="Z53" s="1"/>
    </row>
    <row r="54" spans="1:26" s="8" customFormat="1" ht="24">
      <c r="A54" s="1"/>
      <c r="B54" s="167">
        <v>9</v>
      </c>
      <c r="C54" s="1095" t="s">
        <v>1391</v>
      </c>
      <c r="D54" s="140" t="s">
        <v>78</v>
      </c>
      <c r="E54" s="1094">
        <f>E26*1.2</f>
        <v>1144.8</v>
      </c>
      <c r="F54" s="1092">
        <v>0</v>
      </c>
      <c r="G54" s="1083">
        <f t="shared" si="2"/>
        <v>0</v>
      </c>
      <c r="I54" s="1"/>
      <c r="J54" s="1"/>
      <c r="K54" s="1"/>
      <c r="L54" s="1"/>
      <c r="M54" s="1"/>
      <c r="N54" s="1"/>
      <c r="O54" s="1"/>
      <c r="P54" s="1"/>
      <c r="Q54" s="1"/>
      <c r="R54" s="1"/>
      <c r="S54" s="1"/>
      <c r="T54" s="1"/>
      <c r="U54" s="1"/>
      <c r="V54" s="1"/>
      <c r="W54" s="1"/>
      <c r="X54" s="1"/>
      <c r="Y54" s="1"/>
      <c r="Z54" s="1"/>
    </row>
    <row r="55" spans="1:26"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c r="Z55" s="1"/>
    </row>
    <row r="56" spans="1:26" s="8" customFormat="1" ht="63.75" customHeight="1">
      <c r="A56" s="1"/>
      <c r="B56" s="167">
        <v>11</v>
      </c>
      <c r="C56" s="397" t="s">
        <v>1392</v>
      </c>
      <c r="D56" s="145" t="s">
        <v>78</v>
      </c>
      <c r="E56" s="1094">
        <v>5</v>
      </c>
      <c r="F56" s="1092">
        <v>0</v>
      </c>
      <c r="G56" s="1083">
        <f t="shared" si="2"/>
        <v>0</v>
      </c>
      <c r="I56" s="1"/>
      <c r="J56" s="1"/>
      <c r="K56" s="1"/>
      <c r="L56" s="1"/>
      <c r="M56" s="1"/>
      <c r="N56" s="1"/>
      <c r="O56" s="1"/>
      <c r="P56" s="1"/>
      <c r="Q56" s="1"/>
      <c r="R56" s="1"/>
      <c r="S56" s="1"/>
      <c r="T56" s="1"/>
      <c r="U56" s="1"/>
      <c r="V56" s="1"/>
      <c r="W56" s="1"/>
      <c r="X56" s="1"/>
      <c r="Y56" s="1"/>
      <c r="Z56" s="1"/>
    </row>
    <row r="57" spans="1:26" s="8" customFormat="1" ht="54" customHeight="1">
      <c r="A57" s="1"/>
      <c r="B57" s="717">
        <v>12</v>
      </c>
      <c r="C57" s="144" t="s">
        <v>260</v>
      </c>
      <c r="D57" s="145" t="s">
        <v>78</v>
      </c>
      <c r="E57" s="1094">
        <v>10</v>
      </c>
      <c r="F57" s="1092">
        <v>0</v>
      </c>
      <c r="G57" s="1083">
        <f t="shared" si="2"/>
        <v>0</v>
      </c>
      <c r="I57" s="1"/>
      <c r="J57" s="1"/>
      <c r="K57" s="1"/>
      <c r="L57" s="1"/>
      <c r="M57" s="1"/>
      <c r="N57" s="1"/>
      <c r="O57" s="1"/>
      <c r="P57" s="1"/>
      <c r="Q57" s="1"/>
      <c r="R57" s="1"/>
      <c r="S57" s="1"/>
      <c r="T57" s="1"/>
      <c r="U57" s="1"/>
      <c r="V57" s="1"/>
      <c r="W57" s="1"/>
      <c r="X57" s="1"/>
      <c r="Y57" s="1"/>
      <c r="Z57" s="1"/>
    </row>
    <row r="58" spans="1:26" s="8" customFormat="1" ht="14.25" customHeight="1">
      <c r="A58" s="1"/>
      <c r="B58" s="167">
        <v>13</v>
      </c>
      <c r="C58" s="139" t="s">
        <v>264</v>
      </c>
      <c r="D58" s="145" t="s">
        <v>74</v>
      </c>
      <c r="E58" s="128">
        <f>E47+E48+(E54*0.06)-E51</f>
        <v>641.08799999999997</v>
      </c>
      <c r="F58" s="1092">
        <v>0</v>
      </c>
      <c r="G58" s="142">
        <f t="shared" si="2"/>
        <v>0</v>
      </c>
      <c r="I58" s="1"/>
      <c r="J58" s="1"/>
      <c r="K58" s="1"/>
      <c r="L58" s="1"/>
      <c r="M58" s="1"/>
      <c r="N58" s="1"/>
      <c r="O58" s="1"/>
      <c r="P58" s="1"/>
      <c r="Q58" s="1"/>
      <c r="R58" s="1"/>
      <c r="S58" s="1"/>
      <c r="T58" s="1"/>
      <c r="U58" s="1"/>
      <c r="V58" s="1"/>
      <c r="W58" s="1"/>
      <c r="X58" s="1"/>
      <c r="Y58" s="1"/>
      <c r="Z58" s="1"/>
    </row>
    <row r="59" spans="1:26" s="8" customFormat="1">
      <c r="A59" s="1"/>
      <c r="B59" s="717">
        <v>14</v>
      </c>
      <c r="C59" s="139" t="s">
        <v>265</v>
      </c>
      <c r="D59" s="145" t="s">
        <v>74</v>
      </c>
      <c r="E59" s="128">
        <f>E58</f>
        <v>641.08799999999997</v>
      </c>
      <c r="F59" s="1092">
        <v>0</v>
      </c>
      <c r="G59" s="142">
        <f t="shared" si="2"/>
        <v>0</v>
      </c>
      <c r="I59" s="1"/>
      <c r="J59" s="1"/>
      <c r="K59" s="1"/>
      <c r="L59" s="1"/>
      <c r="M59" s="1"/>
      <c r="N59" s="1"/>
      <c r="O59" s="1"/>
      <c r="P59" s="1"/>
      <c r="Q59" s="1"/>
      <c r="R59" s="1"/>
      <c r="S59" s="1"/>
      <c r="T59" s="1"/>
      <c r="U59" s="1"/>
      <c r="V59" s="1"/>
      <c r="W59" s="1"/>
      <c r="X59" s="1"/>
      <c r="Y59" s="1"/>
      <c r="Z59" s="1"/>
    </row>
    <row r="60" spans="1:26" s="8" customFormat="1" ht="24">
      <c r="A60" s="1"/>
      <c r="B60" s="167">
        <v>15</v>
      </c>
      <c r="C60" s="126" t="s">
        <v>95</v>
      </c>
      <c r="D60" s="140" t="s">
        <v>74</v>
      </c>
      <c r="E60" s="1094">
        <f>E26*0.75*0.1</f>
        <v>71.55</v>
      </c>
      <c r="F60" s="1092">
        <v>0</v>
      </c>
      <c r="G60" s="1083">
        <f t="shared" si="2"/>
        <v>0</v>
      </c>
      <c r="I60" s="1"/>
      <c r="J60" s="1"/>
      <c r="K60" s="1"/>
      <c r="L60" s="1"/>
      <c r="M60" s="1"/>
      <c r="N60" s="1"/>
      <c r="O60" s="1"/>
      <c r="P60" s="1"/>
      <c r="Q60" s="1"/>
      <c r="R60" s="1"/>
      <c r="S60" s="1"/>
      <c r="T60" s="1"/>
      <c r="U60" s="1"/>
      <c r="V60" s="1"/>
      <c r="W60" s="1"/>
      <c r="X60" s="1"/>
      <c r="Y60" s="1"/>
      <c r="Z60" s="1"/>
    </row>
    <row r="61" spans="1:26" s="8" customFormat="1" ht="24">
      <c r="A61" s="1"/>
      <c r="B61" s="717">
        <v>16</v>
      </c>
      <c r="C61" s="177" t="s">
        <v>96</v>
      </c>
      <c r="D61" s="140" t="s">
        <v>57</v>
      </c>
      <c r="E61" s="128">
        <v>10</v>
      </c>
      <c r="F61" s="1092">
        <v>0</v>
      </c>
      <c r="G61" s="142">
        <f t="shared" si="2"/>
        <v>0</v>
      </c>
      <c r="I61" s="1"/>
      <c r="J61" s="1"/>
      <c r="K61" s="1"/>
      <c r="L61" s="1"/>
      <c r="M61" s="1"/>
      <c r="N61" s="1"/>
      <c r="O61" s="1"/>
      <c r="P61" s="1"/>
      <c r="Q61" s="1"/>
      <c r="R61" s="1"/>
      <c r="S61" s="1"/>
      <c r="T61" s="1"/>
      <c r="U61" s="1"/>
      <c r="V61" s="1"/>
      <c r="W61" s="1"/>
      <c r="X61" s="1"/>
      <c r="Y61" s="1"/>
      <c r="Z61" s="1"/>
    </row>
    <row r="62" spans="1:26" s="8" customFormat="1" ht="48">
      <c r="A62" s="1"/>
      <c r="B62" s="167">
        <v>17</v>
      </c>
      <c r="C62" s="1096" t="s">
        <v>1393</v>
      </c>
      <c r="D62" s="182" t="s">
        <v>74</v>
      </c>
      <c r="E62" s="1097">
        <v>12</v>
      </c>
      <c r="F62" s="1092">
        <v>0</v>
      </c>
      <c r="G62" s="1083">
        <f t="shared" si="2"/>
        <v>0</v>
      </c>
      <c r="I62" s="1"/>
      <c r="J62" s="1"/>
      <c r="K62" s="1"/>
      <c r="L62" s="1"/>
      <c r="M62" s="1"/>
      <c r="N62" s="1"/>
      <c r="O62" s="1"/>
      <c r="P62" s="1"/>
      <c r="Q62" s="1"/>
      <c r="R62" s="1"/>
      <c r="S62" s="1"/>
      <c r="T62" s="1"/>
      <c r="U62" s="1"/>
      <c r="V62" s="1"/>
      <c r="W62" s="1"/>
      <c r="X62" s="1"/>
      <c r="Y62" s="1"/>
      <c r="Z62" s="1"/>
    </row>
    <row r="63" spans="1:26" s="8" customFormat="1" ht="39" customHeight="1">
      <c r="A63" s="1"/>
      <c r="B63" s="717">
        <v>18</v>
      </c>
      <c r="C63" s="1096" t="s">
        <v>270</v>
      </c>
      <c r="D63" s="182" t="s">
        <v>66</v>
      </c>
      <c r="E63" s="1097">
        <v>52</v>
      </c>
      <c r="F63" s="1092">
        <v>0</v>
      </c>
      <c r="G63" s="1083">
        <f t="shared" si="2"/>
        <v>0</v>
      </c>
      <c r="I63" s="1"/>
      <c r="J63" s="1"/>
      <c r="K63" s="1"/>
      <c r="L63" s="1"/>
      <c r="M63" s="1"/>
      <c r="N63" s="1"/>
      <c r="O63" s="1"/>
      <c r="P63" s="1"/>
      <c r="Q63" s="1"/>
      <c r="R63" s="1"/>
      <c r="S63" s="1"/>
      <c r="T63" s="1"/>
      <c r="U63" s="1"/>
      <c r="V63" s="1"/>
      <c r="W63" s="1"/>
      <c r="X63" s="1"/>
      <c r="Y63" s="1"/>
      <c r="Z63" s="1"/>
    </row>
    <row r="64" spans="1:26" s="8" customFormat="1" ht="24">
      <c r="A64" s="1"/>
      <c r="B64" s="167">
        <v>19</v>
      </c>
      <c r="C64" s="1096" t="s">
        <v>99</v>
      </c>
      <c r="D64" s="182" t="s">
        <v>74</v>
      </c>
      <c r="E64" s="1097">
        <v>3</v>
      </c>
      <c r="F64" s="1092">
        <v>0</v>
      </c>
      <c r="G64" s="1083">
        <f t="shared" si="2"/>
        <v>0</v>
      </c>
      <c r="I64" s="1"/>
      <c r="J64" s="1"/>
      <c r="K64" s="1"/>
      <c r="L64" s="1"/>
      <c r="M64" s="1"/>
      <c r="N64" s="1"/>
      <c r="O64" s="1"/>
      <c r="P64" s="1"/>
      <c r="Q64" s="1"/>
      <c r="R64" s="1"/>
      <c r="S64" s="1"/>
      <c r="T64" s="1"/>
      <c r="U64" s="1"/>
      <c r="V64" s="1"/>
      <c r="W64" s="1"/>
      <c r="X64" s="1"/>
      <c r="Y64" s="1"/>
      <c r="Z64" s="1"/>
    </row>
    <row r="65" spans="1:26" s="8" customFormat="1" ht="27.75" customHeight="1">
      <c r="A65" s="1"/>
      <c r="B65" s="717">
        <v>20</v>
      </c>
      <c r="C65" s="1096" t="s">
        <v>100</v>
      </c>
      <c r="D65" s="182" t="s">
        <v>65</v>
      </c>
      <c r="E65" s="1097">
        <v>20</v>
      </c>
      <c r="F65" s="1092">
        <v>0</v>
      </c>
      <c r="G65" s="1083">
        <f t="shared" si="2"/>
        <v>0</v>
      </c>
      <c r="I65" s="1"/>
      <c r="J65" s="1"/>
      <c r="K65" s="1"/>
      <c r="L65" s="1"/>
      <c r="M65" s="1"/>
      <c r="N65" s="1"/>
      <c r="O65" s="1"/>
      <c r="P65" s="1"/>
      <c r="Q65" s="1"/>
      <c r="R65" s="1"/>
      <c r="S65" s="1"/>
      <c r="T65" s="1"/>
      <c r="U65" s="1"/>
      <c r="V65" s="1"/>
      <c r="W65" s="1"/>
      <c r="X65" s="1"/>
      <c r="Y65" s="1"/>
      <c r="Z65" s="1"/>
    </row>
    <row r="66" spans="1:26" s="8" customFormat="1" ht="48">
      <c r="A66" s="1"/>
      <c r="B66" s="167">
        <v>21</v>
      </c>
      <c r="C66" s="139" t="s">
        <v>1394</v>
      </c>
      <c r="D66" s="140" t="s">
        <v>78</v>
      </c>
      <c r="E66" s="1091">
        <f>E26*1</f>
        <v>954</v>
      </c>
      <c r="F66" s="1092">
        <v>0</v>
      </c>
      <c r="G66" s="1093">
        <f t="shared" si="2"/>
        <v>0</v>
      </c>
      <c r="I66" s="1"/>
      <c r="J66" s="1"/>
      <c r="K66" s="1"/>
      <c r="L66" s="1"/>
      <c r="M66" s="1"/>
      <c r="N66" s="1"/>
      <c r="O66" s="1"/>
      <c r="P66" s="1"/>
      <c r="Q66" s="1"/>
      <c r="R66" s="1"/>
      <c r="S66" s="1"/>
      <c r="T66" s="1"/>
      <c r="U66" s="1"/>
      <c r="V66" s="1"/>
      <c r="W66" s="1"/>
      <c r="X66" s="1"/>
      <c r="Y66" s="1"/>
      <c r="Z66" s="1"/>
    </row>
    <row r="67" spans="1:26" s="8" customFormat="1">
      <c r="A67" s="1"/>
      <c r="B67" s="167"/>
      <c r="C67" s="1098"/>
      <c r="D67" s="1099"/>
      <c r="E67" s="1100"/>
      <c r="F67" s="1101"/>
      <c r="G67" s="1102"/>
      <c r="I67" s="1"/>
      <c r="J67" s="1"/>
      <c r="K67" s="1"/>
      <c r="L67" s="1"/>
      <c r="M67" s="1"/>
      <c r="N67" s="1"/>
      <c r="O67" s="1"/>
      <c r="P67" s="1"/>
      <c r="Q67" s="1"/>
      <c r="R67" s="1"/>
      <c r="S67" s="1"/>
      <c r="T67" s="1"/>
      <c r="U67" s="1"/>
      <c r="V67" s="1"/>
      <c r="W67" s="1"/>
      <c r="X67" s="1"/>
      <c r="Y67" s="1"/>
      <c r="Z67" s="1"/>
    </row>
    <row r="68" spans="1:26" s="8" customFormat="1">
      <c r="A68" s="1"/>
      <c r="B68" s="151" t="s">
        <v>45</v>
      </c>
      <c r="C68" s="1086" t="s">
        <v>101</v>
      </c>
      <c r="D68" s="1103"/>
      <c r="E68" s="1088"/>
      <c r="F68" s="1089"/>
      <c r="G68" s="2370">
        <f>SUM(G46:G66)</f>
        <v>0</v>
      </c>
      <c r="I68" s="1"/>
      <c r="J68" s="1"/>
      <c r="K68" s="1"/>
      <c r="L68" s="1"/>
      <c r="M68" s="1"/>
      <c r="N68" s="1"/>
      <c r="O68" s="1"/>
      <c r="P68" s="1"/>
      <c r="Q68" s="1"/>
      <c r="R68" s="1"/>
      <c r="S68" s="1"/>
      <c r="T68" s="1"/>
      <c r="U68" s="1"/>
      <c r="V68" s="1"/>
      <c r="W68" s="1"/>
      <c r="X68" s="1"/>
      <c r="Y68" s="1"/>
      <c r="Z68" s="1"/>
    </row>
    <row r="69" spans="1:26" s="8" customFormat="1">
      <c r="A69" s="1"/>
      <c r="B69" s="67"/>
      <c r="C69" s="68"/>
      <c r="D69" s="69"/>
      <c r="E69" s="1104"/>
      <c r="F69" s="1105"/>
      <c r="G69" s="1106"/>
      <c r="I69" s="1"/>
      <c r="J69" s="1"/>
      <c r="K69" s="1"/>
      <c r="L69" s="1"/>
      <c r="M69" s="1"/>
      <c r="N69" s="1"/>
      <c r="O69" s="1"/>
      <c r="P69" s="1"/>
      <c r="Q69" s="1"/>
      <c r="R69" s="1"/>
      <c r="S69" s="1"/>
      <c r="T69" s="1"/>
      <c r="U69" s="1"/>
      <c r="V69" s="1"/>
      <c r="W69" s="1"/>
      <c r="X69" s="1"/>
      <c r="Y69" s="1"/>
      <c r="Z69" s="1"/>
    </row>
    <row r="70" spans="1:26" s="8" customFormat="1" ht="24">
      <c r="A70" s="1"/>
      <c r="B70" s="119" t="s">
        <v>50</v>
      </c>
      <c r="C70" s="120" t="s">
        <v>51</v>
      </c>
      <c r="D70" s="121" t="s">
        <v>52</v>
      </c>
      <c r="E70" s="122" t="s">
        <v>53</v>
      </c>
      <c r="F70" s="123" t="s">
        <v>54</v>
      </c>
      <c r="G70" s="124" t="s">
        <v>55</v>
      </c>
      <c r="I70" s="1"/>
      <c r="J70" s="1"/>
      <c r="K70" s="1"/>
      <c r="L70" s="1"/>
      <c r="M70" s="1"/>
      <c r="N70" s="1"/>
      <c r="O70" s="1"/>
      <c r="P70" s="1"/>
      <c r="Q70" s="1"/>
      <c r="R70" s="1"/>
      <c r="S70" s="1"/>
      <c r="T70" s="1"/>
      <c r="U70" s="1"/>
      <c r="V70" s="1"/>
      <c r="W70" s="1"/>
      <c r="X70" s="1"/>
      <c r="Y70" s="1"/>
      <c r="Z70" s="1"/>
    </row>
    <row r="71" spans="1:26" s="8" customFormat="1">
      <c r="A71" s="1"/>
      <c r="B71" s="125"/>
      <c r="C71" s="126"/>
      <c r="D71" s="127"/>
      <c r="E71" s="719"/>
      <c r="F71" s="1107"/>
      <c r="G71" s="731"/>
      <c r="I71" s="1"/>
      <c r="J71" s="1"/>
      <c r="K71" s="1"/>
      <c r="L71" s="1"/>
      <c r="M71" s="1"/>
      <c r="N71" s="1"/>
      <c r="O71" s="1"/>
      <c r="P71" s="1"/>
      <c r="Q71" s="1"/>
      <c r="R71" s="1"/>
      <c r="S71" s="1"/>
      <c r="T71" s="1"/>
      <c r="U71" s="1"/>
      <c r="V71" s="1"/>
      <c r="W71" s="1"/>
      <c r="X71" s="1"/>
      <c r="Y71" s="1"/>
      <c r="Z71" s="1"/>
    </row>
    <row r="72" spans="1:26"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c r="Z72" s="1"/>
    </row>
    <row r="73" spans="1:26" s="8" customFormat="1">
      <c r="A73" s="1"/>
      <c r="B73" s="1108" t="s">
        <v>38</v>
      </c>
      <c r="C73" s="1109"/>
      <c r="D73" s="1110"/>
      <c r="E73" s="1109"/>
      <c r="F73" s="1109"/>
      <c r="G73" s="1110"/>
      <c r="I73" s="1"/>
      <c r="J73" s="1"/>
      <c r="K73" s="1"/>
      <c r="L73" s="1"/>
      <c r="M73" s="1"/>
      <c r="N73" s="1"/>
      <c r="O73" s="1"/>
      <c r="P73" s="1"/>
      <c r="Q73" s="1"/>
      <c r="R73" s="1"/>
      <c r="S73" s="1"/>
      <c r="T73" s="1"/>
      <c r="U73" s="1"/>
      <c r="V73" s="1"/>
      <c r="W73" s="1"/>
      <c r="X73" s="1"/>
      <c r="Y73" s="1"/>
      <c r="Z73" s="1"/>
    </row>
    <row r="74" spans="1:26" s="8" customFormat="1">
      <c r="A74" s="1"/>
      <c r="B74" s="1111" t="s">
        <v>39</v>
      </c>
      <c r="C74" s="1112"/>
      <c r="D74" s="1112"/>
      <c r="E74" s="1112"/>
      <c r="F74" s="1112"/>
      <c r="G74" s="1113"/>
      <c r="I74" s="1"/>
      <c r="J74" s="1"/>
      <c r="K74" s="1"/>
      <c r="L74" s="1"/>
      <c r="M74" s="1"/>
      <c r="N74" s="1"/>
      <c r="O74" s="1"/>
      <c r="P74" s="1"/>
      <c r="Q74" s="1"/>
      <c r="R74" s="1"/>
      <c r="S74" s="1"/>
      <c r="T74" s="1"/>
      <c r="U74" s="1"/>
      <c r="V74" s="1"/>
      <c r="W74" s="1"/>
      <c r="X74" s="1"/>
      <c r="Y74" s="1"/>
      <c r="Z74" s="1"/>
    </row>
    <row r="75" spans="1:26" s="8" customFormat="1">
      <c r="A75" s="1"/>
      <c r="B75" s="1108" t="s">
        <v>4</v>
      </c>
      <c r="C75" s="1109"/>
      <c r="D75" s="1114"/>
      <c r="E75" s="1109"/>
      <c r="F75" s="1109"/>
      <c r="G75" s="1110"/>
      <c r="I75" s="1"/>
      <c r="J75" s="1"/>
      <c r="K75" s="1"/>
      <c r="L75" s="1"/>
      <c r="M75" s="1"/>
      <c r="N75" s="1"/>
      <c r="O75" s="1"/>
      <c r="P75" s="1"/>
      <c r="Q75" s="1"/>
      <c r="R75" s="1"/>
      <c r="S75" s="1"/>
      <c r="T75" s="1"/>
      <c r="U75" s="1"/>
      <c r="V75" s="1"/>
      <c r="W75" s="1"/>
      <c r="X75" s="1"/>
      <c r="Y75" s="1"/>
      <c r="Z75" s="1"/>
    </row>
    <row r="76" spans="1:26" s="8" customFormat="1">
      <c r="A76" s="1"/>
      <c r="B76" s="1111" t="s">
        <v>5</v>
      </c>
      <c r="C76" s="1112"/>
      <c r="D76" s="1112"/>
      <c r="E76" s="1112"/>
      <c r="F76" s="1112"/>
      <c r="G76" s="1113"/>
      <c r="I76" s="1"/>
      <c r="J76" s="1"/>
      <c r="K76" s="1"/>
      <c r="L76" s="1"/>
      <c r="M76" s="1"/>
      <c r="N76" s="1"/>
      <c r="O76" s="1"/>
      <c r="P76" s="1"/>
      <c r="Q76" s="1"/>
      <c r="R76" s="1"/>
      <c r="S76" s="1"/>
      <c r="T76" s="1"/>
      <c r="U76" s="1"/>
      <c r="V76" s="1"/>
      <c r="W76" s="1"/>
      <c r="X76" s="1"/>
      <c r="Y76" s="1"/>
      <c r="Z76" s="1"/>
    </row>
    <row r="77" spans="1:26" s="8" customFormat="1">
      <c r="A77" s="1"/>
      <c r="B77" s="2399" t="s">
        <v>271</v>
      </c>
      <c r="C77" s="2400"/>
      <c r="D77" s="2400"/>
      <c r="E77" s="2400"/>
      <c r="F77" s="2400"/>
      <c r="G77" s="2401"/>
      <c r="I77" s="1"/>
      <c r="J77" s="1"/>
      <c r="K77" s="1"/>
      <c r="L77" s="1"/>
      <c r="M77" s="1"/>
      <c r="N77" s="1"/>
      <c r="O77" s="1"/>
      <c r="P77" s="1"/>
      <c r="Q77" s="1"/>
      <c r="R77" s="1"/>
      <c r="S77" s="1"/>
      <c r="T77" s="1"/>
      <c r="U77" s="1"/>
      <c r="V77" s="1"/>
      <c r="W77" s="1"/>
      <c r="X77" s="1"/>
      <c r="Y77" s="1"/>
      <c r="Z77" s="1"/>
    </row>
    <row r="78" spans="1:26" s="8" customFormat="1">
      <c r="A78" s="1"/>
      <c r="B78" s="2399" t="s">
        <v>104</v>
      </c>
      <c r="C78" s="2400"/>
      <c r="D78" s="2400"/>
      <c r="E78" s="2400"/>
      <c r="F78" s="2400"/>
      <c r="G78" s="2401"/>
      <c r="I78" s="1"/>
      <c r="J78" s="1"/>
      <c r="K78" s="1"/>
      <c r="L78" s="1"/>
      <c r="M78" s="1"/>
      <c r="N78" s="1"/>
      <c r="O78" s="1"/>
      <c r="P78" s="1"/>
      <c r="Q78" s="1"/>
      <c r="R78" s="1"/>
      <c r="S78" s="1"/>
      <c r="T78" s="1"/>
      <c r="U78" s="1"/>
      <c r="V78" s="1"/>
      <c r="W78" s="1"/>
      <c r="X78" s="1"/>
      <c r="Y78" s="1"/>
      <c r="Z78" s="1"/>
    </row>
    <row r="79" spans="1:26" s="8" customFormat="1">
      <c r="A79" s="1"/>
      <c r="B79" s="2399" t="s">
        <v>105</v>
      </c>
      <c r="C79" s="2400"/>
      <c r="D79" s="2400"/>
      <c r="E79" s="2400"/>
      <c r="F79" s="2400"/>
      <c r="G79" s="2401"/>
      <c r="I79" s="1"/>
      <c r="J79" s="1"/>
      <c r="K79" s="1"/>
      <c r="L79" s="1"/>
      <c r="M79" s="1"/>
      <c r="N79" s="1"/>
      <c r="O79" s="1"/>
      <c r="P79" s="1"/>
      <c r="Q79" s="1"/>
      <c r="R79" s="1"/>
      <c r="S79" s="1"/>
      <c r="T79" s="1"/>
      <c r="U79" s="1"/>
      <c r="V79" s="1"/>
      <c r="W79" s="1"/>
      <c r="X79" s="1"/>
      <c r="Y79" s="1"/>
      <c r="Z79" s="1"/>
    </row>
    <row r="80" spans="1:26" s="8" customFormat="1">
      <c r="A80" s="1"/>
      <c r="B80" s="1115"/>
      <c r="C80" s="1116"/>
      <c r="D80" s="1116"/>
      <c r="E80" s="1116"/>
      <c r="F80" s="1116"/>
      <c r="G80" s="1117"/>
      <c r="I80" s="1"/>
      <c r="J80" s="1"/>
      <c r="K80" s="1"/>
      <c r="L80" s="1"/>
      <c r="M80" s="1"/>
      <c r="N80" s="1"/>
      <c r="O80" s="1"/>
      <c r="P80" s="1"/>
      <c r="Q80" s="1"/>
      <c r="R80" s="1"/>
      <c r="S80" s="1"/>
      <c r="T80" s="1"/>
      <c r="U80" s="1"/>
      <c r="V80" s="1"/>
      <c r="W80" s="1"/>
      <c r="X80" s="1"/>
      <c r="Y80" s="1"/>
      <c r="Z80" s="1"/>
    </row>
    <row r="81" spans="2:9" ht="24">
      <c r="B81" s="188">
        <v>1</v>
      </c>
      <c r="C81" s="189" t="s">
        <v>106</v>
      </c>
      <c r="D81" s="190"/>
      <c r="E81" s="719"/>
      <c r="F81" s="1107"/>
      <c r="G81" s="731"/>
    </row>
    <row r="82" spans="2:9">
      <c r="B82" s="191"/>
      <c r="C82" s="192" t="s">
        <v>107</v>
      </c>
      <c r="D82" s="190" t="s">
        <v>57</v>
      </c>
      <c r="E82" s="719">
        <f>898*0.9</f>
        <v>808.2</v>
      </c>
      <c r="F82" s="1092">
        <v>0</v>
      </c>
      <c r="G82" s="1093">
        <f t="shared" ref="G82:G92" si="3">E82*F82</f>
        <v>0</v>
      </c>
      <c r="I82" s="1118"/>
    </row>
    <row r="83" spans="2:9" ht="24">
      <c r="B83" s="191"/>
      <c r="C83" s="192" t="s">
        <v>884</v>
      </c>
      <c r="D83" s="190" t="s">
        <v>57</v>
      </c>
      <c r="E83" s="719">
        <f>898*0.1</f>
        <v>89.800000000000011</v>
      </c>
      <c r="F83" s="1092">
        <v>0</v>
      </c>
      <c r="G83" s="1093">
        <f t="shared" si="3"/>
        <v>0</v>
      </c>
      <c r="I83" s="1118"/>
    </row>
    <row r="84" spans="2:9">
      <c r="B84" s="191"/>
      <c r="C84" s="192" t="s">
        <v>226</v>
      </c>
      <c r="D84" s="190" t="s">
        <v>57</v>
      </c>
      <c r="E84" s="719">
        <f>56*0.9</f>
        <v>50.4</v>
      </c>
      <c r="F84" s="1092">
        <v>0</v>
      </c>
      <c r="G84" s="1093">
        <f t="shared" si="3"/>
        <v>0</v>
      </c>
      <c r="I84" s="1118"/>
    </row>
    <row r="85" spans="2:9" ht="24">
      <c r="B85" s="191"/>
      <c r="C85" s="192" t="s">
        <v>227</v>
      </c>
      <c r="D85" s="190" t="s">
        <v>57</v>
      </c>
      <c r="E85" s="719">
        <f>56*0.1</f>
        <v>5.6000000000000005</v>
      </c>
      <c r="F85" s="1092">
        <v>0</v>
      </c>
      <c r="G85" s="1093">
        <f t="shared" si="3"/>
        <v>0</v>
      </c>
      <c r="I85" s="1118"/>
    </row>
    <row r="86" spans="2:9">
      <c r="B86" s="191"/>
      <c r="C86" s="192" t="s">
        <v>109</v>
      </c>
      <c r="D86" s="190" t="s">
        <v>57</v>
      </c>
      <c r="E86" s="719">
        <f>283*0.9</f>
        <v>254.70000000000002</v>
      </c>
      <c r="F86" s="1092">
        <v>0</v>
      </c>
      <c r="G86" s="1093">
        <f t="shared" si="3"/>
        <v>0</v>
      </c>
      <c r="I86" s="1119"/>
    </row>
    <row r="87" spans="2:9" ht="24">
      <c r="B87" s="191"/>
      <c r="C87" s="192" t="s">
        <v>110</v>
      </c>
      <c r="D87" s="190" t="s">
        <v>57</v>
      </c>
      <c r="E87" s="719">
        <f>283*0.1</f>
        <v>28.3</v>
      </c>
      <c r="F87" s="1092">
        <v>0</v>
      </c>
      <c r="G87" s="1093">
        <f t="shared" si="3"/>
        <v>0</v>
      </c>
    </row>
    <row r="88" spans="2:9" ht="36">
      <c r="B88" s="2404" t="s">
        <v>111</v>
      </c>
      <c r="C88" s="193" t="s">
        <v>112</v>
      </c>
      <c r="D88" s="194"/>
      <c r="E88" s="719"/>
      <c r="F88" s="1092"/>
      <c r="G88" s="1093"/>
    </row>
    <row r="89" spans="2:9">
      <c r="B89" s="2405"/>
      <c r="C89" s="195" t="s">
        <v>113</v>
      </c>
      <c r="D89" s="194" t="s">
        <v>57</v>
      </c>
      <c r="E89" s="719">
        <v>130</v>
      </c>
      <c r="F89" s="1092">
        <v>0</v>
      </c>
      <c r="G89" s="1093">
        <f>E89*F89</f>
        <v>0</v>
      </c>
    </row>
    <row r="90" spans="2:9">
      <c r="B90" s="2405"/>
      <c r="C90" s="195" t="s">
        <v>274</v>
      </c>
      <c r="D90" s="194" t="s">
        <v>57</v>
      </c>
      <c r="E90" s="719">
        <v>9</v>
      </c>
      <c r="F90" s="1092">
        <v>0</v>
      </c>
      <c r="G90" s="1093">
        <f>E90*F90</f>
        <v>0</v>
      </c>
    </row>
    <row r="91" spans="2:9">
      <c r="B91" s="2413"/>
      <c r="C91" s="195" t="s">
        <v>275</v>
      </c>
      <c r="D91" s="194" t="s">
        <v>57</v>
      </c>
      <c r="E91" s="719">
        <v>42</v>
      </c>
      <c r="F91" s="1092">
        <v>0</v>
      </c>
      <c r="G91" s="1093">
        <f>E91*F91</f>
        <v>0</v>
      </c>
    </row>
    <row r="92" spans="2:9" ht="36">
      <c r="B92" s="196">
        <v>2</v>
      </c>
      <c r="C92" s="197" t="s">
        <v>114</v>
      </c>
      <c r="D92" s="145" t="s">
        <v>57</v>
      </c>
      <c r="E92" s="732">
        <f>SUM(E82:E87)</f>
        <v>1237</v>
      </c>
      <c r="F92" s="1092">
        <v>0</v>
      </c>
      <c r="G92" s="1093">
        <f t="shared" si="3"/>
        <v>0</v>
      </c>
    </row>
    <row r="93" spans="2:9" ht="36">
      <c r="B93" s="199" t="s">
        <v>115</v>
      </c>
      <c r="C93" s="197" t="s">
        <v>116</v>
      </c>
      <c r="D93" s="145" t="s">
        <v>57</v>
      </c>
      <c r="E93" s="732">
        <f>E92</f>
        <v>1237</v>
      </c>
      <c r="F93" s="1092">
        <v>0</v>
      </c>
      <c r="G93" s="1093">
        <f>E93*F93</f>
        <v>0</v>
      </c>
    </row>
    <row r="94" spans="2:9" ht="24">
      <c r="B94" s="199" t="s">
        <v>117</v>
      </c>
      <c r="C94" s="197" t="s">
        <v>118</v>
      </c>
      <c r="D94" s="145" t="s">
        <v>57</v>
      </c>
      <c r="E94" s="732">
        <f>E93</f>
        <v>1237</v>
      </c>
      <c r="F94" s="1092">
        <v>0</v>
      </c>
      <c r="G94" s="1093">
        <f>E94*F94</f>
        <v>0</v>
      </c>
      <c r="I94" s="1119"/>
    </row>
    <row r="95" spans="2:9" ht="36">
      <c r="B95" s="199" t="s">
        <v>119</v>
      </c>
      <c r="C95" s="197" t="s">
        <v>120</v>
      </c>
      <c r="D95" s="145" t="s">
        <v>57</v>
      </c>
      <c r="E95" s="732">
        <f>E94</f>
        <v>1237</v>
      </c>
      <c r="F95" s="1092">
        <v>0</v>
      </c>
      <c r="G95" s="1093">
        <f>E95*F95</f>
        <v>0</v>
      </c>
    </row>
    <row r="96" spans="2:9" ht="24">
      <c r="B96" s="188">
        <v>3</v>
      </c>
      <c r="C96" s="200" t="s">
        <v>121</v>
      </c>
      <c r="D96" s="127"/>
      <c r="E96" s="719"/>
      <c r="F96" s="1092">
        <v>0</v>
      </c>
      <c r="G96" s="731"/>
    </row>
    <row r="97" spans="2:7">
      <c r="B97" s="201" t="s">
        <v>122</v>
      </c>
      <c r="C97" s="202" t="s">
        <v>123</v>
      </c>
      <c r="D97" s="203"/>
      <c r="E97" s="204"/>
      <c r="F97" s="205"/>
      <c r="G97" s="206"/>
    </row>
    <row r="98" spans="2:7">
      <c r="B98" s="125"/>
      <c r="C98" s="202" t="s">
        <v>124</v>
      </c>
      <c r="D98" s="203"/>
      <c r="E98" s="204"/>
      <c r="F98" s="205"/>
      <c r="G98" s="206"/>
    </row>
    <row r="99" spans="2:7">
      <c r="B99" s="207"/>
      <c r="C99" s="208" t="s">
        <v>199</v>
      </c>
      <c r="D99" s="209" t="s">
        <v>66</v>
      </c>
      <c r="E99" s="204">
        <v>1</v>
      </c>
      <c r="F99" s="210">
        <v>0</v>
      </c>
      <c r="G99" s="211">
        <f>E99*F99</f>
        <v>0</v>
      </c>
    </row>
    <row r="100" spans="2:7">
      <c r="B100" s="207"/>
      <c r="C100" s="208" t="s">
        <v>125</v>
      </c>
      <c r="D100" s="209" t="s">
        <v>66</v>
      </c>
      <c r="E100" s="204">
        <v>1</v>
      </c>
      <c r="F100" s="210">
        <v>0</v>
      </c>
      <c r="G100" s="211">
        <f>E100*F100</f>
        <v>0</v>
      </c>
    </row>
    <row r="101" spans="2:7">
      <c r="B101" s="201" t="s">
        <v>126</v>
      </c>
      <c r="C101" s="212" t="s">
        <v>127</v>
      </c>
      <c r="D101" s="213"/>
      <c r="E101" s="214"/>
      <c r="F101" s="215">
        <v>0</v>
      </c>
      <c r="G101" s="216"/>
    </row>
    <row r="102" spans="2:7">
      <c r="B102" s="218"/>
      <c r="C102" s="212" t="s">
        <v>128</v>
      </c>
      <c r="D102" s="735"/>
      <c r="E102" s="736"/>
      <c r="F102" s="1601"/>
      <c r="G102" s="1121"/>
    </row>
    <row r="103" spans="2:7">
      <c r="B103" s="218"/>
      <c r="C103" s="219" t="s">
        <v>129</v>
      </c>
      <c r="D103" s="213" t="s">
        <v>66</v>
      </c>
      <c r="E103" s="214">
        <v>4</v>
      </c>
      <c r="F103" s="1599">
        <v>0</v>
      </c>
      <c r="G103" s="221">
        <f t="shared" ref="G103:G110" si="4">E103*F103</f>
        <v>0</v>
      </c>
    </row>
    <row r="104" spans="2:7" ht="36">
      <c r="B104" s="218"/>
      <c r="C104" s="222" t="s">
        <v>130</v>
      </c>
      <c r="D104" s="213" t="s">
        <v>66</v>
      </c>
      <c r="E104" s="214">
        <v>4</v>
      </c>
      <c r="F104" s="1599">
        <v>0</v>
      </c>
      <c r="G104" s="221">
        <f t="shared" si="4"/>
        <v>0</v>
      </c>
    </row>
    <row r="105" spans="2:7">
      <c r="B105" s="218"/>
      <c r="C105" s="222" t="s">
        <v>183</v>
      </c>
      <c r="D105" s="213" t="s">
        <v>66</v>
      </c>
      <c r="E105" s="214">
        <v>4</v>
      </c>
      <c r="F105" s="1599">
        <v>0</v>
      </c>
      <c r="G105" s="221">
        <f t="shared" si="4"/>
        <v>0</v>
      </c>
    </row>
    <row r="106" spans="2:7">
      <c r="B106" s="218"/>
      <c r="C106" s="222" t="s">
        <v>131</v>
      </c>
      <c r="D106" s="213" t="s">
        <v>66</v>
      </c>
      <c r="E106" s="214">
        <v>4</v>
      </c>
      <c r="F106" s="1599">
        <v>0</v>
      </c>
      <c r="G106" s="221">
        <f t="shared" si="4"/>
        <v>0</v>
      </c>
    </row>
    <row r="107" spans="2:7">
      <c r="B107" s="218"/>
      <c r="C107" s="222" t="s">
        <v>132</v>
      </c>
      <c r="D107" s="213" t="s">
        <v>66</v>
      </c>
      <c r="E107" s="214">
        <v>8</v>
      </c>
      <c r="F107" s="1599">
        <v>0</v>
      </c>
      <c r="G107" s="221">
        <f t="shared" si="4"/>
        <v>0</v>
      </c>
    </row>
    <row r="108" spans="2:7">
      <c r="B108" s="218"/>
      <c r="C108" s="222" t="s">
        <v>133</v>
      </c>
      <c r="D108" s="213" t="s">
        <v>66</v>
      </c>
      <c r="E108" s="214">
        <v>8</v>
      </c>
      <c r="F108" s="1599">
        <v>0</v>
      </c>
      <c r="G108" s="221">
        <f t="shared" si="4"/>
        <v>0</v>
      </c>
    </row>
    <row r="109" spans="2:7">
      <c r="B109" s="218"/>
      <c r="C109" s="222" t="s">
        <v>134</v>
      </c>
      <c r="D109" s="213" t="s">
        <v>66</v>
      </c>
      <c r="E109" s="214">
        <v>4</v>
      </c>
      <c r="F109" s="1599">
        <v>0</v>
      </c>
      <c r="G109" s="221">
        <f t="shared" si="4"/>
        <v>0</v>
      </c>
    </row>
    <row r="110" spans="2:7">
      <c r="B110" s="218"/>
      <c r="C110" s="222" t="s">
        <v>135</v>
      </c>
      <c r="D110" s="213" t="s">
        <v>66</v>
      </c>
      <c r="E110" s="214">
        <v>4</v>
      </c>
      <c r="F110" s="1599">
        <v>0</v>
      </c>
      <c r="G110" s="221">
        <f t="shared" si="4"/>
        <v>0</v>
      </c>
    </row>
    <row r="111" spans="2:7">
      <c r="B111" s="201" t="s">
        <v>136</v>
      </c>
      <c r="C111" s="238" t="s">
        <v>320</v>
      </c>
      <c r="D111" s="239"/>
      <c r="E111" s="240"/>
      <c r="F111" s="241"/>
      <c r="G111" s="242"/>
    </row>
    <row r="112" spans="2:7">
      <c r="B112" s="218"/>
      <c r="C112" s="238" t="s">
        <v>326</v>
      </c>
      <c r="D112" s="153"/>
      <c r="E112" s="741"/>
      <c r="F112" s="1611"/>
      <c r="G112" s="263"/>
    </row>
    <row r="113" spans="2:7" ht="27" customHeight="1">
      <c r="B113" s="218"/>
      <c r="C113" s="1123" t="s">
        <v>322</v>
      </c>
      <c r="D113" s="239" t="s">
        <v>66</v>
      </c>
      <c r="E113" s="240">
        <v>1</v>
      </c>
      <c r="F113" s="1609">
        <v>0</v>
      </c>
      <c r="G113" s="245">
        <f t="shared" ref="G113:G115" si="5">E113*F113</f>
        <v>0</v>
      </c>
    </row>
    <row r="114" spans="2:7">
      <c r="B114" s="218"/>
      <c r="C114" s="246" t="s">
        <v>325</v>
      </c>
      <c r="D114" s="239" t="s">
        <v>66</v>
      </c>
      <c r="E114" s="240">
        <v>1</v>
      </c>
      <c r="F114" s="1609">
        <v>0</v>
      </c>
      <c r="G114" s="245">
        <f t="shared" si="5"/>
        <v>0</v>
      </c>
    </row>
    <row r="115" spans="2:7">
      <c r="B115" s="218"/>
      <c r="C115" s="247" t="s">
        <v>135</v>
      </c>
      <c r="D115" s="239" t="s">
        <v>66</v>
      </c>
      <c r="E115" s="240">
        <v>1</v>
      </c>
      <c r="F115" s="1609">
        <v>0</v>
      </c>
      <c r="G115" s="245">
        <f t="shared" si="5"/>
        <v>0</v>
      </c>
    </row>
    <row r="116" spans="2:7">
      <c r="B116" s="201" t="s">
        <v>151</v>
      </c>
      <c r="C116" s="223" t="s">
        <v>137</v>
      </c>
      <c r="D116" s="224"/>
      <c r="E116" s="225"/>
      <c r="F116" s="226"/>
      <c r="G116" s="227"/>
    </row>
    <row r="117" spans="2:7">
      <c r="B117" s="218"/>
      <c r="C117" s="223" t="s">
        <v>138</v>
      </c>
      <c r="D117" s="737"/>
      <c r="E117" s="738"/>
      <c r="F117" s="1605"/>
      <c r="G117" s="1125"/>
    </row>
    <row r="118" spans="2:7">
      <c r="B118" s="218"/>
      <c r="C118" s="228" t="s">
        <v>129</v>
      </c>
      <c r="D118" s="224" t="s">
        <v>66</v>
      </c>
      <c r="E118" s="225">
        <v>2</v>
      </c>
      <c r="F118" s="1603">
        <v>0</v>
      </c>
      <c r="G118" s="230">
        <f t="shared" ref="G118:G133" si="6">E118*F118</f>
        <v>0</v>
      </c>
    </row>
    <row r="119" spans="2:7">
      <c r="B119" s="218"/>
      <c r="C119" s="228" t="s">
        <v>139</v>
      </c>
      <c r="D119" s="224" t="s">
        <v>66</v>
      </c>
      <c r="E119" s="225">
        <v>4</v>
      </c>
      <c r="F119" s="1603">
        <v>0</v>
      </c>
      <c r="G119" s="230">
        <f t="shared" si="6"/>
        <v>0</v>
      </c>
    </row>
    <row r="120" spans="2:7">
      <c r="B120" s="218"/>
      <c r="C120" s="231" t="s">
        <v>140</v>
      </c>
      <c r="D120" s="224" t="s">
        <v>66</v>
      </c>
      <c r="E120" s="225">
        <v>2</v>
      </c>
      <c r="F120" s="1603">
        <v>0</v>
      </c>
      <c r="G120" s="230">
        <f t="shared" si="6"/>
        <v>0</v>
      </c>
    </row>
    <row r="121" spans="2:7">
      <c r="B121" s="218"/>
      <c r="C121" s="231" t="s">
        <v>141</v>
      </c>
      <c r="D121" s="224" t="s">
        <v>66</v>
      </c>
      <c r="E121" s="225">
        <v>2</v>
      </c>
      <c r="F121" s="1603">
        <v>0</v>
      </c>
      <c r="G121" s="230">
        <f t="shared" si="6"/>
        <v>0</v>
      </c>
    </row>
    <row r="122" spans="2:7">
      <c r="B122" s="218"/>
      <c r="C122" s="231" t="s">
        <v>142</v>
      </c>
      <c r="D122" s="224" t="s">
        <v>66</v>
      </c>
      <c r="E122" s="225">
        <v>2</v>
      </c>
      <c r="F122" s="1603">
        <v>0</v>
      </c>
      <c r="G122" s="230">
        <f t="shared" si="6"/>
        <v>0</v>
      </c>
    </row>
    <row r="123" spans="2:7">
      <c r="B123" s="218"/>
      <c r="C123" s="231" t="s">
        <v>143</v>
      </c>
      <c r="D123" s="224" t="s">
        <v>66</v>
      </c>
      <c r="E123" s="225">
        <v>2</v>
      </c>
      <c r="F123" s="1603">
        <v>0</v>
      </c>
      <c r="G123" s="230">
        <f t="shared" si="6"/>
        <v>0</v>
      </c>
    </row>
    <row r="124" spans="2:7">
      <c r="B124" s="218"/>
      <c r="C124" s="231" t="s">
        <v>2250</v>
      </c>
      <c r="D124" s="224" t="s">
        <v>66</v>
      </c>
      <c r="E124" s="225">
        <v>2</v>
      </c>
      <c r="F124" s="1603">
        <v>0</v>
      </c>
      <c r="G124" s="230">
        <f t="shared" si="6"/>
        <v>0</v>
      </c>
    </row>
    <row r="125" spans="2:7">
      <c r="B125" s="218"/>
      <c r="C125" s="231" t="s">
        <v>145</v>
      </c>
      <c r="D125" s="224" t="s">
        <v>66</v>
      </c>
      <c r="E125" s="225">
        <v>2</v>
      </c>
      <c r="F125" s="1603">
        <v>0</v>
      </c>
      <c r="G125" s="230">
        <f t="shared" si="6"/>
        <v>0</v>
      </c>
    </row>
    <row r="126" spans="2:7">
      <c r="B126" s="218"/>
      <c r="C126" s="231" t="s">
        <v>146</v>
      </c>
      <c r="D126" s="224" t="s">
        <v>66</v>
      </c>
      <c r="E126" s="225">
        <v>2</v>
      </c>
      <c r="F126" s="1603">
        <v>0</v>
      </c>
      <c r="G126" s="230">
        <f t="shared" si="6"/>
        <v>0</v>
      </c>
    </row>
    <row r="127" spans="2:7">
      <c r="B127" s="218"/>
      <c r="C127" s="739" t="s">
        <v>147</v>
      </c>
      <c r="D127" s="224" t="s">
        <v>66</v>
      </c>
      <c r="E127" s="225">
        <v>2</v>
      </c>
      <c r="F127" s="1603">
        <v>0</v>
      </c>
      <c r="G127" s="230">
        <f t="shared" si="6"/>
        <v>0</v>
      </c>
    </row>
    <row r="128" spans="2:7">
      <c r="B128" s="218"/>
      <c r="C128" s="739" t="s">
        <v>188</v>
      </c>
      <c r="D128" s="224" t="s">
        <v>66</v>
      </c>
      <c r="E128" s="225">
        <v>2</v>
      </c>
      <c r="F128" s="1603">
        <v>0</v>
      </c>
      <c r="G128" s="230">
        <f t="shared" si="6"/>
        <v>0</v>
      </c>
    </row>
    <row r="129" spans="2:7">
      <c r="B129" s="218"/>
      <c r="C129" s="739" t="s">
        <v>132</v>
      </c>
      <c r="D129" s="224" t="s">
        <v>66</v>
      </c>
      <c r="E129" s="225">
        <v>4</v>
      </c>
      <c r="F129" s="1603">
        <v>0</v>
      </c>
      <c r="G129" s="230">
        <f t="shared" si="6"/>
        <v>0</v>
      </c>
    </row>
    <row r="130" spans="2:7">
      <c r="B130" s="218"/>
      <c r="C130" s="739" t="s">
        <v>148</v>
      </c>
      <c r="D130" s="224" t="s">
        <v>66</v>
      </c>
      <c r="E130" s="225">
        <v>4</v>
      </c>
      <c r="F130" s="1603">
        <v>0</v>
      </c>
      <c r="G130" s="230">
        <f t="shared" si="6"/>
        <v>0</v>
      </c>
    </row>
    <row r="131" spans="2:7">
      <c r="B131" s="218"/>
      <c r="C131" s="739" t="s">
        <v>149</v>
      </c>
      <c r="D131" s="224" t="s">
        <v>66</v>
      </c>
      <c r="E131" s="225">
        <v>2</v>
      </c>
      <c r="F131" s="1603">
        <v>0</v>
      </c>
      <c r="G131" s="230">
        <f t="shared" si="6"/>
        <v>0</v>
      </c>
    </row>
    <row r="132" spans="2:7">
      <c r="B132" s="218"/>
      <c r="C132" s="739" t="s">
        <v>150</v>
      </c>
      <c r="D132" s="224" t="s">
        <v>66</v>
      </c>
      <c r="E132" s="225">
        <v>6</v>
      </c>
      <c r="F132" s="1603">
        <v>0</v>
      </c>
      <c r="G132" s="230">
        <f t="shared" si="6"/>
        <v>0</v>
      </c>
    </row>
    <row r="133" spans="2:7">
      <c r="B133" s="218"/>
      <c r="C133" s="740" t="s">
        <v>135</v>
      </c>
      <c r="D133" s="224" t="s">
        <v>66</v>
      </c>
      <c r="E133" s="225">
        <v>2</v>
      </c>
      <c r="F133" s="1603">
        <v>0</v>
      </c>
      <c r="G133" s="230">
        <f t="shared" si="6"/>
        <v>0</v>
      </c>
    </row>
    <row r="134" spans="2:7">
      <c r="B134" s="201" t="s">
        <v>159</v>
      </c>
      <c r="C134" s="212" t="s">
        <v>152</v>
      </c>
      <c r="D134" s="213"/>
      <c r="E134" s="214"/>
      <c r="F134" s="215"/>
      <c r="G134" s="216"/>
    </row>
    <row r="135" spans="2:7">
      <c r="B135" s="218"/>
      <c r="C135" s="212" t="s">
        <v>153</v>
      </c>
      <c r="D135" s="735"/>
      <c r="E135" s="736"/>
      <c r="F135" s="1126"/>
      <c r="G135" s="1121"/>
    </row>
    <row r="136" spans="2:7">
      <c r="B136" s="218"/>
      <c r="C136" s="219" t="s">
        <v>129</v>
      </c>
      <c r="D136" s="213" t="s">
        <v>66</v>
      </c>
      <c r="E136" s="214">
        <v>5</v>
      </c>
      <c r="F136" s="220">
        <v>0</v>
      </c>
      <c r="G136" s="221">
        <f t="shared" ref="G136:G146" si="7">E136*F136</f>
        <v>0</v>
      </c>
    </row>
    <row r="137" spans="2:7" ht="24">
      <c r="B137" s="218"/>
      <c r="C137" s="222" t="s">
        <v>154</v>
      </c>
      <c r="D137" s="213" t="s">
        <v>66</v>
      </c>
      <c r="E137" s="214">
        <v>5</v>
      </c>
      <c r="F137" s="220">
        <v>0</v>
      </c>
      <c r="G137" s="221">
        <f t="shared" si="7"/>
        <v>0</v>
      </c>
    </row>
    <row r="138" spans="2:7">
      <c r="B138" s="218"/>
      <c r="C138" s="222" t="s">
        <v>155</v>
      </c>
      <c r="D138" s="213" t="s">
        <v>66</v>
      </c>
      <c r="E138" s="214">
        <v>5</v>
      </c>
      <c r="F138" s="220">
        <v>0</v>
      </c>
      <c r="G138" s="221">
        <f t="shared" si="7"/>
        <v>0</v>
      </c>
    </row>
    <row r="139" spans="2:7">
      <c r="B139" s="218"/>
      <c r="C139" s="222" t="s">
        <v>330</v>
      </c>
      <c r="D139" s="213" t="s">
        <v>66</v>
      </c>
      <c r="E139" s="214">
        <v>5</v>
      </c>
      <c r="F139" s="220">
        <v>0</v>
      </c>
      <c r="G139" s="221">
        <f t="shared" si="7"/>
        <v>0</v>
      </c>
    </row>
    <row r="140" spans="2:7">
      <c r="B140" s="218"/>
      <c r="C140" s="222" t="s">
        <v>157</v>
      </c>
      <c r="D140" s="213" t="s">
        <v>66</v>
      </c>
      <c r="E140" s="214">
        <v>5</v>
      </c>
      <c r="F140" s="220">
        <v>0</v>
      </c>
      <c r="G140" s="221">
        <f t="shared" si="7"/>
        <v>0</v>
      </c>
    </row>
    <row r="141" spans="2:7">
      <c r="B141" s="218"/>
      <c r="C141" s="234" t="s">
        <v>158</v>
      </c>
      <c r="D141" s="213" t="s">
        <v>66</v>
      </c>
      <c r="E141" s="214">
        <v>5</v>
      </c>
      <c r="F141" s="220">
        <v>0</v>
      </c>
      <c r="G141" s="221">
        <f t="shared" si="7"/>
        <v>0</v>
      </c>
    </row>
    <row r="142" spans="2:7">
      <c r="B142" s="218"/>
      <c r="C142" s="234" t="s">
        <v>190</v>
      </c>
      <c r="D142" s="213" t="s">
        <v>66</v>
      </c>
      <c r="E142" s="214">
        <v>5</v>
      </c>
      <c r="F142" s="220">
        <v>0</v>
      </c>
      <c r="G142" s="221">
        <f t="shared" si="7"/>
        <v>0</v>
      </c>
    </row>
    <row r="143" spans="2:7">
      <c r="B143" s="218"/>
      <c r="C143" s="234" t="s">
        <v>132</v>
      </c>
      <c r="D143" s="213" t="s">
        <v>66</v>
      </c>
      <c r="E143" s="214">
        <v>10</v>
      </c>
      <c r="F143" s="220">
        <v>0</v>
      </c>
      <c r="G143" s="221">
        <f t="shared" si="7"/>
        <v>0</v>
      </c>
    </row>
    <row r="144" spans="2:7">
      <c r="B144" s="218"/>
      <c r="C144" s="234" t="s">
        <v>148</v>
      </c>
      <c r="D144" s="213" t="s">
        <v>66</v>
      </c>
      <c r="E144" s="214">
        <v>10</v>
      </c>
      <c r="F144" s="220">
        <v>0</v>
      </c>
      <c r="G144" s="221">
        <f t="shared" si="7"/>
        <v>0</v>
      </c>
    </row>
    <row r="145" spans="2:7">
      <c r="B145" s="218"/>
      <c r="C145" s="234" t="s">
        <v>150</v>
      </c>
      <c r="D145" s="213" t="s">
        <v>66</v>
      </c>
      <c r="E145" s="214">
        <v>5</v>
      </c>
      <c r="F145" s="220">
        <v>0</v>
      </c>
      <c r="G145" s="221">
        <f t="shared" si="7"/>
        <v>0</v>
      </c>
    </row>
    <row r="146" spans="2:7">
      <c r="B146" s="218"/>
      <c r="C146" s="235" t="s">
        <v>135</v>
      </c>
      <c r="D146" s="213" t="s">
        <v>66</v>
      </c>
      <c r="E146" s="214">
        <v>5</v>
      </c>
      <c r="F146" s="220">
        <v>0</v>
      </c>
      <c r="G146" s="221">
        <f t="shared" si="7"/>
        <v>0</v>
      </c>
    </row>
    <row r="147" spans="2:7" ht="24">
      <c r="B147" s="199" t="s">
        <v>331</v>
      </c>
      <c r="C147" s="212" t="s">
        <v>332</v>
      </c>
      <c r="D147" s="735" t="s">
        <v>66</v>
      </c>
      <c r="E147" s="736">
        <v>5</v>
      </c>
      <c r="F147" s="1126">
        <v>0</v>
      </c>
      <c r="G147" s="1121">
        <f>E147*F147</f>
        <v>0</v>
      </c>
    </row>
    <row r="148" spans="2:7">
      <c r="B148" s="201" t="s">
        <v>172</v>
      </c>
      <c r="C148" s="223" t="s">
        <v>886</v>
      </c>
      <c r="D148" s="224"/>
      <c r="E148" s="225"/>
      <c r="F148" s="226"/>
      <c r="G148" s="227"/>
    </row>
    <row r="149" spans="2:7">
      <c r="B149" s="218"/>
      <c r="C149" s="223" t="s">
        <v>220</v>
      </c>
      <c r="D149" s="737"/>
      <c r="E149" s="738"/>
      <c r="F149" s="1605"/>
      <c r="G149" s="1125"/>
    </row>
    <row r="150" spans="2:7" ht="24">
      <c r="B150" s="218"/>
      <c r="C150" s="228" t="s">
        <v>2249</v>
      </c>
      <c r="D150" s="224" t="s">
        <v>66</v>
      </c>
      <c r="E150" s="225">
        <v>1</v>
      </c>
      <c r="F150" s="1603">
        <v>0</v>
      </c>
      <c r="G150" s="230">
        <f t="shared" ref="G150:G170" si="8">E150*F150</f>
        <v>0</v>
      </c>
    </row>
    <row r="151" spans="2:7">
      <c r="B151" s="218"/>
      <c r="C151" s="739" t="s">
        <v>184</v>
      </c>
      <c r="D151" s="224" t="s">
        <v>66</v>
      </c>
      <c r="E151" s="225">
        <v>2</v>
      </c>
      <c r="F151" s="1603">
        <v>0</v>
      </c>
      <c r="G151" s="230">
        <f t="shared" si="8"/>
        <v>0</v>
      </c>
    </row>
    <row r="152" spans="2:7">
      <c r="B152" s="218"/>
      <c r="C152" s="739" t="s">
        <v>132</v>
      </c>
      <c r="D152" s="224" t="s">
        <v>66</v>
      </c>
      <c r="E152" s="225">
        <v>1</v>
      </c>
      <c r="F152" s="1603">
        <v>0</v>
      </c>
      <c r="G152" s="230">
        <f t="shared" si="8"/>
        <v>0</v>
      </c>
    </row>
    <row r="153" spans="2:7">
      <c r="B153" s="218"/>
      <c r="C153" s="739" t="s">
        <v>150</v>
      </c>
      <c r="D153" s="224" t="s">
        <v>66</v>
      </c>
      <c r="E153" s="225">
        <v>1</v>
      </c>
      <c r="F153" s="1603">
        <v>0</v>
      </c>
      <c r="G153" s="230">
        <f t="shared" si="8"/>
        <v>0</v>
      </c>
    </row>
    <row r="154" spans="2:7">
      <c r="B154" s="218"/>
      <c r="C154" s="740" t="s">
        <v>135</v>
      </c>
      <c r="D154" s="224" t="s">
        <v>66</v>
      </c>
      <c r="E154" s="225">
        <v>1</v>
      </c>
      <c r="F154" s="1603">
        <v>0</v>
      </c>
      <c r="G154" s="230">
        <f t="shared" si="8"/>
        <v>0</v>
      </c>
    </row>
    <row r="155" spans="2:7">
      <c r="B155" s="218"/>
      <c r="C155" s="223" t="s">
        <v>196</v>
      </c>
      <c r="D155" s="737"/>
      <c r="E155" s="738"/>
      <c r="F155" s="1603"/>
      <c r="G155" s="230"/>
    </row>
    <row r="156" spans="2:7" ht="24">
      <c r="B156" s="218"/>
      <c r="C156" s="228" t="s">
        <v>2248</v>
      </c>
      <c r="D156" s="224" t="s">
        <v>66</v>
      </c>
      <c r="E156" s="225">
        <v>2</v>
      </c>
      <c r="F156" s="1603">
        <v>0</v>
      </c>
      <c r="G156" s="230">
        <f t="shared" si="8"/>
        <v>0</v>
      </c>
    </row>
    <row r="157" spans="2:7">
      <c r="B157" s="218"/>
      <c r="C157" s="232" t="s">
        <v>132</v>
      </c>
      <c r="D157" s="224" t="s">
        <v>66</v>
      </c>
      <c r="E157" s="225">
        <v>6</v>
      </c>
      <c r="F157" s="1603">
        <v>0</v>
      </c>
      <c r="G157" s="230">
        <f t="shared" si="8"/>
        <v>0</v>
      </c>
    </row>
    <row r="158" spans="2:7">
      <c r="B158" s="218"/>
      <c r="C158" s="232" t="s">
        <v>148</v>
      </c>
      <c r="D158" s="224" t="s">
        <v>66</v>
      </c>
      <c r="E158" s="225">
        <v>6</v>
      </c>
      <c r="F158" s="1603">
        <v>0</v>
      </c>
      <c r="G158" s="230">
        <f t="shared" si="8"/>
        <v>0</v>
      </c>
    </row>
    <row r="159" spans="2:7">
      <c r="B159" s="218"/>
      <c r="C159" s="232" t="s">
        <v>150</v>
      </c>
      <c r="D159" s="224" t="s">
        <v>66</v>
      </c>
      <c r="E159" s="225">
        <v>2</v>
      </c>
      <c r="F159" s="1603">
        <v>0</v>
      </c>
      <c r="G159" s="230">
        <f t="shared" si="8"/>
        <v>0</v>
      </c>
    </row>
    <row r="160" spans="2:7">
      <c r="B160" s="218"/>
      <c r="C160" s="233" t="s">
        <v>135</v>
      </c>
      <c r="D160" s="224" t="s">
        <v>66</v>
      </c>
      <c r="E160" s="225">
        <v>2</v>
      </c>
      <c r="F160" s="1603">
        <v>0</v>
      </c>
      <c r="G160" s="230">
        <f t="shared" si="8"/>
        <v>0</v>
      </c>
    </row>
    <row r="161" spans="2:8">
      <c r="B161" s="218"/>
      <c r="C161" s="223" t="s">
        <v>228</v>
      </c>
      <c r="D161" s="737"/>
      <c r="E161" s="738"/>
      <c r="F161" s="1603"/>
      <c r="G161" s="230"/>
    </row>
    <row r="162" spans="2:8" ht="24">
      <c r="B162" s="218"/>
      <c r="C162" s="228" t="s">
        <v>2247</v>
      </c>
      <c r="D162" s="224" t="s">
        <v>66</v>
      </c>
      <c r="E162" s="225">
        <v>1</v>
      </c>
      <c r="F162" s="1603">
        <v>0</v>
      </c>
      <c r="G162" s="230">
        <f t="shared" si="8"/>
        <v>0</v>
      </c>
    </row>
    <row r="163" spans="2:8">
      <c r="B163" s="218"/>
      <c r="C163" s="739" t="s">
        <v>132</v>
      </c>
      <c r="D163" s="224" t="s">
        <v>66</v>
      </c>
      <c r="E163" s="225">
        <v>2</v>
      </c>
      <c r="F163" s="1603">
        <v>0</v>
      </c>
      <c r="G163" s="230">
        <f t="shared" si="8"/>
        <v>0</v>
      </c>
    </row>
    <row r="164" spans="2:8">
      <c r="B164" s="218"/>
      <c r="C164" s="739" t="s">
        <v>166</v>
      </c>
      <c r="D164" s="224" t="s">
        <v>66</v>
      </c>
      <c r="E164" s="225">
        <v>1</v>
      </c>
      <c r="F164" s="1603">
        <v>0</v>
      </c>
      <c r="G164" s="230">
        <f t="shared" si="8"/>
        <v>0</v>
      </c>
    </row>
    <row r="165" spans="2:8">
      <c r="B165" s="218"/>
      <c r="C165" s="739" t="s">
        <v>148</v>
      </c>
      <c r="D165" s="224" t="s">
        <v>66</v>
      </c>
      <c r="E165" s="225">
        <v>2</v>
      </c>
      <c r="F165" s="1603">
        <v>0</v>
      </c>
      <c r="G165" s="230">
        <f t="shared" si="8"/>
        <v>0</v>
      </c>
    </row>
    <row r="166" spans="2:8">
      <c r="B166" s="218"/>
      <c r="C166" s="739" t="s">
        <v>167</v>
      </c>
      <c r="D166" s="224" t="s">
        <v>66</v>
      </c>
      <c r="E166" s="225">
        <v>1</v>
      </c>
      <c r="F166" s="1603">
        <v>0</v>
      </c>
      <c r="G166" s="230">
        <f t="shared" si="8"/>
        <v>0</v>
      </c>
    </row>
    <row r="167" spans="2:8">
      <c r="B167" s="218"/>
      <c r="C167" s="739" t="s">
        <v>229</v>
      </c>
      <c r="D167" s="224" t="s">
        <v>66</v>
      </c>
      <c r="E167" s="225">
        <v>1</v>
      </c>
      <c r="F167" s="1603">
        <v>0</v>
      </c>
      <c r="G167" s="230">
        <f t="shared" si="8"/>
        <v>0</v>
      </c>
    </row>
    <row r="168" spans="2:8">
      <c r="B168" s="218"/>
      <c r="C168" s="739" t="s">
        <v>230</v>
      </c>
      <c r="D168" s="224" t="s">
        <v>66</v>
      </c>
      <c r="E168" s="225">
        <v>1</v>
      </c>
      <c r="F168" s="1603">
        <v>0</v>
      </c>
      <c r="G168" s="230">
        <f t="shared" si="8"/>
        <v>0</v>
      </c>
    </row>
    <row r="169" spans="2:8">
      <c r="B169" s="218"/>
      <c r="C169" s="739" t="s">
        <v>150</v>
      </c>
      <c r="D169" s="224" t="s">
        <v>66</v>
      </c>
      <c r="E169" s="225">
        <v>1</v>
      </c>
      <c r="F169" s="1603">
        <v>0</v>
      </c>
      <c r="G169" s="230">
        <f t="shared" si="8"/>
        <v>0</v>
      </c>
    </row>
    <row r="170" spans="2:8">
      <c r="B170" s="218"/>
      <c r="C170" s="740" t="s">
        <v>135</v>
      </c>
      <c r="D170" s="224" t="s">
        <v>66</v>
      </c>
      <c r="E170" s="225">
        <v>1</v>
      </c>
      <c r="F170" s="1603">
        <v>0</v>
      </c>
      <c r="G170" s="230">
        <f t="shared" si="8"/>
        <v>0</v>
      </c>
    </row>
    <row r="171" spans="2:8">
      <c r="B171" s="218"/>
      <c r="C171" s="223" t="s">
        <v>1432</v>
      </c>
      <c r="D171" s="737"/>
      <c r="E171" s="738"/>
      <c r="F171" s="1605"/>
      <c r="G171" s="1646"/>
    </row>
    <row r="172" spans="2:8" s="217" customFormat="1">
      <c r="B172" s="218"/>
      <c r="C172" s="1655" t="s">
        <v>133</v>
      </c>
      <c r="D172" s="224" t="s">
        <v>66</v>
      </c>
      <c r="E172" s="225">
        <v>1</v>
      </c>
      <c r="F172" s="1768">
        <v>0</v>
      </c>
      <c r="G172" s="1714">
        <f t="shared" ref="G172:G174" si="9">E172*F172</f>
        <v>0</v>
      </c>
      <c r="H172" s="1703"/>
    </row>
    <row r="173" spans="2:8" s="217" customFormat="1">
      <c r="B173" s="218"/>
      <c r="C173" s="1655" t="s">
        <v>2256</v>
      </c>
      <c r="D173" s="224" t="s">
        <v>66</v>
      </c>
      <c r="E173" s="225">
        <v>1</v>
      </c>
      <c r="F173" s="1768">
        <v>0</v>
      </c>
      <c r="G173" s="1714">
        <f t="shared" si="9"/>
        <v>0</v>
      </c>
      <c r="H173" s="1703"/>
    </row>
    <row r="174" spans="2:8" s="217" customFormat="1">
      <c r="B174" s="218"/>
      <c r="C174" s="1655" t="s">
        <v>230</v>
      </c>
      <c r="D174" s="224" t="s">
        <v>66</v>
      </c>
      <c r="E174" s="225">
        <v>1</v>
      </c>
      <c r="F174" s="1768">
        <v>0</v>
      </c>
      <c r="G174" s="1714">
        <f t="shared" si="9"/>
        <v>0</v>
      </c>
      <c r="H174" s="1703"/>
    </row>
    <row r="175" spans="2:8">
      <c r="B175" s="218"/>
      <c r="C175" s="223" t="s">
        <v>1395</v>
      </c>
      <c r="D175" s="737"/>
      <c r="E175" s="738"/>
      <c r="F175" s="1605"/>
      <c r="G175" s="1646"/>
    </row>
    <row r="176" spans="2:8" s="217" customFormat="1">
      <c r="B176" s="218"/>
      <c r="C176" s="1655" t="s">
        <v>230</v>
      </c>
      <c r="D176" s="224" t="s">
        <v>66</v>
      </c>
      <c r="E176" s="225">
        <v>1</v>
      </c>
      <c r="F176" s="1768">
        <v>0</v>
      </c>
      <c r="G176" s="1714">
        <f t="shared" ref="G176:G178" si="10">E176*F176</f>
        <v>0</v>
      </c>
      <c r="H176" s="1703"/>
    </row>
    <row r="177" spans="2:8" s="217" customFormat="1">
      <c r="B177" s="218"/>
      <c r="C177" s="1655" t="s">
        <v>2255</v>
      </c>
      <c r="D177" s="224" t="s">
        <v>66</v>
      </c>
      <c r="E177" s="225">
        <v>1</v>
      </c>
      <c r="F177" s="1768">
        <v>0</v>
      </c>
      <c r="G177" s="1714">
        <f t="shared" si="10"/>
        <v>0</v>
      </c>
      <c r="H177" s="1703"/>
    </row>
    <row r="178" spans="2:8" s="217" customFormat="1">
      <c r="B178" s="218"/>
      <c r="C178" s="1655" t="s">
        <v>1444</v>
      </c>
      <c r="D178" s="224" t="s">
        <v>66</v>
      </c>
      <c r="E178" s="225">
        <v>1</v>
      </c>
      <c r="F178" s="1768">
        <v>0</v>
      </c>
      <c r="G178" s="1714">
        <f t="shared" si="10"/>
        <v>0</v>
      </c>
      <c r="H178" s="1703"/>
    </row>
    <row r="179" spans="2:8">
      <c r="B179" s="201" t="s">
        <v>340</v>
      </c>
      <c r="C179" s="238" t="s">
        <v>169</v>
      </c>
      <c r="D179" s="239"/>
      <c r="E179" s="240"/>
      <c r="F179" s="241"/>
      <c r="G179" s="242"/>
    </row>
    <row r="180" spans="2:8">
      <c r="B180" s="218"/>
      <c r="C180" s="238" t="s">
        <v>170</v>
      </c>
      <c r="D180" s="153"/>
      <c r="E180" s="741"/>
      <c r="F180" s="1611"/>
      <c r="G180" s="263"/>
    </row>
    <row r="181" spans="2:8" ht="36">
      <c r="B181" s="218"/>
      <c r="C181" s="243" t="s">
        <v>2246</v>
      </c>
      <c r="D181" s="239" t="s">
        <v>66</v>
      </c>
      <c r="E181" s="240">
        <v>44</v>
      </c>
      <c r="F181" s="1611">
        <v>0</v>
      </c>
      <c r="G181" s="263">
        <f t="shared" ref="G181:G189" si="11">E181*F181</f>
        <v>0</v>
      </c>
    </row>
    <row r="182" spans="2:8">
      <c r="B182" s="218"/>
      <c r="C182" s="1129" t="s">
        <v>171</v>
      </c>
      <c r="D182" s="239" t="s">
        <v>66</v>
      </c>
      <c r="E182" s="240">
        <v>44</v>
      </c>
      <c r="F182" s="1611">
        <v>0</v>
      </c>
      <c r="G182" s="263">
        <f t="shared" si="11"/>
        <v>0</v>
      </c>
    </row>
    <row r="183" spans="2:8">
      <c r="B183" s="218"/>
      <c r="C183" s="1130" t="s">
        <v>135</v>
      </c>
      <c r="D183" s="239" t="s">
        <v>66</v>
      </c>
      <c r="E183" s="240">
        <v>44</v>
      </c>
      <c r="F183" s="1611">
        <v>0</v>
      </c>
      <c r="G183" s="263">
        <f t="shared" si="11"/>
        <v>0</v>
      </c>
    </row>
    <row r="184" spans="2:8">
      <c r="B184" s="218"/>
      <c r="C184" s="1130" t="s">
        <v>891</v>
      </c>
      <c r="D184" s="239" t="s">
        <v>66</v>
      </c>
      <c r="E184" s="240">
        <v>44</v>
      </c>
      <c r="F184" s="1611">
        <v>0</v>
      </c>
      <c r="G184" s="263">
        <f t="shared" si="11"/>
        <v>0</v>
      </c>
    </row>
    <row r="185" spans="2:8">
      <c r="B185" s="218"/>
      <c r="C185" s="238" t="s">
        <v>234</v>
      </c>
      <c r="D185" s="153"/>
      <c r="E185" s="741"/>
      <c r="F185" s="1611"/>
      <c r="G185" s="263"/>
    </row>
    <row r="186" spans="2:8" ht="36">
      <c r="B186" s="218"/>
      <c r="C186" s="243" t="s">
        <v>2245</v>
      </c>
      <c r="D186" s="239" t="s">
        <v>66</v>
      </c>
      <c r="E186" s="240">
        <v>8</v>
      </c>
      <c r="F186" s="1611">
        <v>0</v>
      </c>
      <c r="G186" s="263">
        <f t="shared" si="11"/>
        <v>0</v>
      </c>
    </row>
    <row r="187" spans="2:8">
      <c r="B187" s="218"/>
      <c r="C187" s="246" t="s">
        <v>171</v>
      </c>
      <c r="D187" s="239" t="s">
        <v>66</v>
      </c>
      <c r="E187" s="240">
        <v>8</v>
      </c>
      <c r="F187" s="1611">
        <v>0</v>
      </c>
      <c r="G187" s="263">
        <f t="shared" si="11"/>
        <v>0</v>
      </c>
    </row>
    <row r="188" spans="2:8">
      <c r="B188" s="218"/>
      <c r="C188" s="247" t="s">
        <v>135</v>
      </c>
      <c r="D188" s="239" t="s">
        <v>66</v>
      </c>
      <c r="E188" s="240">
        <v>8</v>
      </c>
      <c r="F188" s="1611">
        <v>0</v>
      </c>
      <c r="G188" s="263">
        <f t="shared" si="11"/>
        <v>0</v>
      </c>
    </row>
    <row r="189" spans="2:8">
      <c r="B189" s="218"/>
      <c r="C189" s="1130" t="s">
        <v>891</v>
      </c>
      <c r="D189" s="239" t="s">
        <v>66</v>
      </c>
      <c r="E189" s="240">
        <v>8</v>
      </c>
      <c r="F189" s="1611">
        <v>0</v>
      </c>
      <c r="G189" s="263">
        <f t="shared" si="11"/>
        <v>0</v>
      </c>
    </row>
    <row r="190" spans="2:8">
      <c r="B190" s="201" t="s">
        <v>344</v>
      </c>
      <c r="C190" s="742" t="s">
        <v>173</v>
      </c>
      <c r="D190" s="743"/>
      <c r="E190" s="744"/>
      <c r="F190" s="1131"/>
      <c r="G190" s="1132"/>
    </row>
    <row r="191" spans="2:8" ht="60">
      <c r="B191" s="218"/>
      <c r="C191" s="745" t="s">
        <v>174</v>
      </c>
      <c r="D191" s="746" t="s">
        <v>66</v>
      </c>
      <c r="E191" s="747">
        <v>1</v>
      </c>
      <c r="F191" s="1617">
        <v>0</v>
      </c>
      <c r="G191" s="1616">
        <f t="shared" ref="G191" si="12">E191*F191</f>
        <v>0</v>
      </c>
    </row>
    <row r="192" spans="2:8">
      <c r="B192" s="258" t="s">
        <v>47</v>
      </c>
      <c r="C192" s="259" t="s">
        <v>1396</v>
      </c>
      <c r="D192" s="260"/>
      <c r="E192" s="261"/>
      <c r="F192" s="262"/>
      <c r="G192" s="263">
        <f>SUM(G82:G191)</f>
        <v>0</v>
      </c>
    </row>
  </sheetData>
  <mergeCells count="5">
    <mergeCell ref="B45:G45"/>
    <mergeCell ref="B77:G77"/>
    <mergeCell ref="B78:G78"/>
    <mergeCell ref="B79:G79"/>
    <mergeCell ref="B88:B91"/>
  </mergeCells>
  <pageMargins left="0.25" right="0.25"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30FD-AA7D-444E-9FE2-B8DB334C45F3}">
  <sheetPr>
    <tabColor rgb="FF00B0F0"/>
  </sheetPr>
  <dimension ref="A2:Z186"/>
  <sheetViews>
    <sheetView showZeros="0" topLeftCell="A25" zoomScale="110" zoomScaleNormal="110" zoomScaleSheetLayoutView="110" workbookViewId="0">
      <selection activeCell="B28" sqref="B28:B36"/>
    </sheetView>
  </sheetViews>
  <sheetFormatPr defaultColWidth="10.42578125"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1386</v>
      </c>
      <c r="D4" s="76"/>
      <c r="E4" s="77"/>
      <c r="F4" s="674"/>
      <c r="G4" s="79"/>
      <c r="H4" s="37"/>
    </row>
    <row r="5" spans="1:26" s="73" customFormat="1" ht="12" customHeight="1">
      <c r="B5" s="80"/>
      <c r="C5" s="81"/>
      <c r="D5" s="82"/>
      <c r="E5" s="83"/>
      <c r="F5" s="675"/>
      <c r="G5" s="85"/>
      <c r="H5" s="37"/>
    </row>
    <row r="6" spans="1:26" s="86" customFormat="1" ht="21" customHeight="1">
      <c r="B6" s="676" t="s">
        <v>37</v>
      </c>
      <c r="C6" s="677" t="s">
        <v>1397</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8.75" customHeight="1">
      <c r="B13" s="95"/>
      <c r="C13" s="96" t="s">
        <v>40</v>
      </c>
      <c r="D13" s="97"/>
      <c r="E13" s="98"/>
      <c r="F13" s="691"/>
      <c r="G13" s="100"/>
      <c r="H13" s="27"/>
      <c r="I13" s="87"/>
    </row>
    <row r="14" spans="1:26"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c r="Z14" s="73"/>
    </row>
    <row r="15" spans="1:26"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c r="Z15" s="73"/>
    </row>
    <row r="16" spans="1:26" s="101" customFormat="1" ht="18.75" customHeight="1">
      <c r="B16" s="693" t="s">
        <v>45</v>
      </c>
      <c r="C16" s="694" t="s">
        <v>46</v>
      </c>
      <c r="D16" s="109"/>
      <c r="E16" s="110"/>
      <c r="F16" s="695"/>
      <c r="G16" s="1408">
        <f>G64</f>
        <v>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47</v>
      </c>
      <c r="C17" s="694" t="s">
        <v>48</v>
      </c>
      <c r="D17" s="109"/>
      <c r="E17" s="110"/>
      <c r="F17" s="695"/>
      <c r="G17" s="1408">
        <f>G186</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c r="Z18" s="73"/>
    </row>
    <row r="19" spans="2:26">
      <c r="B19" s="61"/>
      <c r="C19" s="62"/>
      <c r="D19" s="63"/>
      <c r="E19" s="64"/>
      <c r="F19" s="701"/>
    </row>
    <row r="20" spans="2:26">
      <c r="G20" s="118"/>
    </row>
    <row r="21" spans="2:26" ht="24">
      <c r="B21" s="119" t="s">
        <v>41</v>
      </c>
      <c r="C21" s="120" t="s">
        <v>51</v>
      </c>
      <c r="D21" s="121" t="s">
        <v>52</v>
      </c>
      <c r="E21" s="122" t="s">
        <v>53</v>
      </c>
      <c r="F21" s="756" t="s">
        <v>54</v>
      </c>
      <c r="G21" s="124" t="s">
        <v>55</v>
      </c>
    </row>
    <row r="22" spans="2:26">
      <c r="B22" s="125"/>
      <c r="C22" s="126"/>
      <c r="D22" s="127"/>
      <c r="E22" s="128"/>
      <c r="F22" s="708"/>
      <c r="G22" s="130"/>
    </row>
    <row r="23" spans="2:26" s="138" customFormat="1" ht="20.25">
      <c r="B23" s="131" t="s">
        <v>43</v>
      </c>
      <c r="C23" s="132" t="s">
        <v>44</v>
      </c>
      <c r="D23" s="133"/>
      <c r="E23" s="134"/>
      <c r="F23" s="709"/>
      <c r="G23" s="136"/>
      <c r="H23" s="137"/>
    </row>
    <row r="24" spans="2:26" ht="24">
      <c r="B24" s="125">
        <v>1</v>
      </c>
      <c r="C24" s="144" t="s">
        <v>56</v>
      </c>
      <c r="D24" s="140" t="s">
        <v>57</v>
      </c>
      <c r="E24" s="1081">
        <v>767</v>
      </c>
      <c r="F24" s="1082">
        <v>0</v>
      </c>
      <c r="G24" s="1083">
        <f t="shared" ref="G24" si="0">E24*F24</f>
        <v>0</v>
      </c>
    </row>
    <row r="25" spans="2:26">
      <c r="B25" s="125">
        <v>2</v>
      </c>
      <c r="C25" s="144" t="s">
        <v>58</v>
      </c>
      <c r="D25" s="140" t="s">
        <v>57</v>
      </c>
      <c r="E25" s="1081">
        <v>767</v>
      </c>
      <c r="F25" s="1082">
        <v>0</v>
      </c>
      <c r="G25" s="1083">
        <f>E25*F25</f>
        <v>0</v>
      </c>
    </row>
    <row r="26" spans="2:26" ht="51.75" customHeight="1">
      <c r="B26" s="125">
        <v>3</v>
      </c>
      <c r="C26" s="144" t="s">
        <v>245</v>
      </c>
      <c r="D26" s="140" t="s">
        <v>60</v>
      </c>
      <c r="E26" s="1081">
        <v>1</v>
      </c>
      <c r="F26" s="1082">
        <v>0</v>
      </c>
      <c r="G26" s="1083">
        <f t="shared" ref="G26:G36" si="1">E26*F26</f>
        <v>0</v>
      </c>
    </row>
    <row r="27" spans="2:26" ht="124.5" customHeight="1">
      <c r="B27" s="125">
        <v>4</v>
      </c>
      <c r="C27" s="144" t="s">
        <v>61</v>
      </c>
      <c r="D27" s="145" t="s">
        <v>60</v>
      </c>
      <c r="E27" s="1081">
        <v>1</v>
      </c>
      <c r="F27" s="1082">
        <v>0</v>
      </c>
      <c r="G27" s="1083">
        <f t="shared" si="1"/>
        <v>0</v>
      </c>
    </row>
    <row r="28" spans="2:26" ht="24">
      <c r="B28" s="125">
        <v>5</v>
      </c>
      <c r="C28" s="144" t="s">
        <v>1389</v>
      </c>
      <c r="D28" s="146" t="s">
        <v>60</v>
      </c>
      <c r="E28" s="1081">
        <v>4</v>
      </c>
      <c r="F28" s="1082">
        <v>0</v>
      </c>
      <c r="G28" s="1083">
        <f t="shared" si="1"/>
        <v>0</v>
      </c>
    </row>
    <row r="29" spans="2:26" ht="24">
      <c r="B29" s="125">
        <v>6</v>
      </c>
      <c r="C29" s="1084" t="s">
        <v>63</v>
      </c>
      <c r="D29" s="140" t="s">
        <v>57</v>
      </c>
      <c r="E29" s="1081">
        <v>767</v>
      </c>
      <c r="F29" s="1082">
        <v>0</v>
      </c>
      <c r="G29" s="1083">
        <f t="shared" si="1"/>
        <v>0</v>
      </c>
    </row>
    <row r="30" spans="2:26" ht="48">
      <c r="B30" s="125">
        <v>7</v>
      </c>
      <c r="C30" s="1084" t="s">
        <v>64</v>
      </c>
      <c r="D30" s="146" t="s">
        <v>60</v>
      </c>
      <c r="E30" s="1081">
        <v>1</v>
      </c>
      <c r="F30" s="1082">
        <v>0</v>
      </c>
      <c r="G30" s="1083">
        <f t="shared" si="1"/>
        <v>0</v>
      </c>
    </row>
    <row r="31" spans="2:26" ht="53.25" customHeight="1">
      <c r="B31" s="125">
        <v>8</v>
      </c>
      <c r="C31" s="1080" t="s">
        <v>2292</v>
      </c>
      <c r="D31" s="146" t="s">
        <v>66</v>
      </c>
      <c r="E31" s="1081">
        <v>33</v>
      </c>
      <c r="F31" s="1082">
        <v>0</v>
      </c>
      <c r="G31" s="1083">
        <f t="shared" si="1"/>
        <v>0</v>
      </c>
    </row>
    <row r="32" spans="2:26" ht="36">
      <c r="B32" s="125">
        <v>9</v>
      </c>
      <c r="C32" s="1080" t="s">
        <v>2295</v>
      </c>
      <c r="D32" s="146" t="s">
        <v>57</v>
      </c>
      <c r="E32" s="1081">
        <f>E24+E82+E83</f>
        <v>954</v>
      </c>
      <c r="F32" s="1082">
        <v>0</v>
      </c>
      <c r="G32" s="1083">
        <f t="shared" si="1"/>
        <v>0</v>
      </c>
    </row>
    <row r="33" spans="2:7" ht="24">
      <c r="B33" s="125">
        <v>10</v>
      </c>
      <c r="C33" s="1080" t="s">
        <v>2293</v>
      </c>
      <c r="D33" s="146" t="s">
        <v>57</v>
      </c>
      <c r="E33" s="1081">
        <f>E24+E82+E83</f>
        <v>954</v>
      </c>
      <c r="F33" s="1082">
        <v>0</v>
      </c>
      <c r="G33" s="1083">
        <f t="shared" si="1"/>
        <v>0</v>
      </c>
    </row>
    <row r="34" spans="2:7">
      <c r="B34" s="125">
        <v>11</v>
      </c>
      <c r="C34" s="1084" t="s">
        <v>67</v>
      </c>
      <c r="D34" s="146" t="s">
        <v>60</v>
      </c>
      <c r="E34" s="1081">
        <v>1</v>
      </c>
      <c r="F34" s="1082">
        <v>0</v>
      </c>
      <c r="G34" s="1083">
        <f t="shared" si="1"/>
        <v>0</v>
      </c>
    </row>
    <row r="35" spans="2:7" ht="36">
      <c r="B35" s="125">
        <v>12</v>
      </c>
      <c r="C35" s="952" t="s">
        <v>68</v>
      </c>
      <c r="D35" s="146" t="s">
        <v>60</v>
      </c>
      <c r="E35" s="1085">
        <v>1</v>
      </c>
      <c r="F35" s="1082">
        <v>0</v>
      </c>
      <c r="G35" s="1083">
        <f t="shared" si="1"/>
        <v>0</v>
      </c>
    </row>
    <row r="36" spans="2:7" ht="36">
      <c r="B36" s="125">
        <v>13</v>
      </c>
      <c r="C36" s="952" t="s">
        <v>69</v>
      </c>
      <c r="D36" s="146" t="s">
        <v>60</v>
      </c>
      <c r="E36" s="1085">
        <v>1</v>
      </c>
      <c r="F36" s="1082">
        <v>0</v>
      </c>
      <c r="G36" s="1083">
        <f t="shared" si="1"/>
        <v>0</v>
      </c>
    </row>
    <row r="37" spans="2:7">
      <c r="B37" s="125"/>
      <c r="C37" s="150"/>
      <c r="D37" s="146"/>
      <c r="E37" s="1085"/>
      <c r="F37" s="1082"/>
      <c r="G37" s="1083"/>
    </row>
    <row r="38" spans="2:7">
      <c r="B38" s="151" t="s">
        <v>43</v>
      </c>
      <c r="C38" s="1086" t="s">
        <v>1390</v>
      </c>
      <c r="D38" s="1087"/>
      <c r="E38" s="1088"/>
      <c r="F38" s="1089"/>
      <c r="G38" s="263">
        <f>SUM(G24:G36)</f>
        <v>0</v>
      </c>
    </row>
    <row r="39" spans="2:7">
      <c r="B39" s="125"/>
      <c r="C39" s="126"/>
      <c r="D39" s="127"/>
      <c r="E39" s="128"/>
      <c r="F39" s="129"/>
      <c r="G39" s="130"/>
    </row>
    <row r="40" spans="2:7" ht="24">
      <c r="B40" s="157" t="s">
        <v>50</v>
      </c>
      <c r="C40" s="158" t="s">
        <v>51</v>
      </c>
      <c r="D40" s="159" t="s">
        <v>52</v>
      </c>
      <c r="E40" s="160" t="s">
        <v>53</v>
      </c>
      <c r="F40" s="161" t="s">
        <v>54</v>
      </c>
      <c r="G40" s="162" t="s">
        <v>55</v>
      </c>
    </row>
    <row r="41" spans="2:7">
      <c r="B41" s="125"/>
      <c r="C41" s="163"/>
      <c r="D41" s="140"/>
      <c r="E41" s="128"/>
      <c r="F41" s="129"/>
      <c r="G41" s="130"/>
    </row>
    <row r="42" spans="2:7" ht="40.5">
      <c r="B42" s="131" t="s">
        <v>45</v>
      </c>
      <c r="C42" s="164" t="s">
        <v>871</v>
      </c>
      <c r="D42" s="165"/>
      <c r="E42" s="134"/>
      <c r="F42" s="135"/>
      <c r="G42" s="136"/>
    </row>
    <row r="43" spans="2:7" ht="67.5" customHeight="1">
      <c r="B43" s="2399" t="s">
        <v>72</v>
      </c>
      <c r="C43" s="2400"/>
      <c r="D43" s="2400"/>
      <c r="E43" s="2400"/>
      <c r="F43" s="2400"/>
      <c r="G43" s="2401"/>
    </row>
    <row r="44" spans="2:7" ht="24">
      <c r="B44" s="167">
        <v>1</v>
      </c>
      <c r="C44" s="139" t="s">
        <v>73</v>
      </c>
      <c r="D44" s="140" t="s">
        <v>74</v>
      </c>
      <c r="E44" s="1091">
        <v>80</v>
      </c>
      <c r="F44" s="1092">
        <v>0</v>
      </c>
      <c r="G44" s="1093">
        <f t="shared" ref="G44:G62" si="2">E44*F44</f>
        <v>0</v>
      </c>
    </row>
    <row r="45" spans="2:7" ht="41.25" customHeight="1">
      <c r="B45" s="717">
        <v>2</v>
      </c>
      <c r="C45" s="139" t="s">
        <v>75</v>
      </c>
      <c r="D45" s="140" t="s">
        <v>74</v>
      </c>
      <c r="E45" s="1091">
        <f>E24*1.5*1.2*0.15</f>
        <v>207.08999999999997</v>
      </c>
      <c r="F45" s="1092">
        <v>0</v>
      </c>
      <c r="G45" s="1093">
        <f t="shared" si="2"/>
        <v>0</v>
      </c>
    </row>
    <row r="46" spans="2:7" ht="41.25" customHeight="1">
      <c r="B46" s="167">
        <v>3</v>
      </c>
      <c r="C46" s="139" t="s">
        <v>76</v>
      </c>
      <c r="D46" s="145" t="s">
        <v>74</v>
      </c>
      <c r="E46" s="1094">
        <f>E24*1.5*1.2*0.85</f>
        <v>1173.51</v>
      </c>
      <c r="F46" s="1092">
        <v>0</v>
      </c>
      <c r="G46" s="142">
        <f t="shared" si="2"/>
        <v>0</v>
      </c>
    </row>
    <row r="47" spans="2:7" ht="27.75" customHeight="1">
      <c r="B47" s="717">
        <v>4</v>
      </c>
      <c r="C47" s="126" t="s">
        <v>77</v>
      </c>
      <c r="D47" s="140" t="s">
        <v>78</v>
      </c>
      <c r="E47" s="1094">
        <f>E24*1.5</f>
        <v>1150.5</v>
      </c>
      <c r="F47" s="1092">
        <v>0</v>
      </c>
      <c r="G47" s="1083">
        <f t="shared" si="2"/>
        <v>0</v>
      </c>
    </row>
    <row r="48" spans="2:7" ht="27.75" customHeight="1">
      <c r="B48" s="167">
        <v>5</v>
      </c>
      <c r="C48" s="126" t="s">
        <v>79</v>
      </c>
      <c r="D48" s="145" t="s">
        <v>78</v>
      </c>
      <c r="E48" s="1094">
        <f>E24</f>
        <v>767</v>
      </c>
      <c r="F48" s="1092">
        <v>0</v>
      </c>
      <c r="G48" s="1083">
        <f t="shared" si="2"/>
        <v>0</v>
      </c>
    </row>
    <row r="49" spans="2:7" ht="27.75" customHeight="1">
      <c r="B49" s="717">
        <v>6</v>
      </c>
      <c r="C49" s="139" t="s">
        <v>247</v>
      </c>
      <c r="D49" s="145" t="s">
        <v>74</v>
      </c>
      <c r="E49" s="1094">
        <f>E24*1.2*1</f>
        <v>920.4</v>
      </c>
      <c r="F49" s="1092">
        <v>0</v>
      </c>
      <c r="G49" s="1083">
        <f t="shared" si="2"/>
        <v>0</v>
      </c>
    </row>
    <row r="50" spans="2:7" ht="40.5" customHeight="1">
      <c r="B50" s="167">
        <v>7</v>
      </c>
      <c r="C50" s="139" t="s">
        <v>82</v>
      </c>
      <c r="D50" s="146" t="s">
        <v>74</v>
      </c>
      <c r="E50" s="1094">
        <f>E24*1.5*0.4</f>
        <v>460.20000000000005</v>
      </c>
      <c r="F50" s="1092">
        <v>0</v>
      </c>
      <c r="G50" s="1083">
        <f t="shared" si="2"/>
        <v>0</v>
      </c>
    </row>
    <row r="51" spans="2:7" ht="27" customHeight="1">
      <c r="B51" s="717">
        <v>8</v>
      </c>
      <c r="C51" s="1095" t="s">
        <v>85</v>
      </c>
      <c r="D51" s="140" t="s">
        <v>57</v>
      </c>
      <c r="E51" s="1094">
        <v>25</v>
      </c>
      <c r="F51" s="1092">
        <v>0</v>
      </c>
      <c r="G51" s="1083">
        <f t="shared" si="2"/>
        <v>0</v>
      </c>
    </row>
    <row r="52" spans="2:7" ht="24">
      <c r="B52" s="167">
        <v>9</v>
      </c>
      <c r="C52" s="1095" t="s">
        <v>1391</v>
      </c>
      <c r="D52" s="140" t="s">
        <v>78</v>
      </c>
      <c r="E52" s="1094">
        <f>E24*1.2</f>
        <v>920.4</v>
      </c>
      <c r="F52" s="1092">
        <v>0</v>
      </c>
      <c r="G52" s="1083">
        <f t="shared" si="2"/>
        <v>0</v>
      </c>
    </row>
    <row r="53" spans="2:7" ht="63.75" customHeight="1">
      <c r="B53" s="717">
        <v>10</v>
      </c>
      <c r="C53" s="397" t="s">
        <v>254</v>
      </c>
      <c r="D53" s="145" t="s">
        <v>78</v>
      </c>
      <c r="E53" s="1094">
        <v>10</v>
      </c>
      <c r="F53" s="1092">
        <v>0</v>
      </c>
      <c r="G53" s="1083">
        <f t="shared" si="2"/>
        <v>0</v>
      </c>
    </row>
    <row r="54" spans="2:7" ht="14.25" customHeight="1">
      <c r="B54" s="167">
        <v>11</v>
      </c>
      <c r="C54" s="139" t="s">
        <v>264</v>
      </c>
      <c r="D54" s="145" t="s">
        <v>74</v>
      </c>
      <c r="E54" s="128">
        <f>E45+E46+(E52*0.06)-E49</f>
        <v>515.42399999999986</v>
      </c>
      <c r="F54" s="1092">
        <v>0</v>
      </c>
      <c r="G54" s="142">
        <f t="shared" si="2"/>
        <v>0</v>
      </c>
    </row>
    <row r="55" spans="2:7">
      <c r="B55" s="717">
        <v>12</v>
      </c>
      <c r="C55" s="139" t="s">
        <v>265</v>
      </c>
      <c r="D55" s="145" t="s">
        <v>74</v>
      </c>
      <c r="E55" s="128">
        <f>E54</f>
        <v>515.42399999999986</v>
      </c>
      <c r="F55" s="1092">
        <v>0</v>
      </c>
      <c r="G55" s="142">
        <f t="shared" si="2"/>
        <v>0</v>
      </c>
    </row>
    <row r="56" spans="2:7" ht="24">
      <c r="B56" s="167">
        <v>13</v>
      </c>
      <c r="C56" s="126" t="s">
        <v>95</v>
      </c>
      <c r="D56" s="140" t="s">
        <v>74</v>
      </c>
      <c r="E56" s="198">
        <f>E24*0.75*0.1</f>
        <v>57.525000000000006</v>
      </c>
      <c r="F56" s="1092">
        <v>0</v>
      </c>
      <c r="G56" s="1083">
        <f t="shared" si="2"/>
        <v>0</v>
      </c>
    </row>
    <row r="57" spans="2:7" ht="24">
      <c r="B57" s="717">
        <v>14</v>
      </c>
      <c r="C57" s="177" t="s">
        <v>96</v>
      </c>
      <c r="D57" s="140" t="s">
        <v>57</v>
      </c>
      <c r="E57" s="128">
        <v>15</v>
      </c>
      <c r="F57" s="1092">
        <v>0</v>
      </c>
      <c r="G57" s="142">
        <f t="shared" si="2"/>
        <v>0</v>
      </c>
    </row>
    <row r="58" spans="2:7" ht="48">
      <c r="B58" s="167">
        <v>15</v>
      </c>
      <c r="C58" s="1096" t="s">
        <v>1393</v>
      </c>
      <c r="D58" s="182" t="s">
        <v>74</v>
      </c>
      <c r="E58" s="1097">
        <v>9</v>
      </c>
      <c r="F58" s="1092">
        <v>0</v>
      </c>
      <c r="G58" s="1083">
        <f t="shared" si="2"/>
        <v>0</v>
      </c>
    </row>
    <row r="59" spans="2:7" ht="39" customHeight="1">
      <c r="B59" s="717">
        <v>16</v>
      </c>
      <c r="C59" s="1096" t="s">
        <v>270</v>
      </c>
      <c r="D59" s="182" t="s">
        <v>66</v>
      </c>
      <c r="E59" s="1097">
        <v>42</v>
      </c>
      <c r="F59" s="1092">
        <v>0</v>
      </c>
      <c r="G59" s="1083">
        <f t="shared" si="2"/>
        <v>0</v>
      </c>
    </row>
    <row r="60" spans="2:7" ht="24">
      <c r="B60" s="167">
        <v>17</v>
      </c>
      <c r="C60" s="1096" t="s">
        <v>99</v>
      </c>
      <c r="D60" s="182" t="s">
        <v>74</v>
      </c>
      <c r="E60" s="1097">
        <v>3</v>
      </c>
      <c r="F60" s="1092">
        <v>0</v>
      </c>
      <c r="G60" s="1083">
        <f t="shared" si="2"/>
        <v>0</v>
      </c>
    </row>
    <row r="61" spans="2:7" ht="27.75" customHeight="1">
      <c r="B61" s="717">
        <v>18</v>
      </c>
      <c r="C61" s="1096" t="s">
        <v>100</v>
      </c>
      <c r="D61" s="182" t="s">
        <v>65</v>
      </c>
      <c r="E61" s="1097">
        <v>30</v>
      </c>
      <c r="F61" s="1092">
        <v>0</v>
      </c>
      <c r="G61" s="1083">
        <f t="shared" si="2"/>
        <v>0</v>
      </c>
    </row>
    <row r="62" spans="2:7" ht="53.25" customHeight="1">
      <c r="B62" s="167">
        <v>19</v>
      </c>
      <c r="C62" s="139" t="s">
        <v>1394</v>
      </c>
      <c r="D62" s="140" t="s">
        <v>78</v>
      </c>
      <c r="E62" s="1091">
        <f>E24*1</f>
        <v>767</v>
      </c>
      <c r="F62" s="1092">
        <v>0</v>
      </c>
      <c r="G62" s="1093">
        <f t="shared" si="2"/>
        <v>0</v>
      </c>
    </row>
    <row r="63" spans="2:7">
      <c r="B63" s="167"/>
      <c r="C63" s="1098"/>
      <c r="D63" s="1099"/>
      <c r="E63" s="1100"/>
      <c r="F63" s="1101"/>
      <c r="G63" s="1102"/>
    </row>
    <row r="64" spans="2:7">
      <c r="B64" s="151" t="s">
        <v>45</v>
      </c>
      <c r="C64" s="1086" t="s">
        <v>101</v>
      </c>
      <c r="D64" s="1103"/>
      <c r="E64" s="1088"/>
      <c r="F64" s="1089"/>
      <c r="G64" s="263">
        <f>SUM(G44:G62)</f>
        <v>0</v>
      </c>
    </row>
    <row r="65" spans="2:9">
      <c r="E65" s="1104"/>
      <c r="F65" s="1105"/>
      <c r="G65" s="1106"/>
    </row>
    <row r="66" spans="2:9" ht="24">
      <c r="B66" s="119" t="s">
        <v>50</v>
      </c>
      <c r="C66" s="120" t="s">
        <v>51</v>
      </c>
      <c r="D66" s="121" t="s">
        <v>52</v>
      </c>
      <c r="E66" s="122" t="s">
        <v>53</v>
      </c>
      <c r="F66" s="123" t="s">
        <v>54</v>
      </c>
      <c r="G66" s="124" t="s">
        <v>55</v>
      </c>
    </row>
    <row r="67" spans="2:9">
      <c r="B67" s="125"/>
      <c r="C67" s="126"/>
      <c r="D67" s="127"/>
      <c r="E67" s="719"/>
      <c r="F67" s="1107"/>
      <c r="G67" s="731"/>
    </row>
    <row r="68" spans="2:9" ht="20.25">
      <c r="B68" s="186" t="s">
        <v>47</v>
      </c>
      <c r="C68" s="187" t="s">
        <v>48</v>
      </c>
      <c r="D68" s="165"/>
      <c r="E68" s="134"/>
      <c r="F68" s="135"/>
      <c r="G68" s="136"/>
    </row>
    <row r="69" spans="2:9">
      <c r="B69" s="1108" t="s">
        <v>38</v>
      </c>
      <c r="C69" s="1109"/>
      <c r="D69" s="1110"/>
      <c r="E69" s="1109"/>
      <c r="F69" s="1109"/>
      <c r="G69" s="1110"/>
    </row>
    <row r="70" spans="2:9">
      <c r="B70" s="1111" t="s">
        <v>39</v>
      </c>
      <c r="C70" s="1112"/>
      <c r="D70" s="1112"/>
      <c r="E70" s="1112"/>
      <c r="F70" s="1112"/>
      <c r="G70" s="1113"/>
    </row>
    <row r="71" spans="2:9">
      <c r="B71" s="1108" t="s">
        <v>4</v>
      </c>
      <c r="C71" s="1109"/>
      <c r="D71" s="1114"/>
      <c r="E71" s="1109"/>
      <c r="F71" s="1109"/>
      <c r="G71" s="1110"/>
    </row>
    <row r="72" spans="2:9">
      <c r="B72" s="1111" t="s">
        <v>5</v>
      </c>
      <c r="C72" s="1112"/>
      <c r="D72" s="1112"/>
      <c r="E72" s="1112"/>
      <c r="F72" s="1112"/>
      <c r="G72" s="1113"/>
    </row>
    <row r="73" spans="2:9">
      <c r="B73" s="2399" t="s">
        <v>271</v>
      </c>
      <c r="C73" s="2400"/>
      <c r="D73" s="2400"/>
      <c r="E73" s="2400"/>
      <c r="F73" s="2400"/>
      <c r="G73" s="2401"/>
    </row>
    <row r="74" spans="2:9">
      <c r="B74" s="2399" t="s">
        <v>104</v>
      </c>
      <c r="C74" s="2400"/>
      <c r="D74" s="2400"/>
      <c r="E74" s="2400"/>
      <c r="F74" s="2400"/>
      <c r="G74" s="2401"/>
    </row>
    <row r="75" spans="2:9">
      <c r="B75" s="2399" t="s">
        <v>105</v>
      </c>
      <c r="C75" s="2400"/>
      <c r="D75" s="2400"/>
      <c r="E75" s="2400"/>
      <c r="F75" s="2400"/>
      <c r="G75" s="2401"/>
    </row>
    <row r="76" spans="2:9">
      <c r="B76" s="1115"/>
      <c r="C76" s="1116"/>
      <c r="D76" s="1116"/>
      <c r="E76" s="1116"/>
      <c r="F76" s="1116"/>
      <c r="G76" s="1117"/>
    </row>
    <row r="77" spans="2:9" ht="24">
      <c r="B77" s="188">
        <v>1</v>
      </c>
      <c r="C77" s="189" t="s">
        <v>106</v>
      </c>
      <c r="D77" s="190"/>
      <c r="E77" s="719"/>
      <c r="F77" s="1107"/>
      <c r="G77" s="731"/>
    </row>
    <row r="78" spans="2:9">
      <c r="B78" s="191"/>
      <c r="C78" s="192" t="s">
        <v>107</v>
      </c>
      <c r="D78" s="190" t="s">
        <v>57</v>
      </c>
      <c r="E78" s="719">
        <f>717*0.9</f>
        <v>645.30000000000007</v>
      </c>
      <c r="F78" s="1092">
        <v>0</v>
      </c>
      <c r="G78" s="1093">
        <f t="shared" ref="G78:G88" si="3">E78*F78</f>
        <v>0</v>
      </c>
      <c r="I78" s="1118"/>
    </row>
    <row r="79" spans="2:9" ht="24">
      <c r="B79" s="191"/>
      <c r="C79" s="192" t="s">
        <v>884</v>
      </c>
      <c r="D79" s="190" t="s">
        <v>57</v>
      </c>
      <c r="E79" s="719">
        <f>717*0.1</f>
        <v>71.7</v>
      </c>
      <c r="F79" s="1092">
        <v>0</v>
      </c>
      <c r="G79" s="1093">
        <f t="shared" si="3"/>
        <v>0</v>
      </c>
      <c r="I79" s="1118"/>
    </row>
    <row r="80" spans="2:9">
      <c r="B80" s="191"/>
      <c r="C80" s="192" t="s">
        <v>226</v>
      </c>
      <c r="D80" s="190" t="s">
        <v>57</v>
      </c>
      <c r="E80" s="719">
        <f>50*0.9</f>
        <v>45</v>
      </c>
      <c r="F80" s="1092">
        <v>0</v>
      </c>
      <c r="G80" s="1093">
        <f t="shared" si="3"/>
        <v>0</v>
      </c>
      <c r="I80" s="1118"/>
    </row>
    <row r="81" spans="2:9" ht="24">
      <c r="B81" s="191"/>
      <c r="C81" s="192" t="s">
        <v>227</v>
      </c>
      <c r="D81" s="190" t="s">
        <v>57</v>
      </c>
      <c r="E81" s="719">
        <f>50*0.1</f>
        <v>5</v>
      </c>
      <c r="F81" s="1092">
        <v>0</v>
      </c>
      <c r="G81" s="1093">
        <f t="shared" si="3"/>
        <v>0</v>
      </c>
      <c r="I81" s="1118"/>
    </row>
    <row r="82" spans="2:9">
      <c r="B82" s="191"/>
      <c r="C82" s="192" t="s">
        <v>109</v>
      </c>
      <c r="D82" s="190" t="s">
        <v>57</v>
      </c>
      <c r="E82" s="719">
        <f>187*0.9</f>
        <v>168.3</v>
      </c>
      <c r="F82" s="1092">
        <v>0</v>
      </c>
      <c r="G82" s="1093">
        <f t="shared" si="3"/>
        <v>0</v>
      </c>
      <c r="I82" s="1119"/>
    </row>
    <row r="83" spans="2:9" ht="24">
      <c r="B83" s="191"/>
      <c r="C83" s="192" t="s">
        <v>110</v>
      </c>
      <c r="D83" s="190" t="s">
        <v>57</v>
      </c>
      <c r="E83" s="719">
        <f>187*0.1</f>
        <v>18.7</v>
      </c>
      <c r="F83" s="1092">
        <v>0</v>
      </c>
      <c r="G83" s="1093">
        <f t="shared" si="3"/>
        <v>0</v>
      </c>
    </row>
    <row r="84" spans="2:9" ht="36">
      <c r="B84" s="2404" t="s">
        <v>111</v>
      </c>
      <c r="C84" s="193" t="s">
        <v>112</v>
      </c>
      <c r="D84" s="194"/>
      <c r="E84" s="719"/>
      <c r="F84" s="1092"/>
      <c r="G84" s="1093"/>
    </row>
    <row r="85" spans="2:9">
      <c r="B85" s="2405"/>
      <c r="C85" s="195" t="s">
        <v>113</v>
      </c>
      <c r="D85" s="194" t="s">
        <v>57</v>
      </c>
      <c r="E85" s="719">
        <v>110</v>
      </c>
      <c r="F85" s="1092">
        <v>0</v>
      </c>
      <c r="G85" s="1093">
        <f>E85*F85</f>
        <v>0</v>
      </c>
    </row>
    <row r="86" spans="2:9">
      <c r="B86" s="2405"/>
      <c r="C86" s="195" t="s">
        <v>274</v>
      </c>
      <c r="D86" s="194" t="s">
        <v>57</v>
      </c>
      <c r="E86" s="719">
        <v>8</v>
      </c>
      <c r="F86" s="1092">
        <v>0</v>
      </c>
      <c r="G86" s="1093">
        <f>E86*F86</f>
        <v>0</v>
      </c>
    </row>
    <row r="87" spans="2:9">
      <c r="B87" s="2413"/>
      <c r="C87" s="195" t="s">
        <v>275</v>
      </c>
      <c r="D87" s="194" t="s">
        <v>57</v>
      </c>
      <c r="E87" s="719">
        <v>28</v>
      </c>
      <c r="F87" s="1092">
        <v>0</v>
      </c>
      <c r="G87" s="1093">
        <f>E87*F87</f>
        <v>0</v>
      </c>
    </row>
    <row r="88" spans="2:9" ht="36">
      <c r="B88" s="196">
        <v>2</v>
      </c>
      <c r="C88" s="197" t="s">
        <v>114</v>
      </c>
      <c r="D88" s="145" t="s">
        <v>57</v>
      </c>
      <c r="E88" s="732">
        <f>SUM(E78:E83)</f>
        <v>954.00000000000023</v>
      </c>
      <c r="F88" s="1092">
        <v>0</v>
      </c>
      <c r="G88" s="1093">
        <f t="shared" si="3"/>
        <v>0</v>
      </c>
    </row>
    <row r="89" spans="2:9" ht="36">
      <c r="B89" s="199" t="s">
        <v>115</v>
      </c>
      <c r="C89" s="197" t="s">
        <v>116</v>
      </c>
      <c r="D89" s="145" t="s">
        <v>57</v>
      </c>
      <c r="E89" s="732">
        <f>E88</f>
        <v>954.00000000000023</v>
      </c>
      <c r="F89" s="1092">
        <v>0</v>
      </c>
      <c r="G89" s="1093">
        <f>E89*F89</f>
        <v>0</v>
      </c>
    </row>
    <row r="90" spans="2:9" ht="24">
      <c r="B90" s="199" t="s">
        <v>117</v>
      </c>
      <c r="C90" s="197" t="s">
        <v>118</v>
      </c>
      <c r="D90" s="145" t="s">
        <v>57</v>
      </c>
      <c r="E90" s="732">
        <f>E88</f>
        <v>954.00000000000023</v>
      </c>
      <c r="F90" s="1092">
        <v>0</v>
      </c>
      <c r="G90" s="1093">
        <f>E90*F90</f>
        <v>0</v>
      </c>
    </row>
    <row r="91" spans="2:9" ht="36">
      <c r="B91" s="199" t="s">
        <v>119</v>
      </c>
      <c r="C91" s="197" t="s">
        <v>120</v>
      </c>
      <c r="D91" s="145" t="s">
        <v>57</v>
      </c>
      <c r="E91" s="732">
        <f>E88</f>
        <v>954.00000000000023</v>
      </c>
      <c r="F91" s="1092">
        <v>0</v>
      </c>
      <c r="G91" s="1093">
        <f>E91*F91</f>
        <v>0</v>
      </c>
    </row>
    <row r="92" spans="2:9" ht="24">
      <c r="B92" s="188">
        <v>3</v>
      </c>
      <c r="C92" s="200" t="s">
        <v>121</v>
      </c>
      <c r="D92" s="127"/>
      <c r="E92" s="719"/>
      <c r="F92" s="1092">
        <v>0</v>
      </c>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2</v>
      </c>
      <c r="F95" s="210">
        <v>0</v>
      </c>
      <c r="G95" s="211">
        <f>E95*F95</f>
        <v>0</v>
      </c>
    </row>
    <row r="96" spans="2:9">
      <c r="B96" s="207"/>
      <c r="C96" s="208" t="s">
        <v>125</v>
      </c>
      <c r="D96" s="209" t="s">
        <v>66</v>
      </c>
      <c r="E96" s="204">
        <v>1</v>
      </c>
      <c r="F96" s="210">
        <v>0</v>
      </c>
      <c r="G96" s="211">
        <f>E96*F96</f>
        <v>0</v>
      </c>
    </row>
    <row r="97" spans="2:7">
      <c r="B97" s="125"/>
      <c r="C97" s="202" t="s">
        <v>311</v>
      </c>
      <c r="D97" s="203"/>
      <c r="E97" s="204"/>
      <c r="F97" s="205"/>
      <c r="G97" s="206"/>
    </row>
    <row r="98" spans="2:7">
      <c r="B98" s="207"/>
      <c r="C98" s="208" t="s">
        <v>312</v>
      </c>
      <c r="D98" s="209" t="s">
        <v>66</v>
      </c>
      <c r="E98" s="204">
        <v>1</v>
      </c>
      <c r="F98" s="210">
        <v>0</v>
      </c>
      <c r="G98" s="211">
        <f>E98*F98</f>
        <v>0</v>
      </c>
    </row>
    <row r="99" spans="2:7">
      <c r="B99" s="207"/>
      <c r="C99" s="208" t="s">
        <v>313</v>
      </c>
      <c r="D99" s="209" t="s">
        <v>66</v>
      </c>
      <c r="E99" s="204">
        <v>1</v>
      </c>
      <c r="F99" s="210">
        <v>0</v>
      </c>
      <c r="G99" s="211">
        <f>E99*F99</f>
        <v>0</v>
      </c>
    </row>
    <row r="100" spans="2:7">
      <c r="B100" s="207"/>
      <c r="C100" s="208" t="s">
        <v>1398</v>
      </c>
      <c r="D100" s="209" t="s">
        <v>66</v>
      </c>
      <c r="E100" s="204">
        <v>1</v>
      </c>
      <c r="F100" s="210">
        <v>0</v>
      </c>
      <c r="G100" s="211">
        <f>E100*F100</f>
        <v>0</v>
      </c>
    </row>
    <row r="101" spans="2:7">
      <c r="B101" s="201" t="s">
        <v>126</v>
      </c>
      <c r="C101" s="212" t="s">
        <v>127</v>
      </c>
      <c r="D101" s="213"/>
      <c r="E101" s="214"/>
      <c r="F101" s="215">
        <v>0</v>
      </c>
      <c r="G101" s="216"/>
    </row>
    <row r="102" spans="2:7">
      <c r="B102" s="218"/>
      <c r="C102" s="212" t="s">
        <v>128</v>
      </c>
      <c r="D102" s="735"/>
      <c r="E102" s="736"/>
      <c r="F102" s="1601"/>
      <c r="G102" s="1121"/>
    </row>
    <row r="103" spans="2:7">
      <c r="B103" s="218"/>
      <c r="C103" s="219" t="s">
        <v>129</v>
      </c>
      <c r="D103" s="213" t="s">
        <v>66</v>
      </c>
      <c r="E103" s="214">
        <v>1</v>
      </c>
      <c r="F103" s="1599">
        <v>0</v>
      </c>
      <c r="G103" s="221">
        <f t="shared" ref="G103:G110" si="4">E103*F103</f>
        <v>0</v>
      </c>
    </row>
    <row r="104" spans="2:7" ht="36">
      <c r="B104" s="218"/>
      <c r="C104" s="222" t="s">
        <v>130</v>
      </c>
      <c r="D104" s="213" t="s">
        <v>66</v>
      </c>
      <c r="E104" s="214">
        <v>1</v>
      </c>
      <c r="F104" s="1599">
        <v>0</v>
      </c>
      <c r="G104" s="221">
        <f t="shared" si="4"/>
        <v>0</v>
      </c>
    </row>
    <row r="105" spans="2:7">
      <c r="B105" s="218"/>
      <c r="C105" s="222" t="s">
        <v>183</v>
      </c>
      <c r="D105" s="213" t="s">
        <v>66</v>
      </c>
      <c r="E105" s="214">
        <v>1</v>
      </c>
      <c r="F105" s="1599">
        <v>0</v>
      </c>
      <c r="G105" s="221">
        <f t="shared" si="4"/>
        <v>0</v>
      </c>
    </row>
    <row r="106" spans="2:7">
      <c r="B106" s="218"/>
      <c r="C106" s="222" t="s">
        <v>131</v>
      </c>
      <c r="D106" s="213" t="s">
        <v>66</v>
      </c>
      <c r="E106" s="214">
        <v>1</v>
      </c>
      <c r="F106" s="1599">
        <v>0</v>
      </c>
      <c r="G106" s="221">
        <f t="shared" si="4"/>
        <v>0</v>
      </c>
    </row>
    <row r="107" spans="2:7">
      <c r="B107" s="218"/>
      <c r="C107" s="222" t="s">
        <v>132</v>
      </c>
      <c r="D107" s="213" t="s">
        <v>66</v>
      </c>
      <c r="E107" s="214">
        <v>2</v>
      </c>
      <c r="F107" s="1599">
        <v>0</v>
      </c>
      <c r="G107" s="221">
        <f t="shared" si="4"/>
        <v>0</v>
      </c>
    </row>
    <row r="108" spans="2:7">
      <c r="B108" s="218"/>
      <c r="C108" s="222" t="s">
        <v>133</v>
      </c>
      <c r="D108" s="213" t="s">
        <v>66</v>
      </c>
      <c r="E108" s="214">
        <v>2</v>
      </c>
      <c r="F108" s="1599">
        <v>0</v>
      </c>
      <c r="G108" s="221">
        <f t="shared" si="4"/>
        <v>0</v>
      </c>
    </row>
    <row r="109" spans="2:7">
      <c r="B109" s="218"/>
      <c r="C109" s="222" t="s">
        <v>134</v>
      </c>
      <c r="D109" s="213" t="s">
        <v>66</v>
      </c>
      <c r="E109" s="214">
        <v>1</v>
      </c>
      <c r="F109" s="1599">
        <v>0</v>
      </c>
      <c r="G109" s="221">
        <f t="shared" si="4"/>
        <v>0</v>
      </c>
    </row>
    <row r="110" spans="2:7">
      <c r="B110" s="218"/>
      <c r="C110" s="222" t="s">
        <v>135</v>
      </c>
      <c r="D110" s="213" t="s">
        <v>66</v>
      </c>
      <c r="E110" s="214">
        <v>1</v>
      </c>
      <c r="F110" s="1599">
        <v>0</v>
      </c>
      <c r="G110" s="221">
        <f t="shared" si="4"/>
        <v>0</v>
      </c>
    </row>
    <row r="111" spans="2:7">
      <c r="B111" s="201" t="s">
        <v>136</v>
      </c>
      <c r="C111" s="238" t="s">
        <v>320</v>
      </c>
      <c r="D111" s="239"/>
      <c r="E111" s="240"/>
      <c r="F111" s="241"/>
      <c r="G111" s="242"/>
    </row>
    <row r="112" spans="2:7">
      <c r="B112" s="218"/>
      <c r="C112" s="238" t="s">
        <v>326</v>
      </c>
      <c r="D112" s="153"/>
      <c r="E112" s="741"/>
      <c r="F112" s="1611"/>
      <c r="G112" s="263"/>
    </row>
    <row r="113" spans="2:7" ht="31.5" customHeight="1">
      <c r="B113" s="218"/>
      <c r="C113" s="1123" t="s">
        <v>322</v>
      </c>
      <c r="D113" s="239" t="s">
        <v>66</v>
      </c>
      <c r="E113" s="240">
        <v>2</v>
      </c>
      <c r="F113" s="1611">
        <v>0</v>
      </c>
      <c r="G113" s="263">
        <f t="shared" ref="G113:G115" si="5">E113*F113</f>
        <v>0</v>
      </c>
    </row>
    <row r="114" spans="2:7">
      <c r="B114" s="218"/>
      <c r="C114" s="246" t="s">
        <v>325</v>
      </c>
      <c r="D114" s="239" t="s">
        <v>66</v>
      </c>
      <c r="E114" s="240">
        <v>2</v>
      </c>
      <c r="F114" s="1611">
        <v>0</v>
      </c>
      <c r="G114" s="263">
        <f t="shared" si="5"/>
        <v>0</v>
      </c>
    </row>
    <row r="115" spans="2:7">
      <c r="B115" s="218"/>
      <c r="C115" s="247" t="s">
        <v>135</v>
      </c>
      <c r="D115" s="239" t="s">
        <v>66</v>
      </c>
      <c r="E115" s="240">
        <v>2</v>
      </c>
      <c r="F115" s="1611">
        <v>0</v>
      </c>
      <c r="G115" s="263">
        <f t="shared" si="5"/>
        <v>0</v>
      </c>
    </row>
    <row r="116" spans="2:7">
      <c r="B116" s="201" t="s">
        <v>151</v>
      </c>
      <c r="C116" s="223" t="s">
        <v>137</v>
      </c>
      <c r="D116" s="224"/>
      <c r="E116" s="225"/>
      <c r="F116" s="226"/>
      <c r="G116" s="227"/>
    </row>
    <row r="117" spans="2:7">
      <c r="B117" s="218"/>
      <c r="C117" s="223" t="s">
        <v>138</v>
      </c>
      <c r="D117" s="737"/>
      <c r="E117" s="738"/>
      <c r="F117" s="1605"/>
      <c r="G117" s="1125"/>
    </row>
    <row r="118" spans="2:7">
      <c r="B118" s="218"/>
      <c r="C118" s="228" t="s">
        <v>129</v>
      </c>
      <c r="D118" s="224" t="s">
        <v>66</v>
      </c>
      <c r="E118" s="225">
        <v>1</v>
      </c>
      <c r="F118" s="1603">
        <v>0</v>
      </c>
      <c r="G118" s="230">
        <f t="shared" ref="G118:G133" si="6">E118*F118</f>
        <v>0</v>
      </c>
    </row>
    <row r="119" spans="2:7">
      <c r="B119" s="218"/>
      <c r="C119" s="228" t="s">
        <v>139</v>
      </c>
      <c r="D119" s="224" t="s">
        <v>66</v>
      </c>
      <c r="E119" s="225">
        <v>2</v>
      </c>
      <c r="F119" s="1603">
        <v>0</v>
      </c>
      <c r="G119" s="230">
        <f t="shared" si="6"/>
        <v>0</v>
      </c>
    </row>
    <row r="120" spans="2:7">
      <c r="B120" s="218"/>
      <c r="C120" s="231" t="s">
        <v>140</v>
      </c>
      <c r="D120" s="224" t="s">
        <v>66</v>
      </c>
      <c r="E120" s="225">
        <v>1</v>
      </c>
      <c r="F120" s="1603">
        <v>0</v>
      </c>
      <c r="G120" s="230">
        <f t="shared" si="6"/>
        <v>0</v>
      </c>
    </row>
    <row r="121" spans="2:7">
      <c r="B121" s="218"/>
      <c r="C121" s="231" t="s">
        <v>141</v>
      </c>
      <c r="D121" s="224" t="s">
        <v>66</v>
      </c>
      <c r="E121" s="225">
        <v>1</v>
      </c>
      <c r="F121" s="1603">
        <v>0</v>
      </c>
      <c r="G121" s="230">
        <f t="shared" si="6"/>
        <v>0</v>
      </c>
    </row>
    <row r="122" spans="2:7">
      <c r="B122" s="218"/>
      <c r="C122" s="231" t="s">
        <v>142</v>
      </c>
      <c r="D122" s="224" t="s">
        <v>66</v>
      </c>
      <c r="E122" s="225">
        <v>1</v>
      </c>
      <c r="F122" s="1603">
        <v>0</v>
      </c>
      <c r="G122" s="230">
        <f t="shared" si="6"/>
        <v>0</v>
      </c>
    </row>
    <row r="123" spans="2:7">
      <c r="B123" s="218"/>
      <c r="C123" s="231" t="s">
        <v>143</v>
      </c>
      <c r="D123" s="224" t="s">
        <v>66</v>
      </c>
      <c r="E123" s="225">
        <v>1</v>
      </c>
      <c r="F123" s="1603">
        <v>0</v>
      </c>
      <c r="G123" s="230">
        <f t="shared" si="6"/>
        <v>0</v>
      </c>
    </row>
    <row r="124" spans="2:7">
      <c r="B124" s="218"/>
      <c r="C124" s="231" t="s">
        <v>2250</v>
      </c>
      <c r="D124" s="224" t="s">
        <v>66</v>
      </c>
      <c r="E124" s="225">
        <v>1</v>
      </c>
      <c r="F124" s="1603">
        <v>0</v>
      </c>
      <c r="G124" s="230">
        <f t="shared" si="6"/>
        <v>0</v>
      </c>
    </row>
    <row r="125" spans="2:7">
      <c r="B125" s="218"/>
      <c r="C125" s="231" t="s">
        <v>145</v>
      </c>
      <c r="D125" s="224" t="s">
        <v>66</v>
      </c>
      <c r="E125" s="225">
        <v>1</v>
      </c>
      <c r="F125" s="1603">
        <v>0</v>
      </c>
      <c r="G125" s="230">
        <f t="shared" si="6"/>
        <v>0</v>
      </c>
    </row>
    <row r="126" spans="2:7">
      <c r="B126" s="218"/>
      <c r="C126" s="231" t="s">
        <v>146</v>
      </c>
      <c r="D126" s="224" t="s">
        <v>66</v>
      </c>
      <c r="E126" s="225">
        <v>1</v>
      </c>
      <c r="F126" s="1603">
        <v>0</v>
      </c>
      <c r="G126" s="230">
        <f t="shared" si="6"/>
        <v>0</v>
      </c>
    </row>
    <row r="127" spans="2:7">
      <c r="B127" s="218"/>
      <c r="C127" s="739" t="s">
        <v>147</v>
      </c>
      <c r="D127" s="224" t="s">
        <v>66</v>
      </c>
      <c r="E127" s="225">
        <v>1</v>
      </c>
      <c r="F127" s="1603">
        <v>0</v>
      </c>
      <c r="G127" s="230">
        <f t="shared" si="6"/>
        <v>0</v>
      </c>
    </row>
    <row r="128" spans="2:7">
      <c r="B128" s="218"/>
      <c r="C128" s="739" t="s">
        <v>188</v>
      </c>
      <c r="D128" s="224" t="s">
        <v>66</v>
      </c>
      <c r="E128" s="225">
        <v>1</v>
      </c>
      <c r="F128" s="1603">
        <v>0</v>
      </c>
      <c r="G128" s="230">
        <f t="shared" si="6"/>
        <v>0</v>
      </c>
    </row>
    <row r="129" spans="2:7">
      <c r="B129" s="218"/>
      <c r="C129" s="739" t="s">
        <v>132</v>
      </c>
      <c r="D129" s="224" t="s">
        <v>66</v>
      </c>
      <c r="E129" s="225">
        <v>2</v>
      </c>
      <c r="F129" s="1603">
        <v>0</v>
      </c>
      <c r="G129" s="230">
        <f t="shared" si="6"/>
        <v>0</v>
      </c>
    </row>
    <row r="130" spans="2:7">
      <c r="B130" s="218"/>
      <c r="C130" s="739" t="s">
        <v>148</v>
      </c>
      <c r="D130" s="224" t="s">
        <v>66</v>
      </c>
      <c r="E130" s="225">
        <v>2</v>
      </c>
      <c r="F130" s="1603">
        <v>0</v>
      </c>
      <c r="G130" s="230">
        <f t="shared" si="6"/>
        <v>0</v>
      </c>
    </row>
    <row r="131" spans="2:7">
      <c r="B131" s="218"/>
      <c r="C131" s="739" t="s">
        <v>149</v>
      </c>
      <c r="D131" s="224" t="s">
        <v>66</v>
      </c>
      <c r="E131" s="225">
        <v>1</v>
      </c>
      <c r="F131" s="1603">
        <v>0</v>
      </c>
      <c r="G131" s="230">
        <f t="shared" si="6"/>
        <v>0</v>
      </c>
    </row>
    <row r="132" spans="2:7">
      <c r="B132" s="218"/>
      <c r="C132" s="739" t="s">
        <v>150</v>
      </c>
      <c r="D132" s="224" t="s">
        <v>66</v>
      </c>
      <c r="E132" s="225">
        <v>3</v>
      </c>
      <c r="F132" s="1603">
        <v>0</v>
      </c>
      <c r="G132" s="230">
        <f t="shared" si="6"/>
        <v>0</v>
      </c>
    </row>
    <row r="133" spans="2:7">
      <c r="B133" s="218"/>
      <c r="C133" s="740" t="s">
        <v>135</v>
      </c>
      <c r="D133" s="224" t="s">
        <v>66</v>
      </c>
      <c r="E133" s="225">
        <v>1</v>
      </c>
      <c r="F133" s="1603">
        <v>0</v>
      </c>
      <c r="G133" s="230">
        <f t="shared" si="6"/>
        <v>0</v>
      </c>
    </row>
    <row r="134" spans="2:7">
      <c r="B134" s="201" t="s">
        <v>159</v>
      </c>
      <c r="C134" s="212" t="s">
        <v>152</v>
      </c>
      <c r="D134" s="213"/>
      <c r="E134" s="214"/>
      <c r="F134" s="215"/>
      <c r="G134" s="216"/>
    </row>
    <row r="135" spans="2:7">
      <c r="B135" s="218"/>
      <c r="C135" s="212" t="s">
        <v>153</v>
      </c>
      <c r="D135" s="735"/>
      <c r="E135" s="736"/>
      <c r="F135" s="1601"/>
      <c r="G135" s="1121"/>
    </row>
    <row r="136" spans="2:7">
      <c r="B136" s="218"/>
      <c r="C136" s="219" t="s">
        <v>129</v>
      </c>
      <c r="D136" s="213" t="s">
        <v>66</v>
      </c>
      <c r="E136" s="214">
        <v>3</v>
      </c>
      <c r="F136" s="1599">
        <v>0</v>
      </c>
      <c r="G136" s="221">
        <f t="shared" ref="G136:G146" si="7">E136*F136</f>
        <v>0</v>
      </c>
    </row>
    <row r="137" spans="2:7" ht="24">
      <c r="B137" s="218"/>
      <c r="C137" s="222" t="s">
        <v>154</v>
      </c>
      <c r="D137" s="213" t="s">
        <v>66</v>
      </c>
      <c r="E137" s="214">
        <v>3</v>
      </c>
      <c r="F137" s="1599">
        <v>0</v>
      </c>
      <c r="G137" s="221">
        <f t="shared" si="7"/>
        <v>0</v>
      </c>
    </row>
    <row r="138" spans="2:7">
      <c r="B138" s="218"/>
      <c r="C138" s="222" t="s">
        <v>155</v>
      </c>
      <c r="D138" s="213" t="s">
        <v>66</v>
      </c>
      <c r="E138" s="214">
        <v>3</v>
      </c>
      <c r="F138" s="1599">
        <v>0</v>
      </c>
      <c r="G138" s="221">
        <f t="shared" si="7"/>
        <v>0</v>
      </c>
    </row>
    <row r="139" spans="2:7">
      <c r="B139" s="218"/>
      <c r="C139" s="222" t="s">
        <v>330</v>
      </c>
      <c r="D139" s="213" t="s">
        <v>66</v>
      </c>
      <c r="E139" s="214">
        <v>3</v>
      </c>
      <c r="F139" s="1599">
        <v>0</v>
      </c>
      <c r="G139" s="221">
        <f t="shared" si="7"/>
        <v>0</v>
      </c>
    </row>
    <row r="140" spans="2:7">
      <c r="B140" s="218"/>
      <c r="C140" s="222" t="s">
        <v>157</v>
      </c>
      <c r="D140" s="213" t="s">
        <v>66</v>
      </c>
      <c r="E140" s="214">
        <v>3</v>
      </c>
      <c r="F140" s="1599">
        <v>0</v>
      </c>
      <c r="G140" s="221">
        <f t="shared" si="7"/>
        <v>0</v>
      </c>
    </row>
    <row r="141" spans="2:7">
      <c r="B141" s="218"/>
      <c r="C141" s="234" t="s">
        <v>158</v>
      </c>
      <c r="D141" s="213" t="s">
        <v>66</v>
      </c>
      <c r="E141" s="214">
        <v>3</v>
      </c>
      <c r="F141" s="1599">
        <v>0</v>
      </c>
      <c r="G141" s="221">
        <f t="shared" si="7"/>
        <v>0</v>
      </c>
    </row>
    <row r="142" spans="2:7">
      <c r="B142" s="218"/>
      <c r="C142" s="234" t="s">
        <v>190</v>
      </c>
      <c r="D142" s="213" t="s">
        <v>66</v>
      </c>
      <c r="E142" s="214">
        <v>3</v>
      </c>
      <c r="F142" s="1599">
        <v>0</v>
      </c>
      <c r="G142" s="221">
        <f t="shared" si="7"/>
        <v>0</v>
      </c>
    </row>
    <row r="143" spans="2:7">
      <c r="B143" s="218"/>
      <c r="C143" s="234" t="s">
        <v>132</v>
      </c>
      <c r="D143" s="213" t="s">
        <v>66</v>
      </c>
      <c r="E143" s="214">
        <v>6</v>
      </c>
      <c r="F143" s="1599">
        <v>0</v>
      </c>
      <c r="G143" s="221">
        <f t="shared" si="7"/>
        <v>0</v>
      </c>
    </row>
    <row r="144" spans="2:7">
      <c r="B144" s="218"/>
      <c r="C144" s="234" t="s">
        <v>148</v>
      </c>
      <c r="D144" s="213" t="s">
        <v>66</v>
      </c>
      <c r="E144" s="214">
        <v>6</v>
      </c>
      <c r="F144" s="1599">
        <v>0</v>
      </c>
      <c r="G144" s="221">
        <f t="shared" si="7"/>
        <v>0</v>
      </c>
    </row>
    <row r="145" spans="2:7">
      <c r="B145" s="218"/>
      <c r="C145" s="234" t="s">
        <v>150</v>
      </c>
      <c r="D145" s="213" t="s">
        <v>66</v>
      </c>
      <c r="E145" s="214">
        <v>3</v>
      </c>
      <c r="F145" s="1599">
        <v>0</v>
      </c>
      <c r="G145" s="221">
        <f t="shared" si="7"/>
        <v>0</v>
      </c>
    </row>
    <row r="146" spans="2:7">
      <c r="B146" s="218"/>
      <c r="C146" s="235" t="s">
        <v>135</v>
      </c>
      <c r="D146" s="213" t="s">
        <v>66</v>
      </c>
      <c r="E146" s="214">
        <v>3</v>
      </c>
      <c r="F146" s="1599">
        <v>0</v>
      </c>
      <c r="G146" s="221">
        <f t="shared" si="7"/>
        <v>0</v>
      </c>
    </row>
    <row r="147" spans="2:7" ht="24">
      <c r="B147" s="199" t="s">
        <v>331</v>
      </c>
      <c r="C147" s="212" t="s">
        <v>332</v>
      </c>
      <c r="D147" s="735" t="s">
        <v>66</v>
      </c>
      <c r="E147" s="736">
        <v>3</v>
      </c>
      <c r="F147" s="220">
        <v>0</v>
      </c>
      <c r="G147" s="221">
        <f>E147*F147</f>
        <v>0</v>
      </c>
    </row>
    <row r="148" spans="2:7">
      <c r="B148" s="201" t="s">
        <v>172</v>
      </c>
      <c r="C148" s="223" t="s">
        <v>886</v>
      </c>
      <c r="D148" s="224"/>
      <c r="E148" s="225"/>
      <c r="F148" s="226"/>
      <c r="G148" s="227"/>
    </row>
    <row r="149" spans="2:7">
      <c r="B149" s="218"/>
      <c r="C149" s="223" t="s">
        <v>196</v>
      </c>
      <c r="D149" s="737"/>
      <c r="E149" s="738"/>
      <c r="F149" s="1605"/>
      <c r="G149" s="1128"/>
    </row>
    <row r="150" spans="2:7" ht="24">
      <c r="B150" s="218"/>
      <c r="C150" s="228" t="s">
        <v>2248</v>
      </c>
      <c r="D150" s="224" t="s">
        <v>66</v>
      </c>
      <c r="E150" s="225">
        <v>5</v>
      </c>
      <c r="F150" s="1603">
        <v>0</v>
      </c>
      <c r="G150" s="2229">
        <f t="shared" ref="G150:G164" si="8">E150*F150</f>
        <v>0</v>
      </c>
    </row>
    <row r="151" spans="2:7">
      <c r="B151" s="218"/>
      <c r="C151" s="232" t="s">
        <v>132</v>
      </c>
      <c r="D151" s="224" t="s">
        <v>66</v>
      </c>
      <c r="E151" s="225">
        <v>15</v>
      </c>
      <c r="F151" s="1603">
        <v>0</v>
      </c>
      <c r="G151" s="2229">
        <f t="shared" si="8"/>
        <v>0</v>
      </c>
    </row>
    <row r="152" spans="2:7">
      <c r="B152" s="218"/>
      <c r="C152" s="232" t="s">
        <v>148</v>
      </c>
      <c r="D152" s="224" t="s">
        <v>66</v>
      </c>
      <c r="E152" s="225">
        <v>15</v>
      </c>
      <c r="F152" s="1603">
        <v>0</v>
      </c>
      <c r="G152" s="2229">
        <f t="shared" si="8"/>
        <v>0</v>
      </c>
    </row>
    <row r="153" spans="2:7">
      <c r="B153" s="218"/>
      <c r="C153" s="232" t="s">
        <v>150</v>
      </c>
      <c r="D153" s="224" t="s">
        <v>66</v>
      </c>
      <c r="E153" s="225">
        <v>5</v>
      </c>
      <c r="F153" s="1603">
        <v>0</v>
      </c>
      <c r="G153" s="2229">
        <f t="shared" si="8"/>
        <v>0</v>
      </c>
    </row>
    <row r="154" spans="2:7">
      <c r="B154" s="218"/>
      <c r="C154" s="233" t="s">
        <v>135</v>
      </c>
      <c r="D154" s="224" t="s">
        <v>66</v>
      </c>
      <c r="E154" s="225">
        <v>5</v>
      </c>
      <c r="F154" s="1603">
        <v>0</v>
      </c>
      <c r="G154" s="2229">
        <f t="shared" si="8"/>
        <v>0</v>
      </c>
    </row>
    <row r="155" spans="2:7">
      <c r="B155" s="218"/>
      <c r="C155" s="223" t="s">
        <v>228</v>
      </c>
      <c r="D155" s="737"/>
      <c r="E155" s="738"/>
      <c r="F155" s="1603"/>
      <c r="G155" s="2229"/>
    </row>
    <row r="156" spans="2:7" ht="24">
      <c r="B156" s="218"/>
      <c r="C156" s="228" t="s">
        <v>2247</v>
      </c>
      <c r="D156" s="224" t="s">
        <v>66</v>
      </c>
      <c r="E156" s="225">
        <v>1</v>
      </c>
      <c r="F156" s="1603">
        <v>0</v>
      </c>
      <c r="G156" s="2229">
        <f t="shared" si="8"/>
        <v>0</v>
      </c>
    </row>
    <row r="157" spans="2:7">
      <c r="B157" s="218"/>
      <c r="C157" s="739" t="s">
        <v>132</v>
      </c>
      <c r="D157" s="224" t="s">
        <v>66</v>
      </c>
      <c r="E157" s="225">
        <v>2</v>
      </c>
      <c r="F157" s="1603">
        <v>0</v>
      </c>
      <c r="G157" s="2229">
        <f t="shared" si="8"/>
        <v>0</v>
      </c>
    </row>
    <row r="158" spans="2:7">
      <c r="B158" s="218"/>
      <c r="C158" s="739" t="s">
        <v>166</v>
      </c>
      <c r="D158" s="224" t="s">
        <v>66</v>
      </c>
      <c r="E158" s="225">
        <v>1</v>
      </c>
      <c r="F158" s="1603">
        <v>0</v>
      </c>
      <c r="G158" s="2229">
        <f t="shared" si="8"/>
        <v>0</v>
      </c>
    </row>
    <row r="159" spans="2:7">
      <c r="B159" s="218"/>
      <c r="C159" s="739" t="s">
        <v>148</v>
      </c>
      <c r="D159" s="224" t="s">
        <v>66</v>
      </c>
      <c r="E159" s="225">
        <v>2</v>
      </c>
      <c r="F159" s="1603">
        <v>0</v>
      </c>
      <c r="G159" s="2229">
        <f t="shared" si="8"/>
        <v>0</v>
      </c>
    </row>
    <row r="160" spans="2:7">
      <c r="B160" s="218"/>
      <c r="C160" s="739" t="s">
        <v>167</v>
      </c>
      <c r="D160" s="224" t="s">
        <v>66</v>
      </c>
      <c r="E160" s="225">
        <v>1</v>
      </c>
      <c r="F160" s="1603">
        <v>0</v>
      </c>
      <c r="G160" s="2229">
        <f t="shared" si="8"/>
        <v>0</v>
      </c>
    </row>
    <row r="161" spans="2:8">
      <c r="B161" s="218"/>
      <c r="C161" s="739" t="s">
        <v>229</v>
      </c>
      <c r="D161" s="224" t="s">
        <v>66</v>
      </c>
      <c r="E161" s="225">
        <v>1</v>
      </c>
      <c r="F161" s="1603">
        <v>0</v>
      </c>
      <c r="G161" s="2229">
        <f t="shared" si="8"/>
        <v>0</v>
      </c>
    </row>
    <row r="162" spans="2:8">
      <c r="B162" s="218"/>
      <c r="C162" s="739" t="s">
        <v>230</v>
      </c>
      <c r="D162" s="224" t="s">
        <v>66</v>
      </c>
      <c r="E162" s="225">
        <v>1</v>
      </c>
      <c r="F162" s="1603">
        <v>0</v>
      </c>
      <c r="G162" s="2229">
        <f t="shared" si="8"/>
        <v>0</v>
      </c>
    </row>
    <row r="163" spans="2:8">
      <c r="B163" s="218"/>
      <c r="C163" s="739" t="s">
        <v>150</v>
      </c>
      <c r="D163" s="224" t="s">
        <v>66</v>
      </c>
      <c r="E163" s="225">
        <v>1</v>
      </c>
      <c r="F163" s="1603">
        <v>0</v>
      </c>
      <c r="G163" s="2229">
        <f t="shared" si="8"/>
        <v>0</v>
      </c>
    </row>
    <row r="164" spans="2:8">
      <c r="B164" s="218"/>
      <c r="C164" s="740" t="s">
        <v>135</v>
      </c>
      <c r="D164" s="224" t="s">
        <v>66</v>
      </c>
      <c r="E164" s="225">
        <v>1</v>
      </c>
      <c r="F164" s="1603">
        <v>0</v>
      </c>
      <c r="G164" s="2229">
        <f t="shared" si="8"/>
        <v>0</v>
      </c>
    </row>
    <row r="165" spans="2:8">
      <c r="B165" s="218"/>
      <c r="C165" s="223" t="s">
        <v>1432</v>
      </c>
      <c r="D165" s="737"/>
      <c r="E165" s="738"/>
      <c r="F165" s="1605"/>
      <c r="G165" s="1646"/>
    </row>
    <row r="166" spans="2:8" s="217" customFormat="1">
      <c r="B166" s="218"/>
      <c r="C166" s="1655" t="s">
        <v>133</v>
      </c>
      <c r="D166" s="224" t="s">
        <v>66</v>
      </c>
      <c r="E166" s="225">
        <v>1</v>
      </c>
      <c r="F166" s="1768">
        <v>0</v>
      </c>
      <c r="G166" s="1714">
        <f t="shared" ref="G166:G168" si="9">E166*F166</f>
        <v>0</v>
      </c>
      <c r="H166" s="1703"/>
    </row>
    <row r="167" spans="2:8" s="217" customFormat="1">
      <c r="B167" s="218"/>
      <c r="C167" s="1655" t="s">
        <v>2256</v>
      </c>
      <c r="D167" s="224" t="s">
        <v>66</v>
      </c>
      <c r="E167" s="225">
        <v>1</v>
      </c>
      <c r="F167" s="1768">
        <v>0</v>
      </c>
      <c r="G167" s="1714">
        <f t="shared" si="9"/>
        <v>0</v>
      </c>
      <c r="H167" s="1703"/>
    </row>
    <row r="168" spans="2:8" s="217" customFormat="1">
      <c r="B168" s="218"/>
      <c r="C168" s="1655" t="s">
        <v>230</v>
      </c>
      <c r="D168" s="224" t="s">
        <v>66</v>
      </c>
      <c r="E168" s="225">
        <v>1</v>
      </c>
      <c r="F168" s="1768">
        <v>0</v>
      </c>
      <c r="G168" s="1714">
        <f t="shared" si="9"/>
        <v>0</v>
      </c>
      <c r="H168" s="1703"/>
    </row>
    <row r="169" spans="2:8">
      <c r="B169" s="218"/>
      <c r="C169" s="223" t="s">
        <v>1395</v>
      </c>
      <c r="D169" s="737"/>
      <c r="E169" s="738"/>
      <c r="F169" s="1605"/>
      <c r="G169" s="1646"/>
    </row>
    <row r="170" spans="2:8" s="217" customFormat="1">
      <c r="B170" s="218"/>
      <c r="C170" s="1655" t="s">
        <v>230</v>
      </c>
      <c r="D170" s="224" t="s">
        <v>66</v>
      </c>
      <c r="E170" s="225">
        <v>1</v>
      </c>
      <c r="F170" s="1768">
        <v>0</v>
      </c>
      <c r="G170" s="1714">
        <f t="shared" ref="G170:G172" si="10">E170*F170</f>
        <v>0</v>
      </c>
      <c r="H170" s="1703"/>
    </row>
    <row r="171" spans="2:8" s="217" customFormat="1">
      <c r="B171" s="218"/>
      <c r="C171" s="1655" t="s">
        <v>2255</v>
      </c>
      <c r="D171" s="224" t="s">
        <v>66</v>
      </c>
      <c r="E171" s="225">
        <v>1</v>
      </c>
      <c r="F171" s="1768">
        <v>0</v>
      </c>
      <c r="G171" s="1714">
        <f t="shared" si="10"/>
        <v>0</v>
      </c>
      <c r="H171" s="1703"/>
    </row>
    <row r="172" spans="2:8" s="217" customFormat="1">
      <c r="B172" s="218"/>
      <c r="C172" s="1655" t="s">
        <v>1444</v>
      </c>
      <c r="D172" s="224" t="s">
        <v>66</v>
      </c>
      <c r="E172" s="225">
        <v>1</v>
      </c>
      <c r="F172" s="1768">
        <v>0</v>
      </c>
      <c r="G172" s="1714">
        <f t="shared" si="10"/>
        <v>0</v>
      </c>
      <c r="H172" s="1703"/>
    </row>
    <row r="173" spans="2:8">
      <c r="B173" s="201" t="s">
        <v>340</v>
      </c>
      <c r="C173" s="238" t="s">
        <v>169</v>
      </c>
      <c r="D173" s="239"/>
      <c r="E173" s="240"/>
      <c r="F173" s="241"/>
      <c r="G173" s="242"/>
    </row>
    <row r="174" spans="2:8">
      <c r="B174" s="218"/>
      <c r="C174" s="238" t="s">
        <v>170</v>
      </c>
      <c r="D174" s="153"/>
      <c r="E174" s="741"/>
      <c r="F174" s="1611"/>
      <c r="G174" s="263"/>
    </row>
    <row r="175" spans="2:8" ht="36">
      <c r="B175" s="218"/>
      <c r="C175" s="243" t="s">
        <v>2246</v>
      </c>
      <c r="D175" s="239" t="s">
        <v>66</v>
      </c>
      <c r="E175" s="240">
        <v>33</v>
      </c>
      <c r="F175" s="1611">
        <v>0</v>
      </c>
      <c r="G175" s="263">
        <f t="shared" ref="G175:G183" si="11">E175*F175</f>
        <v>0</v>
      </c>
    </row>
    <row r="176" spans="2:8">
      <c r="B176" s="218"/>
      <c r="C176" s="1129" t="s">
        <v>171</v>
      </c>
      <c r="D176" s="239" t="s">
        <v>66</v>
      </c>
      <c r="E176" s="240">
        <v>33</v>
      </c>
      <c r="F176" s="1611">
        <v>0</v>
      </c>
      <c r="G176" s="263">
        <f t="shared" si="11"/>
        <v>0</v>
      </c>
    </row>
    <row r="177" spans="2:7">
      <c r="B177" s="218"/>
      <c r="C177" s="1130" t="s">
        <v>135</v>
      </c>
      <c r="D177" s="239" t="s">
        <v>66</v>
      </c>
      <c r="E177" s="240">
        <v>33</v>
      </c>
      <c r="F177" s="1611">
        <v>0</v>
      </c>
      <c r="G177" s="263">
        <f t="shared" si="11"/>
        <v>0</v>
      </c>
    </row>
    <row r="178" spans="2:7">
      <c r="B178" s="218"/>
      <c r="C178" s="1130" t="s">
        <v>891</v>
      </c>
      <c r="D178" s="239" t="s">
        <v>66</v>
      </c>
      <c r="E178" s="240">
        <v>33</v>
      </c>
      <c r="F178" s="1611">
        <v>0</v>
      </c>
      <c r="G178" s="263">
        <f t="shared" si="11"/>
        <v>0</v>
      </c>
    </row>
    <row r="179" spans="2:7">
      <c r="B179" s="218"/>
      <c r="C179" s="238" t="s">
        <v>234</v>
      </c>
      <c r="D179" s="153"/>
      <c r="E179" s="741"/>
      <c r="F179" s="1611"/>
      <c r="G179" s="263"/>
    </row>
    <row r="180" spans="2:7" ht="36">
      <c r="B180" s="218"/>
      <c r="C180" s="243" t="s">
        <v>2245</v>
      </c>
      <c r="D180" s="239" t="s">
        <v>66</v>
      </c>
      <c r="E180" s="240">
        <v>6</v>
      </c>
      <c r="F180" s="1611">
        <v>0</v>
      </c>
      <c r="G180" s="263">
        <f t="shared" si="11"/>
        <v>0</v>
      </c>
    </row>
    <row r="181" spans="2:7">
      <c r="B181" s="218"/>
      <c r="C181" s="246" t="s">
        <v>171</v>
      </c>
      <c r="D181" s="239" t="s">
        <v>66</v>
      </c>
      <c r="E181" s="240">
        <v>6</v>
      </c>
      <c r="F181" s="1611">
        <v>0</v>
      </c>
      <c r="G181" s="263">
        <f t="shared" si="11"/>
        <v>0</v>
      </c>
    </row>
    <row r="182" spans="2:7">
      <c r="B182" s="218"/>
      <c r="C182" s="247" t="s">
        <v>135</v>
      </c>
      <c r="D182" s="239" t="s">
        <v>66</v>
      </c>
      <c r="E182" s="240">
        <v>6</v>
      </c>
      <c r="F182" s="1611">
        <v>0</v>
      </c>
      <c r="G182" s="263">
        <f t="shared" si="11"/>
        <v>0</v>
      </c>
    </row>
    <row r="183" spans="2:7">
      <c r="B183" s="218"/>
      <c r="C183" s="1130" t="s">
        <v>891</v>
      </c>
      <c r="D183" s="239" t="s">
        <v>66</v>
      </c>
      <c r="E183" s="240">
        <v>6</v>
      </c>
      <c r="F183" s="1611">
        <v>0</v>
      </c>
      <c r="G183" s="263">
        <f t="shared" si="11"/>
        <v>0</v>
      </c>
    </row>
    <row r="184" spans="2:7">
      <c r="B184" s="201" t="s">
        <v>344</v>
      </c>
      <c r="C184" s="742" t="s">
        <v>173</v>
      </c>
      <c r="D184" s="743"/>
      <c r="E184" s="744"/>
      <c r="F184" s="1131"/>
      <c r="G184" s="1132"/>
    </row>
    <row r="185" spans="2:7" ht="60">
      <c r="B185" s="218"/>
      <c r="C185" s="745" t="s">
        <v>174</v>
      </c>
      <c r="D185" s="746" t="s">
        <v>66</v>
      </c>
      <c r="E185" s="747">
        <v>1</v>
      </c>
      <c r="F185" s="1617">
        <v>0</v>
      </c>
      <c r="G185" s="1132">
        <f t="shared" ref="G185" si="12">E185*F185</f>
        <v>0</v>
      </c>
    </row>
    <row r="186" spans="2:7">
      <c r="B186" s="258" t="s">
        <v>47</v>
      </c>
      <c r="C186" s="259" t="s">
        <v>1396</v>
      </c>
      <c r="D186" s="260"/>
      <c r="E186" s="261"/>
      <c r="F186" s="262"/>
      <c r="G186" s="263">
        <f>SUM(G78:G185)</f>
        <v>0</v>
      </c>
    </row>
  </sheetData>
  <mergeCells count="5">
    <mergeCell ref="B43:G43"/>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68E77-9A25-4CCD-B900-6C0657396F99}">
  <sheetPr>
    <tabColor rgb="FF00B0F0"/>
  </sheetPr>
  <dimension ref="A2:Z188"/>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8" style="67" customWidth="1"/>
    <col min="3" max="3" width="41.28515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1386</v>
      </c>
      <c r="D4" s="76"/>
      <c r="E4" s="77"/>
      <c r="F4" s="674"/>
      <c r="G4" s="79"/>
      <c r="H4" s="37"/>
    </row>
    <row r="5" spans="1:26" s="73" customFormat="1" ht="12" customHeight="1">
      <c r="B5" s="80"/>
      <c r="C5" s="81"/>
      <c r="D5" s="82"/>
      <c r="E5" s="83"/>
      <c r="F5" s="675"/>
      <c r="G5" s="85"/>
      <c r="H5" s="37"/>
    </row>
    <row r="6" spans="1:26" s="86" customFormat="1" ht="21" customHeight="1">
      <c r="B6" s="676" t="s">
        <v>37</v>
      </c>
      <c r="C6" s="677" t="s">
        <v>1399</v>
      </c>
      <c r="D6" s="678"/>
      <c r="E6" s="679"/>
      <c r="F6" s="680"/>
      <c r="G6" s="681"/>
      <c r="H6" s="27"/>
      <c r="I6" s="87"/>
    </row>
    <row r="7" spans="1:26" s="86" customFormat="1" ht="21" customHeight="1">
      <c r="B7" s="80"/>
      <c r="C7" s="81"/>
      <c r="D7" s="82"/>
      <c r="E7" s="83"/>
      <c r="F7" s="675"/>
      <c r="G7" s="88"/>
      <c r="H7" s="27"/>
      <c r="I7" s="87"/>
    </row>
    <row r="8" spans="1:26" s="86" customFormat="1" ht="14.25">
      <c r="B8" s="682" t="s">
        <v>551</v>
      </c>
      <c r="C8" s="683" t="s">
        <v>1400</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G64</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693" t="s">
        <v>47</v>
      </c>
      <c r="C19" s="694" t="s">
        <v>48</v>
      </c>
      <c r="D19" s="109"/>
      <c r="E19" s="110"/>
      <c r="F19" s="695"/>
      <c r="G19" s="1408">
        <f>G188</f>
        <v>0</v>
      </c>
      <c r="H19" s="37"/>
      <c r="I19" s="73"/>
      <c r="J19" s="73"/>
      <c r="K19" s="73"/>
      <c r="L19" s="73"/>
      <c r="M19" s="73"/>
      <c r="N19" s="73"/>
      <c r="O19" s="73"/>
      <c r="P19" s="73"/>
      <c r="Q19" s="73"/>
      <c r="R19" s="73"/>
      <c r="S19" s="73"/>
      <c r="T19" s="73"/>
      <c r="U19" s="73"/>
      <c r="V19" s="73"/>
      <c r="W19" s="73"/>
      <c r="X19" s="73"/>
      <c r="Y19" s="73"/>
      <c r="Z19" s="73"/>
    </row>
    <row r="20" spans="2:26"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c r="Z20" s="73"/>
    </row>
    <row r="21" spans="2:26">
      <c r="B21" s="61"/>
      <c r="C21" s="62"/>
      <c r="D21" s="63"/>
      <c r="E21" s="64"/>
      <c r="F21" s="701"/>
    </row>
    <row r="22" spans="2:26">
      <c r="G22" s="118"/>
    </row>
    <row r="23" spans="2:26" ht="24">
      <c r="B23" s="119" t="s">
        <v>41</v>
      </c>
      <c r="C23" s="120" t="s">
        <v>51</v>
      </c>
      <c r="D23" s="121" t="s">
        <v>52</v>
      </c>
      <c r="E23" s="122" t="s">
        <v>53</v>
      </c>
      <c r="F23" s="756" t="s">
        <v>54</v>
      </c>
      <c r="G23" s="124" t="s">
        <v>55</v>
      </c>
    </row>
    <row r="24" spans="2:26">
      <c r="B24" s="125"/>
      <c r="C24" s="126"/>
      <c r="D24" s="127"/>
      <c r="E24" s="128"/>
      <c r="F24" s="708"/>
      <c r="G24" s="130"/>
    </row>
    <row r="25" spans="2:26" s="138" customFormat="1" ht="20.25">
      <c r="B25" s="131" t="s">
        <v>43</v>
      </c>
      <c r="C25" s="132" t="s">
        <v>44</v>
      </c>
      <c r="D25" s="133"/>
      <c r="E25" s="134"/>
      <c r="F25" s="709"/>
      <c r="G25" s="136"/>
      <c r="H25" s="137"/>
    </row>
    <row r="26" spans="2:26" ht="24">
      <c r="B26" s="125">
        <v>1</v>
      </c>
      <c r="C26" s="144" t="s">
        <v>56</v>
      </c>
      <c r="D26" s="140" t="s">
        <v>57</v>
      </c>
      <c r="E26" s="1081">
        <v>219</v>
      </c>
      <c r="F26" s="1082">
        <v>0</v>
      </c>
      <c r="G26" s="1083">
        <f t="shared" ref="G26" si="0">E26*F26</f>
        <v>0</v>
      </c>
    </row>
    <row r="27" spans="2:26">
      <c r="B27" s="125">
        <v>2</v>
      </c>
      <c r="C27" s="144" t="s">
        <v>58</v>
      </c>
      <c r="D27" s="140" t="s">
        <v>57</v>
      </c>
      <c r="E27" s="1081">
        <v>219</v>
      </c>
      <c r="F27" s="1082">
        <v>0</v>
      </c>
      <c r="G27" s="1083">
        <f>E27*F27</f>
        <v>0</v>
      </c>
    </row>
    <row r="28" spans="2:26" ht="51.75" customHeight="1">
      <c r="B28" s="125">
        <v>3</v>
      </c>
      <c r="C28" s="144" t="s">
        <v>245</v>
      </c>
      <c r="D28" s="140" t="s">
        <v>60</v>
      </c>
      <c r="E28" s="1081">
        <v>1</v>
      </c>
      <c r="F28" s="1082">
        <v>0</v>
      </c>
      <c r="G28" s="1083">
        <f t="shared" ref="G28:G38" si="1">E28*F28</f>
        <v>0</v>
      </c>
    </row>
    <row r="29" spans="2:26" ht="124.5" customHeight="1">
      <c r="B29" s="125">
        <v>4</v>
      </c>
      <c r="C29" s="144" t="s">
        <v>61</v>
      </c>
      <c r="D29" s="145" t="s">
        <v>60</v>
      </c>
      <c r="E29" s="1081">
        <v>1</v>
      </c>
      <c r="F29" s="1082">
        <v>0</v>
      </c>
      <c r="G29" s="1083">
        <f t="shared" si="1"/>
        <v>0</v>
      </c>
    </row>
    <row r="30" spans="2:26" ht="24">
      <c r="B30" s="125">
        <v>5</v>
      </c>
      <c r="C30" s="144" t="s">
        <v>1389</v>
      </c>
      <c r="D30" s="146" t="s">
        <v>60</v>
      </c>
      <c r="E30" s="1081">
        <v>4</v>
      </c>
      <c r="F30" s="1082">
        <v>0</v>
      </c>
      <c r="G30" s="1083">
        <f t="shared" si="1"/>
        <v>0</v>
      </c>
    </row>
    <row r="31" spans="2:26" ht="36">
      <c r="B31" s="125">
        <v>6</v>
      </c>
      <c r="C31" s="1084" t="s">
        <v>63</v>
      </c>
      <c r="D31" s="140" t="s">
        <v>57</v>
      </c>
      <c r="E31" s="1081">
        <v>219</v>
      </c>
      <c r="F31" s="1082">
        <v>0</v>
      </c>
      <c r="G31" s="1083">
        <f t="shared" si="1"/>
        <v>0</v>
      </c>
    </row>
    <row r="32" spans="2:26" ht="48">
      <c r="B32" s="125">
        <v>7</v>
      </c>
      <c r="C32" s="1084" t="s">
        <v>64</v>
      </c>
      <c r="D32" s="146" t="s">
        <v>60</v>
      </c>
      <c r="E32" s="1081">
        <v>1</v>
      </c>
      <c r="F32" s="1082">
        <v>0</v>
      </c>
      <c r="G32" s="1083">
        <f t="shared" si="1"/>
        <v>0</v>
      </c>
    </row>
    <row r="33" spans="2:7" ht="54" customHeight="1">
      <c r="B33" s="125">
        <v>8</v>
      </c>
      <c r="C33" s="1080" t="s">
        <v>2292</v>
      </c>
      <c r="D33" s="146" t="s">
        <v>66</v>
      </c>
      <c r="E33" s="1081">
        <v>8</v>
      </c>
      <c r="F33" s="1082">
        <v>0</v>
      </c>
      <c r="G33" s="1083">
        <f t="shared" si="1"/>
        <v>0</v>
      </c>
    </row>
    <row r="34" spans="2:7" ht="36">
      <c r="B34" s="125">
        <v>9</v>
      </c>
      <c r="C34" s="1080" t="s">
        <v>2295</v>
      </c>
      <c r="D34" s="146" t="s">
        <v>57</v>
      </c>
      <c r="E34" s="1081">
        <f>E26+E82+E83</f>
        <v>253</v>
      </c>
      <c r="F34" s="1082">
        <v>0</v>
      </c>
      <c r="G34" s="1083">
        <f t="shared" si="1"/>
        <v>0</v>
      </c>
    </row>
    <row r="35" spans="2:7" ht="24">
      <c r="B35" s="125">
        <v>10</v>
      </c>
      <c r="C35" s="1080" t="s">
        <v>2293</v>
      </c>
      <c r="D35" s="146" t="s">
        <v>57</v>
      </c>
      <c r="E35" s="1081">
        <f>E26+E82+E83</f>
        <v>253</v>
      </c>
      <c r="F35" s="1082">
        <v>0</v>
      </c>
      <c r="G35" s="1083">
        <f t="shared" si="1"/>
        <v>0</v>
      </c>
    </row>
    <row r="36" spans="2:7">
      <c r="B36" s="125">
        <v>11</v>
      </c>
      <c r="C36" s="1084" t="s">
        <v>67</v>
      </c>
      <c r="D36" s="146" t="s">
        <v>60</v>
      </c>
      <c r="E36" s="1081">
        <v>1</v>
      </c>
      <c r="F36" s="1082">
        <v>0</v>
      </c>
      <c r="G36" s="1083">
        <f t="shared" si="1"/>
        <v>0</v>
      </c>
    </row>
    <row r="37" spans="2:7" ht="48">
      <c r="B37" s="125">
        <v>12</v>
      </c>
      <c r="C37" s="952" t="s">
        <v>68</v>
      </c>
      <c r="D37" s="146" t="s">
        <v>60</v>
      </c>
      <c r="E37" s="1085">
        <v>1</v>
      </c>
      <c r="F37" s="1082">
        <v>0</v>
      </c>
      <c r="G37" s="1083">
        <f t="shared" si="1"/>
        <v>0</v>
      </c>
    </row>
    <row r="38" spans="2:7" ht="36">
      <c r="B38" s="125">
        <v>13</v>
      </c>
      <c r="C38" s="952" t="s">
        <v>69</v>
      </c>
      <c r="D38" s="146" t="s">
        <v>60</v>
      </c>
      <c r="E38" s="1085">
        <v>1</v>
      </c>
      <c r="F38" s="1082">
        <v>0</v>
      </c>
      <c r="G38" s="1083">
        <f t="shared" si="1"/>
        <v>0</v>
      </c>
    </row>
    <row r="39" spans="2:7">
      <c r="B39" s="125"/>
      <c r="C39" s="150"/>
      <c r="D39" s="146"/>
      <c r="E39" s="1085"/>
      <c r="F39" s="1082"/>
      <c r="G39" s="1083"/>
    </row>
    <row r="40" spans="2:7">
      <c r="B40" s="151" t="s">
        <v>43</v>
      </c>
      <c r="C40" s="1086" t="s">
        <v>1390</v>
      </c>
      <c r="D40" s="1087"/>
      <c r="E40" s="1088"/>
      <c r="F40" s="1089"/>
      <c r="G40" s="263">
        <f>SUM(G26:G38)</f>
        <v>0</v>
      </c>
    </row>
    <row r="41" spans="2:7">
      <c r="B41" s="125"/>
      <c r="C41" s="126"/>
      <c r="D41" s="127"/>
      <c r="E41" s="128"/>
      <c r="F41" s="129"/>
      <c r="G41" s="130"/>
    </row>
    <row r="42" spans="2:7" ht="24">
      <c r="B42" s="157" t="s">
        <v>50</v>
      </c>
      <c r="C42" s="158" t="s">
        <v>51</v>
      </c>
      <c r="D42" s="159" t="s">
        <v>52</v>
      </c>
      <c r="E42" s="160" t="s">
        <v>53</v>
      </c>
      <c r="F42" s="161" t="s">
        <v>54</v>
      </c>
      <c r="G42" s="162" t="s">
        <v>55</v>
      </c>
    </row>
    <row r="43" spans="2:7">
      <c r="B43" s="125"/>
      <c r="C43" s="163"/>
      <c r="D43" s="140"/>
      <c r="E43" s="128"/>
      <c r="F43" s="129"/>
      <c r="G43" s="130"/>
    </row>
    <row r="44" spans="2:7" ht="40.5">
      <c r="B44" s="131" t="s">
        <v>45</v>
      </c>
      <c r="C44" s="164" t="s">
        <v>871</v>
      </c>
      <c r="D44" s="165"/>
      <c r="E44" s="134"/>
      <c r="F44" s="135"/>
      <c r="G44" s="136"/>
    </row>
    <row r="45" spans="2:7" ht="67.5" customHeight="1">
      <c r="B45" s="2399" t="s">
        <v>72</v>
      </c>
      <c r="C45" s="2400"/>
      <c r="D45" s="2400"/>
      <c r="E45" s="2400"/>
      <c r="F45" s="2400"/>
      <c r="G45" s="2401"/>
    </row>
    <row r="46" spans="2:7" ht="24">
      <c r="B46" s="167">
        <v>1</v>
      </c>
      <c r="C46" s="139" t="s">
        <v>73</v>
      </c>
      <c r="D46" s="140" t="s">
        <v>74</v>
      </c>
      <c r="E46" s="1091">
        <v>15</v>
      </c>
      <c r="F46" s="1092">
        <v>0</v>
      </c>
      <c r="G46" s="1093">
        <f t="shared" ref="G46:G62" si="2">E46*F46</f>
        <v>0</v>
      </c>
    </row>
    <row r="47" spans="2:7" ht="41.25" customHeight="1">
      <c r="B47" s="717">
        <v>2</v>
      </c>
      <c r="C47" s="139" t="s">
        <v>75</v>
      </c>
      <c r="D47" s="140" t="s">
        <v>74</v>
      </c>
      <c r="E47" s="1091">
        <f>E26*1.5*1.2*0.15</f>
        <v>59.129999999999995</v>
      </c>
      <c r="F47" s="1092">
        <v>0</v>
      </c>
      <c r="G47" s="1093">
        <f t="shared" si="2"/>
        <v>0</v>
      </c>
    </row>
    <row r="48" spans="2:7" ht="41.25" customHeight="1">
      <c r="B48" s="167">
        <v>3</v>
      </c>
      <c r="C48" s="139" t="s">
        <v>76</v>
      </c>
      <c r="D48" s="145" t="s">
        <v>74</v>
      </c>
      <c r="E48" s="1094">
        <f>E26*1.5*1.2*0.85</f>
        <v>335.07</v>
      </c>
      <c r="F48" s="1092">
        <v>0</v>
      </c>
      <c r="G48" s="142">
        <f t="shared" si="2"/>
        <v>0</v>
      </c>
    </row>
    <row r="49" spans="1:26" ht="27.75" customHeight="1">
      <c r="B49" s="717">
        <v>4</v>
      </c>
      <c r="C49" s="126" t="s">
        <v>77</v>
      </c>
      <c r="D49" s="140" t="s">
        <v>78</v>
      </c>
      <c r="E49" s="1094">
        <f>E26*1.5</f>
        <v>328.5</v>
      </c>
      <c r="F49" s="1092">
        <v>0</v>
      </c>
      <c r="G49" s="1083">
        <f t="shared" si="2"/>
        <v>0</v>
      </c>
    </row>
    <row r="50" spans="1:26" ht="27.75" customHeight="1">
      <c r="B50" s="167">
        <v>5</v>
      </c>
      <c r="C50" s="126" t="s">
        <v>79</v>
      </c>
      <c r="D50" s="145" t="s">
        <v>78</v>
      </c>
      <c r="E50" s="1094">
        <f>E26</f>
        <v>219</v>
      </c>
      <c r="F50" s="1092">
        <v>0</v>
      </c>
      <c r="G50" s="1083">
        <f t="shared" si="2"/>
        <v>0</v>
      </c>
    </row>
    <row r="51" spans="1:26" ht="27.75" customHeight="1">
      <c r="B51" s="717">
        <v>6</v>
      </c>
      <c r="C51" s="139" t="s">
        <v>247</v>
      </c>
      <c r="D51" s="145" t="s">
        <v>74</v>
      </c>
      <c r="E51" s="1094">
        <f>E26*1.2*1</f>
        <v>262.8</v>
      </c>
      <c r="F51" s="1092">
        <v>0</v>
      </c>
      <c r="G51" s="1083">
        <f t="shared" si="2"/>
        <v>0</v>
      </c>
    </row>
    <row r="52" spans="1:26" ht="40.5" customHeight="1">
      <c r="B52" s="167">
        <v>7</v>
      </c>
      <c r="C52" s="139" t="s">
        <v>82</v>
      </c>
      <c r="D52" s="146" t="s">
        <v>74</v>
      </c>
      <c r="E52" s="1094">
        <f>E26*1.5*0.4</f>
        <v>131.4</v>
      </c>
      <c r="F52" s="1092">
        <v>0</v>
      </c>
      <c r="G52" s="1083">
        <f t="shared" si="2"/>
        <v>0</v>
      </c>
    </row>
    <row r="53" spans="1:26" ht="27" customHeight="1">
      <c r="B53" s="717">
        <v>8</v>
      </c>
      <c r="C53" s="1095" t="s">
        <v>85</v>
      </c>
      <c r="D53" s="140" t="s">
        <v>57</v>
      </c>
      <c r="E53" s="1094">
        <v>15</v>
      </c>
      <c r="F53" s="1092">
        <v>0</v>
      </c>
      <c r="G53" s="1083">
        <f t="shared" si="2"/>
        <v>0</v>
      </c>
    </row>
    <row r="54" spans="1:26" ht="24">
      <c r="B54" s="167">
        <v>9</v>
      </c>
      <c r="C54" s="1095" t="s">
        <v>1391</v>
      </c>
      <c r="D54" s="140" t="s">
        <v>78</v>
      </c>
      <c r="E54" s="1094">
        <f>E26*1.2</f>
        <v>262.8</v>
      </c>
      <c r="F54" s="1092">
        <v>0</v>
      </c>
      <c r="G54" s="1083">
        <f t="shared" si="2"/>
        <v>0</v>
      </c>
    </row>
    <row r="55" spans="1:26" ht="63.75" customHeight="1">
      <c r="B55" s="717">
        <v>10</v>
      </c>
      <c r="C55" s="397" t="s">
        <v>254</v>
      </c>
      <c r="D55" s="145" t="s">
        <v>78</v>
      </c>
      <c r="E55" s="1094">
        <v>10</v>
      </c>
      <c r="F55" s="1092">
        <v>0</v>
      </c>
      <c r="G55" s="1083">
        <f t="shared" si="2"/>
        <v>0</v>
      </c>
    </row>
    <row r="56" spans="1:26" s="8" customFormat="1" ht="14.25" customHeight="1">
      <c r="A56" s="1"/>
      <c r="B56" s="167">
        <v>11</v>
      </c>
      <c r="C56" s="139" t="s">
        <v>264</v>
      </c>
      <c r="D56" s="145" t="s">
        <v>74</v>
      </c>
      <c r="E56" s="128">
        <f>E47+E48+(E54*0.06)-E51</f>
        <v>147.16799999999995</v>
      </c>
      <c r="F56" s="1092">
        <v>0</v>
      </c>
      <c r="G56" s="142">
        <f t="shared" si="2"/>
        <v>0</v>
      </c>
      <c r="I56" s="1"/>
      <c r="J56" s="1"/>
      <c r="K56" s="1"/>
      <c r="L56" s="1"/>
      <c r="M56" s="1"/>
      <c r="N56" s="1"/>
      <c r="O56" s="1"/>
      <c r="P56" s="1"/>
      <c r="Q56" s="1"/>
      <c r="R56" s="1"/>
      <c r="S56" s="1"/>
      <c r="T56" s="1"/>
      <c r="U56" s="1"/>
      <c r="V56" s="1"/>
      <c r="W56" s="1"/>
      <c r="X56" s="1"/>
      <c r="Y56" s="1"/>
      <c r="Z56" s="1"/>
    </row>
    <row r="57" spans="1:26" s="8" customFormat="1">
      <c r="A57" s="1"/>
      <c r="B57" s="717">
        <v>12</v>
      </c>
      <c r="C57" s="139" t="s">
        <v>265</v>
      </c>
      <c r="D57" s="145" t="s">
        <v>74</v>
      </c>
      <c r="E57" s="128">
        <f>E56</f>
        <v>147.16799999999995</v>
      </c>
      <c r="F57" s="1092">
        <v>0</v>
      </c>
      <c r="G57" s="142">
        <f t="shared" si="2"/>
        <v>0</v>
      </c>
      <c r="I57" s="1"/>
      <c r="J57" s="1"/>
      <c r="K57" s="1"/>
      <c r="L57" s="1"/>
      <c r="M57" s="1"/>
      <c r="N57" s="1"/>
      <c r="O57" s="1"/>
      <c r="P57" s="1"/>
      <c r="Q57" s="1"/>
      <c r="R57" s="1"/>
      <c r="S57" s="1"/>
      <c r="T57" s="1"/>
      <c r="U57" s="1"/>
      <c r="V57" s="1"/>
      <c r="W57" s="1"/>
      <c r="X57" s="1"/>
      <c r="Y57" s="1"/>
      <c r="Z57" s="1"/>
    </row>
    <row r="58" spans="1:26" s="8" customFormat="1" ht="24">
      <c r="A58" s="1"/>
      <c r="B58" s="167">
        <v>13</v>
      </c>
      <c r="C58" s="126" t="s">
        <v>95</v>
      </c>
      <c r="D58" s="140" t="s">
        <v>74</v>
      </c>
      <c r="E58" s="198">
        <f>E26*0.75*0.1</f>
        <v>16.425000000000001</v>
      </c>
      <c r="F58" s="1092">
        <v>0</v>
      </c>
      <c r="G58" s="1083">
        <f t="shared" si="2"/>
        <v>0</v>
      </c>
      <c r="I58" s="1"/>
      <c r="J58" s="1"/>
      <c r="K58" s="1"/>
      <c r="L58" s="1"/>
      <c r="M58" s="1"/>
      <c r="N58" s="1"/>
      <c r="O58" s="1"/>
      <c r="P58" s="1"/>
      <c r="Q58" s="1"/>
      <c r="R58" s="1"/>
      <c r="S58" s="1"/>
      <c r="T58" s="1"/>
      <c r="U58" s="1"/>
      <c r="V58" s="1"/>
      <c r="W58" s="1"/>
      <c r="X58" s="1"/>
      <c r="Y58" s="1"/>
      <c r="Z58" s="1"/>
    </row>
    <row r="59" spans="1:26" s="8" customFormat="1" ht="48">
      <c r="A59" s="1"/>
      <c r="B59" s="717">
        <v>14</v>
      </c>
      <c r="C59" s="1096" t="s">
        <v>1393</v>
      </c>
      <c r="D59" s="182" t="s">
        <v>74</v>
      </c>
      <c r="E59" s="1097">
        <v>3</v>
      </c>
      <c r="F59" s="1092">
        <v>0</v>
      </c>
      <c r="G59" s="1083">
        <f t="shared" si="2"/>
        <v>0</v>
      </c>
      <c r="I59" s="1"/>
      <c r="J59" s="1"/>
      <c r="K59" s="1"/>
      <c r="L59" s="1"/>
      <c r="M59" s="1"/>
      <c r="N59" s="1"/>
      <c r="O59" s="1"/>
      <c r="P59" s="1"/>
      <c r="Q59" s="1"/>
      <c r="R59" s="1"/>
      <c r="S59" s="1"/>
      <c r="T59" s="1"/>
      <c r="U59" s="1"/>
      <c r="V59" s="1"/>
      <c r="W59" s="1"/>
      <c r="X59" s="1"/>
      <c r="Y59" s="1"/>
      <c r="Z59" s="1"/>
    </row>
    <row r="60" spans="1:26" s="8" customFormat="1" ht="39" customHeight="1">
      <c r="A60" s="1"/>
      <c r="B60" s="167">
        <v>15</v>
      </c>
      <c r="C60" s="1096" t="s">
        <v>270</v>
      </c>
      <c r="D60" s="182" t="s">
        <v>66</v>
      </c>
      <c r="E60" s="1097">
        <v>12</v>
      </c>
      <c r="F60" s="1092">
        <v>0</v>
      </c>
      <c r="G60" s="1083">
        <f t="shared" si="2"/>
        <v>0</v>
      </c>
      <c r="I60" s="1"/>
      <c r="J60" s="1"/>
      <c r="K60" s="1"/>
      <c r="L60" s="1"/>
      <c r="M60" s="1"/>
      <c r="N60" s="1"/>
      <c r="O60" s="1"/>
      <c r="P60" s="1"/>
      <c r="Q60" s="1"/>
      <c r="R60" s="1"/>
      <c r="S60" s="1"/>
      <c r="T60" s="1"/>
      <c r="U60" s="1"/>
      <c r="V60" s="1"/>
      <c r="W60" s="1"/>
      <c r="X60" s="1"/>
      <c r="Y60" s="1"/>
      <c r="Z60" s="1"/>
    </row>
    <row r="61" spans="1:26" s="8" customFormat="1" ht="36">
      <c r="A61" s="1"/>
      <c r="B61" s="717">
        <v>16</v>
      </c>
      <c r="C61" s="1096" t="s">
        <v>99</v>
      </c>
      <c r="D61" s="182" t="s">
        <v>74</v>
      </c>
      <c r="E61" s="1097">
        <v>2</v>
      </c>
      <c r="F61" s="1092">
        <v>0</v>
      </c>
      <c r="G61" s="1083">
        <f t="shared" si="2"/>
        <v>0</v>
      </c>
      <c r="I61" s="1"/>
      <c r="J61" s="1"/>
      <c r="K61" s="1"/>
      <c r="L61" s="1"/>
      <c r="M61" s="1"/>
      <c r="N61" s="1"/>
      <c r="O61" s="1"/>
      <c r="P61" s="1"/>
      <c r="Q61" s="1"/>
      <c r="R61" s="1"/>
      <c r="S61" s="1"/>
      <c r="T61" s="1"/>
      <c r="U61" s="1"/>
      <c r="V61" s="1"/>
      <c r="W61" s="1"/>
      <c r="X61" s="1"/>
      <c r="Y61" s="1"/>
      <c r="Z61" s="1"/>
    </row>
    <row r="62" spans="1:26" s="8" customFormat="1" ht="27.75" customHeight="1">
      <c r="A62" s="1"/>
      <c r="B62" s="167">
        <v>17</v>
      </c>
      <c r="C62" s="1096" t="s">
        <v>100</v>
      </c>
      <c r="D62" s="182" t="s">
        <v>65</v>
      </c>
      <c r="E62" s="1097">
        <v>20</v>
      </c>
      <c r="F62" s="1092">
        <v>0</v>
      </c>
      <c r="G62" s="1083">
        <f t="shared" si="2"/>
        <v>0</v>
      </c>
      <c r="I62" s="1"/>
      <c r="J62" s="1"/>
      <c r="K62" s="1"/>
      <c r="L62" s="1"/>
      <c r="M62" s="1"/>
      <c r="N62" s="1"/>
      <c r="O62" s="1"/>
      <c r="P62" s="1"/>
      <c r="Q62" s="1"/>
      <c r="R62" s="1"/>
      <c r="S62" s="1"/>
      <c r="T62" s="1"/>
      <c r="U62" s="1"/>
      <c r="V62" s="1"/>
      <c r="W62" s="1"/>
      <c r="X62" s="1"/>
      <c r="Y62" s="1"/>
      <c r="Z62" s="1"/>
    </row>
    <row r="63" spans="1:26" s="8" customFormat="1">
      <c r="A63" s="1"/>
      <c r="B63" s="167"/>
      <c r="C63" s="1098"/>
      <c r="D63" s="1099"/>
      <c r="E63" s="1100"/>
      <c r="F63" s="1101"/>
      <c r="G63" s="1102"/>
      <c r="I63" s="1"/>
      <c r="J63" s="1"/>
      <c r="K63" s="1"/>
      <c r="L63" s="1"/>
      <c r="M63" s="1"/>
      <c r="N63" s="1"/>
      <c r="O63" s="1"/>
      <c r="P63" s="1"/>
      <c r="Q63" s="1"/>
      <c r="R63" s="1"/>
      <c r="S63" s="1"/>
      <c r="T63" s="1"/>
      <c r="U63" s="1"/>
      <c r="V63" s="1"/>
      <c r="W63" s="1"/>
      <c r="X63" s="1"/>
      <c r="Y63" s="1"/>
      <c r="Z63" s="1"/>
    </row>
    <row r="64" spans="1:26" s="8" customFormat="1">
      <c r="A64" s="1"/>
      <c r="B64" s="151" t="s">
        <v>45</v>
      </c>
      <c r="C64" s="1086" t="s">
        <v>101</v>
      </c>
      <c r="D64" s="1103"/>
      <c r="E64" s="1088"/>
      <c r="F64" s="1089"/>
      <c r="G64" s="263">
        <f>SUM(G46:G62)</f>
        <v>0</v>
      </c>
      <c r="I64" s="1"/>
      <c r="J64" s="1"/>
      <c r="K64" s="1"/>
      <c r="L64" s="1"/>
      <c r="M64" s="1"/>
      <c r="N64" s="1"/>
      <c r="O64" s="1"/>
      <c r="P64" s="1"/>
      <c r="Q64" s="1"/>
      <c r="R64" s="1"/>
      <c r="S64" s="1"/>
      <c r="T64" s="1"/>
      <c r="U64" s="1"/>
      <c r="V64" s="1"/>
      <c r="W64" s="1"/>
      <c r="X64" s="1"/>
      <c r="Y64" s="1"/>
      <c r="Z64" s="1"/>
    </row>
    <row r="65" spans="1:26" s="8" customFormat="1">
      <c r="A65" s="1"/>
      <c r="B65" s="67"/>
      <c r="C65" s="68"/>
      <c r="D65" s="69"/>
      <c r="E65" s="1104"/>
      <c r="F65" s="1105"/>
      <c r="G65" s="1106"/>
      <c r="I65" s="1"/>
      <c r="J65" s="1"/>
      <c r="K65" s="1"/>
      <c r="L65" s="1"/>
      <c r="M65" s="1"/>
      <c r="N65" s="1"/>
      <c r="O65" s="1"/>
      <c r="P65" s="1"/>
      <c r="Q65" s="1"/>
      <c r="R65" s="1"/>
      <c r="S65" s="1"/>
      <c r="T65" s="1"/>
      <c r="U65" s="1"/>
      <c r="V65" s="1"/>
      <c r="W65" s="1"/>
      <c r="X65" s="1"/>
      <c r="Y65" s="1"/>
      <c r="Z65" s="1"/>
    </row>
    <row r="66" spans="1:26"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c r="Z66" s="1"/>
    </row>
    <row r="67" spans="1:26" s="8" customFormat="1">
      <c r="A67" s="1"/>
      <c r="B67" s="125"/>
      <c r="C67" s="126"/>
      <c r="D67" s="127"/>
      <c r="E67" s="719"/>
      <c r="F67" s="1107"/>
      <c r="G67" s="731"/>
      <c r="I67" s="1"/>
      <c r="J67" s="1"/>
      <c r="K67" s="1"/>
      <c r="L67" s="1"/>
      <c r="M67" s="1"/>
      <c r="N67" s="1"/>
      <c r="O67" s="1"/>
      <c r="P67" s="1"/>
      <c r="Q67" s="1"/>
      <c r="R67" s="1"/>
      <c r="S67" s="1"/>
      <c r="T67" s="1"/>
      <c r="U67" s="1"/>
      <c r="V67" s="1"/>
      <c r="W67" s="1"/>
      <c r="X67" s="1"/>
      <c r="Y67" s="1"/>
      <c r="Z67" s="1"/>
    </row>
    <row r="68" spans="1:26"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c r="Z68" s="1"/>
    </row>
    <row r="69" spans="1:26"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c r="Z69" s="1"/>
    </row>
    <row r="70" spans="1:26"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c r="Z70" s="1"/>
    </row>
    <row r="71" spans="1:26"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c r="Z71" s="1"/>
    </row>
    <row r="72" spans="1:26"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c r="Z72" s="1"/>
    </row>
    <row r="73" spans="1:26" s="8" customFormat="1">
      <c r="A73" s="1"/>
      <c r="B73" s="2399" t="s">
        <v>271</v>
      </c>
      <c r="C73" s="2400"/>
      <c r="D73" s="2400"/>
      <c r="E73" s="2400"/>
      <c r="F73" s="2400"/>
      <c r="G73" s="2401"/>
      <c r="I73" s="1"/>
      <c r="J73" s="1"/>
      <c r="K73" s="1"/>
      <c r="L73" s="1"/>
      <c r="M73" s="1"/>
      <c r="N73" s="1"/>
      <c r="O73" s="1"/>
      <c r="P73" s="1"/>
      <c r="Q73" s="1"/>
      <c r="R73" s="1"/>
      <c r="S73" s="1"/>
      <c r="T73" s="1"/>
      <c r="U73" s="1"/>
      <c r="V73" s="1"/>
      <c r="W73" s="1"/>
      <c r="X73" s="1"/>
      <c r="Y73" s="1"/>
      <c r="Z73" s="1"/>
    </row>
    <row r="74" spans="1:26" s="8" customFormat="1">
      <c r="A74" s="1"/>
      <c r="B74" s="2399" t="s">
        <v>104</v>
      </c>
      <c r="C74" s="2400"/>
      <c r="D74" s="2400"/>
      <c r="E74" s="2400"/>
      <c r="F74" s="2400"/>
      <c r="G74" s="2401"/>
      <c r="I74" s="1"/>
      <c r="J74" s="1"/>
      <c r="K74" s="1"/>
      <c r="L74" s="1"/>
      <c r="M74" s="1"/>
      <c r="N74" s="1"/>
      <c r="O74" s="1"/>
      <c r="P74" s="1"/>
      <c r="Q74" s="1"/>
      <c r="R74" s="1"/>
      <c r="S74" s="1"/>
      <c r="T74" s="1"/>
      <c r="U74" s="1"/>
      <c r="V74" s="1"/>
      <c r="W74" s="1"/>
      <c r="X74" s="1"/>
      <c r="Y74" s="1"/>
      <c r="Z74" s="1"/>
    </row>
    <row r="75" spans="1:26" s="8" customFormat="1">
      <c r="A75" s="1"/>
      <c r="B75" s="2399" t="s">
        <v>105</v>
      </c>
      <c r="C75" s="2400"/>
      <c r="D75" s="2400"/>
      <c r="E75" s="2400"/>
      <c r="F75" s="2400"/>
      <c r="G75" s="2401"/>
      <c r="I75" s="1"/>
      <c r="J75" s="1"/>
      <c r="K75" s="1"/>
      <c r="L75" s="1"/>
      <c r="M75" s="1"/>
      <c r="N75" s="1"/>
      <c r="O75" s="1"/>
      <c r="P75" s="1"/>
      <c r="Q75" s="1"/>
      <c r="R75" s="1"/>
      <c r="S75" s="1"/>
      <c r="T75" s="1"/>
      <c r="U75" s="1"/>
      <c r="V75" s="1"/>
      <c r="W75" s="1"/>
      <c r="X75" s="1"/>
      <c r="Y75" s="1"/>
      <c r="Z75" s="1"/>
    </row>
    <row r="76" spans="1:26" s="8" customFormat="1">
      <c r="A76" s="1"/>
      <c r="B76" s="1115"/>
      <c r="C76" s="1116"/>
      <c r="D76" s="1116"/>
      <c r="E76" s="1116"/>
      <c r="F76" s="1116"/>
      <c r="G76" s="1117"/>
      <c r="I76" s="1"/>
      <c r="J76" s="1"/>
      <c r="K76" s="1"/>
      <c r="L76" s="1"/>
      <c r="M76" s="1"/>
      <c r="N76" s="1"/>
      <c r="O76" s="1"/>
      <c r="P76" s="1"/>
      <c r="Q76" s="1"/>
      <c r="R76" s="1"/>
      <c r="S76" s="1"/>
      <c r="T76" s="1"/>
      <c r="U76" s="1"/>
      <c r="V76" s="1"/>
      <c r="W76" s="1"/>
      <c r="X76" s="1"/>
      <c r="Y76" s="1"/>
      <c r="Z76" s="1"/>
    </row>
    <row r="77" spans="1:26" ht="24">
      <c r="B77" s="188">
        <v>1</v>
      </c>
      <c r="C77" s="189" t="s">
        <v>106</v>
      </c>
      <c r="D77" s="190"/>
      <c r="E77" s="719"/>
      <c r="F77" s="1107"/>
      <c r="G77" s="731"/>
    </row>
    <row r="78" spans="1:26">
      <c r="B78" s="191"/>
      <c r="C78" s="192" t="s">
        <v>107</v>
      </c>
      <c r="D78" s="190" t="s">
        <v>57</v>
      </c>
      <c r="E78" s="719">
        <f>100*0.9</f>
        <v>90</v>
      </c>
      <c r="F78" s="1092">
        <v>0</v>
      </c>
      <c r="G78" s="1093">
        <f t="shared" ref="G78:G88" si="3">E78*F78</f>
        <v>0</v>
      </c>
      <c r="I78" s="1118"/>
    </row>
    <row r="79" spans="1:26" ht="24">
      <c r="B79" s="191"/>
      <c r="C79" s="192" t="s">
        <v>884</v>
      </c>
      <c r="D79" s="190" t="s">
        <v>57</v>
      </c>
      <c r="E79" s="719">
        <f>100*0.1</f>
        <v>10</v>
      </c>
      <c r="F79" s="1092">
        <v>0</v>
      </c>
      <c r="G79" s="1093">
        <f t="shared" si="3"/>
        <v>0</v>
      </c>
      <c r="I79" s="1118"/>
    </row>
    <row r="80" spans="1:26">
      <c r="B80" s="191"/>
      <c r="C80" s="192" t="s">
        <v>226</v>
      </c>
      <c r="D80" s="190" t="s">
        <v>57</v>
      </c>
      <c r="E80" s="719">
        <f>119*0.9</f>
        <v>107.10000000000001</v>
      </c>
      <c r="F80" s="1092">
        <v>0</v>
      </c>
      <c r="G80" s="1093">
        <f t="shared" si="3"/>
        <v>0</v>
      </c>
      <c r="I80" s="1118"/>
    </row>
    <row r="81" spans="2:9" ht="24">
      <c r="B81" s="191"/>
      <c r="C81" s="192" t="s">
        <v>227</v>
      </c>
      <c r="D81" s="190" t="s">
        <v>57</v>
      </c>
      <c r="E81" s="719">
        <f>119*0.1</f>
        <v>11.9</v>
      </c>
      <c r="F81" s="1092">
        <v>0</v>
      </c>
      <c r="G81" s="1093">
        <f t="shared" si="3"/>
        <v>0</v>
      </c>
      <c r="I81" s="1118"/>
    </row>
    <row r="82" spans="2:9">
      <c r="B82" s="191"/>
      <c r="C82" s="192" t="s">
        <v>109</v>
      </c>
      <c r="D82" s="190" t="s">
        <v>57</v>
      </c>
      <c r="E82" s="719">
        <f>34*0.9</f>
        <v>30.6</v>
      </c>
      <c r="F82" s="1092">
        <v>0</v>
      </c>
      <c r="G82" s="1093">
        <f t="shared" si="3"/>
        <v>0</v>
      </c>
      <c r="I82" s="1119"/>
    </row>
    <row r="83" spans="2:9" ht="24">
      <c r="B83" s="191"/>
      <c r="C83" s="192" t="s">
        <v>110</v>
      </c>
      <c r="D83" s="190" t="s">
        <v>57</v>
      </c>
      <c r="E83" s="719">
        <f>34*0.1</f>
        <v>3.4000000000000004</v>
      </c>
      <c r="F83" s="1092">
        <v>0</v>
      </c>
      <c r="G83" s="1093">
        <f t="shared" si="3"/>
        <v>0</v>
      </c>
    </row>
    <row r="84" spans="2:9" ht="36">
      <c r="B84" s="2404" t="s">
        <v>111</v>
      </c>
      <c r="C84" s="193" t="s">
        <v>112</v>
      </c>
      <c r="D84" s="194"/>
      <c r="E84" s="719"/>
      <c r="F84" s="1092"/>
      <c r="G84" s="1093"/>
    </row>
    <row r="85" spans="2:9">
      <c r="B85" s="2405"/>
      <c r="C85" s="195" t="s">
        <v>113</v>
      </c>
      <c r="D85" s="194" t="s">
        <v>57</v>
      </c>
      <c r="E85" s="719">
        <v>15</v>
      </c>
      <c r="F85" s="1092">
        <v>0</v>
      </c>
      <c r="G85" s="1093">
        <f>E85*F85</f>
        <v>0</v>
      </c>
    </row>
    <row r="86" spans="2:9">
      <c r="B86" s="2405"/>
      <c r="C86" s="195" t="s">
        <v>274</v>
      </c>
      <c r="D86" s="194" t="s">
        <v>57</v>
      </c>
      <c r="E86" s="719">
        <v>19</v>
      </c>
      <c r="F86" s="1092">
        <v>0</v>
      </c>
      <c r="G86" s="1093">
        <f>E86*F86</f>
        <v>0</v>
      </c>
    </row>
    <row r="87" spans="2:9">
      <c r="B87" s="2413"/>
      <c r="C87" s="195" t="s">
        <v>275</v>
      </c>
      <c r="D87" s="194" t="s">
        <v>57</v>
      </c>
      <c r="E87" s="719">
        <v>85</v>
      </c>
      <c r="F87" s="1092">
        <v>0</v>
      </c>
      <c r="G87" s="1093">
        <f>E87*F87</f>
        <v>0</v>
      </c>
    </row>
    <row r="88" spans="2:9" ht="36">
      <c r="B88" s="196">
        <v>2</v>
      </c>
      <c r="C88" s="197" t="s">
        <v>114</v>
      </c>
      <c r="D88" s="145" t="s">
        <v>57</v>
      </c>
      <c r="E88" s="732">
        <f>SUM(E78:E83)</f>
        <v>253.00000000000003</v>
      </c>
      <c r="F88" s="1092">
        <v>0</v>
      </c>
      <c r="G88" s="1093">
        <f t="shared" si="3"/>
        <v>0</v>
      </c>
    </row>
    <row r="89" spans="2:9" ht="36">
      <c r="B89" s="199" t="s">
        <v>115</v>
      </c>
      <c r="C89" s="197" t="s">
        <v>116</v>
      </c>
      <c r="D89" s="145" t="s">
        <v>57</v>
      </c>
      <c r="E89" s="732">
        <f>E88</f>
        <v>253.00000000000003</v>
      </c>
      <c r="F89" s="1092">
        <v>0</v>
      </c>
      <c r="G89" s="1093">
        <f>E89*F89</f>
        <v>0</v>
      </c>
    </row>
    <row r="90" spans="2:9" ht="24">
      <c r="B90" s="199" t="s">
        <v>117</v>
      </c>
      <c r="C90" s="197" t="s">
        <v>118</v>
      </c>
      <c r="D90" s="145" t="s">
        <v>57</v>
      </c>
      <c r="E90" s="732">
        <f>E88</f>
        <v>253.00000000000003</v>
      </c>
      <c r="F90" s="1092">
        <v>0</v>
      </c>
      <c r="G90" s="1093">
        <f>E90*F90</f>
        <v>0</v>
      </c>
    </row>
    <row r="91" spans="2:9" ht="36">
      <c r="B91" s="199" t="s">
        <v>119</v>
      </c>
      <c r="C91" s="197" t="s">
        <v>120</v>
      </c>
      <c r="D91" s="145" t="s">
        <v>57</v>
      </c>
      <c r="E91" s="732">
        <f>E88</f>
        <v>253.00000000000003</v>
      </c>
      <c r="F91" s="1092">
        <v>0</v>
      </c>
      <c r="G91" s="1093">
        <f>E91*F91</f>
        <v>0</v>
      </c>
    </row>
    <row r="92" spans="2:9" ht="24">
      <c r="B92" s="188">
        <v>3</v>
      </c>
      <c r="C92" s="200" t="s">
        <v>121</v>
      </c>
      <c r="D92" s="127"/>
      <c r="E92" s="719"/>
      <c r="F92" s="719"/>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1</v>
      </c>
      <c r="F95" s="210">
        <v>0</v>
      </c>
      <c r="G95" s="211">
        <f>E95*F95</f>
        <v>0</v>
      </c>
    </row>
    <row r="96" spans="2:9">
      <c r="B96" s="207"/>
      <c r="C96" s="208" t="s">
        <v>125</v>
      </c>
      <c r="D96" s="209" t="s">
        <v>66</v>
      </c>
      <c r="E96" s="204">
        <v>1</v>
      </c>
      <c r="F96" s="210">
        <v>0</v>
      </c>
      <c r="G96" s="211">
        <f>E96*F96</f>
        <v>0</v>
      </c>
    </row>
    <row r="97" spans="2:7">
      <c r="B97" s="125"/>
      <c r="C97" s="202" t="s">
        <v>311</v>
      </c>
      <c r="D97" s="203"/>
      <c r="E97" s="204"/>
      <c r="F97" s="205"/>
      <c r="G97" s="206"/>
    </row>
    <row r="98" spans="2:7">
      <c r="B98" s="207"/>
      <c r="C98" s="208" t="s">
        <v>312</v>
      </c>
      <c r="D98" s="209" t="s">
        <v>66</v>
      </c>
      <c r="E98" s="204">
        <v>1</v>
      </c>
      <c r="F98" s="210">
        <v>0</v>
      </c>
      <c r="G98" s="211">
        <f>E98*F98</f>
        <v>0</v>
      </c>
    </row>
    <row r="99" spans="2:7">
      <c r="B99" s="207"/>
      <c r="C99" s="208" t="s">
        <v>313</v>
      </c>
      <c r="D99" s="209" t="s">
        <v>66</v>
      </c>
      <c r="E99" s="204">
        <v>1</v>
      </c>
      <c r="F99" s="210">
        <v>0</v>
      </c>
      <c r="G99" s="211">
        <f>E99*F99</f>
        <v>0</v>
      </c>
    </row>
    <row r="100" spans="2:7">
      <c r="B100" s="207"/>
      <c r="C100" s="208" t="s">
        <v>1398</v>
      </c>
      <c r="D100" s="209" t="s">
        <v>66</v>
      </c>
      <c r="E100" s="204">
        <v>1</v>
      </c>
      <c r="F100" s="210">
        <v>0</v>
      </c>
      <c r="G100" s="211">
        <f>E100*F100</f>
        <v>0</v>
      </c>
    </row>
    <row r="101" spans="2:7">
      <c r="B101" s="201" t="s">
        <v>126</v>
      </c>
      <c r="C101" s="212" t="s">
        <v>127</v>
      </c>
      <c r="D101" s="213"/>
      <c r="E101" s="214"/>
      <c r="F101" s="215">
        <v>0</v>
      </c>
      <c r="G101" s="216"/>
    </row>
    <row r="102" spans="2:7">
      <c r="B102" s="218"/>
      <c r="C102" s="212" t="s">
        <v>318</v>
      </c>
      <c r="D102" s="735"/>
      <c r="E102" s="736"/>
      <c r="F102" s="1601"/>
      <c r="G102" s="1121"/>
    </row>
    <row r="103" spans="2:7">
      <c r="B103" s="218"/>
      <c r="C103" s="219" t="s">
        <v>319</v>
      </c>
      <c r="D103" s="213" t="s">
        <v>66</v>
      </c>
      <c r="E103" s="214">
        <v>1</v>
      </c>
      <c r="F103" s="1599">
        <v>0</v>
      </c>
      <c r="G103" s="221">
        <f t="shared" ref="G103:G112" si="4">E103*F103</f>
        <v>0</v>
      </c>
    </row>
    <row r="104" spans="2:7" ht="36">
      <c r="B104" s="218"/>
      <c r="C104" s="222" t="s">
        <v>283</v>
      </c>
      <c r="D104" s="213" t="s">
        <v>66</v>
      </c>
      <c r="E104" s="214">
        <v>1</v>
      </c>
      <c r="F104" s="1599">
        <v>0</v>
      </c>
      <c r="G104" s="221">
        <f t="shared" si="4"/>
        <v>0</v>
      </c>
    </row>
    <row r="105" spans="2:7">
      <c r="B105" s="218"/>
      <c r="C105" s="222" t="s">
        <v>183</v>
      </c>
      <c r="D105" s="213" t="s">
        <v>66</v>
      </c>
      <c r="E105" s="214">
        <v>1</v>
      </c>
      <c r="F105" s="1599">
        <v>0</v>
      </c>
      <c r="G105" s="221">
        <f t="shared" si="4"/>
        <v>0</v>
      </c>
    </row>
    <row r="106" spans="2:7">
      <c r="B106" s="218"/>
      <c r="C106" s="222" t="s">
        <v>131</v>
      </c>
      <c r="D106" s="213" t="s">
        <v>66</v>
      </c>
      <c r="E106" s="214">
        <v>1</v>
      </c>
      <c r="F106" s="1599">
        <v>0</v>
      </c>
      <c r="G106" s="221">
        <f t="shared" si="4"/>
        <v>0</v>
      </c>
    </row>
    <row r="107" spans="2:7">
      <c r="B107" s="218"/>
      <c r="C107" s="1133" t="s">
        <v>166</v>
      </c>
      <c r="D107" s="213" t="s">
        <v>66</v>
      </c>
      <c r="E107" s="214">
        <v>2</v>
      </c>
      <c r="F107" s="1599">
        <v>0</v>
      </c>
      <c r="G107" s="221">
        <f t="shared" si="4"/>
        <v>0</v>
      </c>
    </row>
    <row r="108" spans="2:7">
      <c r="B108" s="218"/>
      <c r="C108" s="1133" t="s">
        <v>167</v>
      </c>
      <c r="D108" s="213" t="s">
        <v>66</v>
      </c>
      <c r="E108" s="214">
        <v>2</v>
      </c>
      <c r="F108" s="1599">
        <v>0</v>
      </c>
      <c r="G108" s="221">
        <f t="shared" si="4"/>
        <v>0</v>
      </c>
    </row>
    <row r="109" spans="2:7">
      <c r="B109" s="218"/>
      <c r="C109" s="1133" t="s">
        <v>229</v>
      </c>
      <c r="D109" s="213" t="s">
        <v>66</v>
      </c>
      <c r="E109" s="214">
        <v>2</v>
      </c>
      <c r="F109" s="1599">
        <v>0</v>
      </c>
      <c r="G109" s="221">
        <f t="shared" si="4"/>
        <v>0</v>
      </c>
    </row>
    <row r="110" spans="2:7">
      <c r="B110" s="218"/>
      <c r="C110" s="1133" t="s">
        <v>230</v>
      </c>
      <c r="D110" s="213" t="s">
        <v>66</v>
      </c>
      <c r="E110" s="214">
        <v>2</v>
      </c>
      <c r="F110" s="1599">
        <v>0</v>
      </c>
      <c r="G110" s="221">
        <f t="shared" si="4"/>
        <v>0</v>
      </c>
    </row>
    <row r="111" spans="2:7">
      <c r="B111" s="218"/>
      <c r="C111" s="1133" t="s">
        <v>134</v>
      </c>
      <c r="D111" s="213" t="s">
        <v>66</v>
      </c>
      <c r="E111" s="214">
        <v>1</v>
      </c>
      <c r="F111" s="1599">
        <v>0</v>
      </c>
      <c r="G111" s="221">
        <f t="shared" si="4"/>
        <v>0</v>
      </c>
    </row>
    <row r="112" spans="2:7">
      <c r="B112" s="218"/>
      <c r="C112" s="1134" t="s">
        <v>135</v>
      </c>
      <c r="D112" s="213" t="s">
        <v>66</v>
      </c>
      <c r="E112" s="214">
        <v>1</v>
      </c>
      <c r="F112" s="1599">
        <v>0</v>
      </c>
      <c r="G112" s="221">
        <f t="shared" si="4"/>
        <v>0</v>
      </c>
    </row>
    <row r="113" spans="2:7">
      <c r="B113" s="201" t="s">
        <v>136</v>
      </c>
      <c r="C113" s="238" t="s">
        <v>320</v>
      </c>
      <c r="D113" s="239"/>
      <c r="E113" s="240"/>
      <c r="F113" s="241"/>
      <c r="G113" s="242"/>
    </row>
    <row r="114" spans="2:7">
      <c r="B114" s="218"/>
      <c r="C114" s="238" t="s">
        <v>326</v>
      </c>
      <c r="D114" s="153"/>
      <c r="E114" s="741"/>
      <c r="F114" s="1611"/>
      <c r="G114" s="263"/>
    </row>
    <row r="115" spans="2:7" ht="31.5" customHeight="1">
      <c r="B115" s="218"/>
      <c r="C115" s="1123" t="s">
        <v>322</v>
      </c>
      <c r="D115" s="239" t="s">
        <v>66</v>
      </c>
      <c r="E115" s="240">
        <v>1</v>
      </c>
      <c r="F115" s="1611">
        <v>0</v>
      </c>
      <c r="G115" s="263">
        <f t="shared" ref="G115:G117" si="5">E115*F115</f>
        <v>0</v>
      </c>
    </row>
    <row r="116" spans="2:7">
      <c r="B116" s="218"/>
      <c r="C116" s="246" t="s">
        <v>325</v>
      </c>
      <c r="D116" s="239" t="s">
        <v>66</v>
      </c>
      <c r="E116" s="240">
        <v>1</v>
      </c>
      <c r="F116" s="1611">
        <v>0</v>
      </c>
      <c r="G116" s="263">
        <f t="shared" si="5"/>
        <v>0</v>
      </c>
    </row>
    <row r="117" spans="2:7">
      <c r="B117" s="218"/>
      <c r="C117" s="247" t="s">
        <v>135</v>
      </c>
      <c r="D117" s="239" t="s">
        <v>66</v>
      </c>
      <c r="E117" s="240">
        <v>1</v>
      </c>
      <c r="F117" s="1611">
        <v>0</v>
      </c>
      <c r="G117" s="263">
        <f t="shared" si="5"/>
        <v>0</v>
      </c>
    </row>
    <row r="118" spans="2:7">
      <c r="B118" s="201" t="s">
        <v>151</v>
      </c>
      <c r="C118" s="223" t="s">
        <v>137</v>
      </c>
      <c r="D118" s="224"/>
      <c r="E118" s="225"/>
      <c r="F118" s="226"/>
      <c r="G118" s="227"/>
    </row>
    <row r="119" spans="2:7">
      <c r="B119" s="218"/>
      <c r="C119" s="223" t="s">
        <v>138</v>
      </c>
      <c r="D119" s="737" t="s">
        <v>66</v>
      </c>
      <c r="E119" s="738"/>
      <c r="F119" s="1125"/>
      <c r="G119" s="1125"/>
    </row>
    <row r="120" spans="2:7">
      <c r="B120" s="218"/>
      <c r="C120" s="228" t="s">
        <v>129</v>
      </c>
      <c r="D120" s="224" t="s">
        <v>66</v>
      </c>
      <c r="E120" s="225">
        <v>1</v>
      </c>
      <c r="F120" s="230">
        <v>0</v>
      </c>
      <c r="G120" s="230">
        <f t="shared" ref="G120:G135" si="6">E120*F120</f>
        <v>0</v>
      </c>
    </row>
    <row r="121" spans="2:7">
      <c r="B121" s="218"/>
      <c r="C121" s="228" t="s">
        <v>139</v>
      </c>
      <c r="D121" s="224" t="s">
        <v>66</v>
      </c>
      <c r="E121" s="225">
        <v>2</v>
      </c>
      <c r="F121" s="230">
        <v>0</v>
      </c>
      <c r="G121" s="230">
        <f t="shared" si="6"/>
        <v>0</v>
      </c>
    </row>
    <row r="122" spans="2:7">
      <c r="B122" s="218"/>
      <c r="C122" s="231" t="s">
        <v>140</v>
      </c>
      <c r="D122" s="224" t="s">
        <v>66</v>
      </c>
      <c r="E122" s="225">
        <v>1</v>
      </c>
      <c r="F122" s="230">
        <v>0</v>
      </c>
      <c r="G122" s="230">
        <f t="shared" si="6"/>
        <v>0</v>
      </c>
    </row>
    <row r="123" spans="2:7">
      <c r="B123" s="218"/>
      <c r="C123" s="231" t="s">
        <v>141</v>
      </c>
      <c r="D123" s="224" t="s">
        <v>66</v>
      </c>
      <c r="E123" s="225">
        <v>1</v>
      </c>
      <c r="F123" s="230">
        <v>0</v>
      </c>
      <c r="G123" s="230">
        <f t="shared" si="6"/>
        <v>0</v>
      </c>
    </row>
    <row r="124" spans="2:7">
      <c r="B124" s="218"/>
      <c r="C124" s="231" t="s">
        <v>142</v>
      </c>
      <c r="D124" s="224" t="s">
        <v>66</v>
      </c>
      <c r="E124" s="225">
        <v>1</v>
      </c>
      <c r="F124" s="230">
        <v>0</v>
      </c>
      <c r="G124" s="230">
        <f t="shared" si="6"/>
        <v>0</v>
      </c>
    </row>
    <row r="125" spans="2:7">
      <c r="B125" s="218"/>
      <c r="C125" s="231" t="s">
        <v>143</v>
      </c>
      <c r="D125" s="224" t="s">
        <v>66</v>
      </c>
      <c r="E125" s="225">
        <v>1</v>
      </c>
      <c r="F125" s="230">
        <v>0</v>
      </c>
      <c r="G125" s="230">
        <f t="shared" si="6"/>
        <v>0</v>
      </c>
    </row>
    <row r="126" spans="2:7">
      <c r="B126" s="218"/>
      <c r="C126" s="231" t="s">
        <v>2250</v>
      </c>
      <c r="D126" s="224" t="s">
        <v>66</v>
      </c>
      <c r="E126" s="225">
        <v>1</v>
      </c>
      <c r="F126" s="230">
        <v>0</v>
      </c>
      <c r="G126" s="230">
        <f t="shared" si="6"/>
        <v>0</v>
      </c>
    </row>
    <row r="127" spans="2:7">
      <c r="B127" s="218"/>
      <c r="C127" s="231" t="s">
        <v>145</v>
      </c>
      <c r="D127" s="224" t="s">
        <v>66</v>
      </c>
      <c r="E127" s="225">
        <v>1</v>
      </c>
      <c r="F127" s="230">
        <v>0</v>
      </c>
      <c r="G127" s="230">
        <f t="shared" si="6"/>
        <v>0</v>
      </c>
    </row>
    <row r="128" spans="2:7">
      <c r="B128" s="218"/>
      <c r="C128" s="231" t="s">
        <v>146</v>
      </c>
      <c r="D128" s="224" t="s">
        <v>66</v>
      </c>
      <c r="E128" s="225">
        <v>1</v>
      </c>
      <c r="F128" s="230">
        <v>0</v>
      </c>
      <c r="G128" s="230">
        <f t="shared" si="6"/>
        <v>0</v>
      </c>
    </row>
    <row r="129" spans="2:7">
      <c r="B129" s="218"/>
      <c r="C129" s="739" t="s">
        <v>147</v>
      </c>
      <c r="D129" s="224" t="s">
        <v>66</v>
      </c>
      <c r="E129" s="225">
        <v>1</v>
      </c>
      <c r="F129" s="230">
        <v>0</v>
      </c>
      <c r="G129" s="230">
        <f t="shared" si="6"/>
        <v>0</v>
      </c>
    </row>
    <row r="130" spans="2:7">
      <c r="B130" s="218"/>
      <c r="C130" s="739" t="s">
        <v>188</v>
      </c>
      <c r="D130" s="224" t="s">
        <v>66</v>
      </c>
      <c r="E130" s="225">
        <v>1</v>
      </c>
      <c r="F130" s="230">
        <v>0</v>
      </c>
      <c r="G130" s="230">
        <f t="shared" si="6"/>
        <v>0</v>
      </c>
    </row>
    <row r="131" spans="2:7">
      <c r="B131" s="218"/>
      <c r="C131" s="739" t="s">
        <v>132</v>
      </c>
      <c r="D131" s="224" t="s">
        <v>66</v>
      </c>
      <c r="E131" s="225">
        <v>2</v>
      </c>
      <c r="F131" s="230">
        <v>0</v>
      </c>
      <c r="G131" s="230">
        <f t="shared" si="6"/>
        <v>0</v>
      </c>
    </row>
    <row r="132" spans="2:7">
      <c r="B132" s="218"/>
      <c r="C132" s="739" t="s">
        <v>148</v>
      </c>
      <c r="D132" s="224" t="s">
        <v>66</v>
      </c>
      <c r="E132" s="225">
        <v>2</v>
      </c>
      <c r="F132" s="230">
        <v>0</v>
      </c>
      <c r="G132" s="230">
        <f t="shared" si="6"/>
        <v>0</v>
      </c>
    </row>
    <row r="133" spans="2:7">
      <c r="B133" s="218"/>
      <c r="C133" s="739" t="s">
        <v>149</v>
      </c>
      <c r="D133" s="224" t="s">
        <v>66</v>
      </c>
      <c r="E133" s="225">
        <v>1</v>
      </c>
      <c r="F133" s="230">
        <v>0</v>
      </c>
      <c r="G133" s="230">
        <f t="shared" si="6"/>
        <v>0</v>
      </c>
    </row>
    <row r="134" spans="2:7">
      <c r="B134" s="218"/>
      <c r="C134" s="739" t="s">
        <v>150</v>
      </c>
      <c r="D134" s="224" t="s">
        <v>66</v>
      </c>
      <c r="E134" s="225">
        <v>3</v>
      </c>
      <c r="F134" s="230">
        <v>0</v>
      </c>
      <c r="G134" s="230">
        <f t="shared" si="6"/>
        <v>0</v>
      </c>
    </row>
    <row r="135" spans="2:7">
      <c r="B135" s="218"/>
      <c r="C135" s="740" t="s">
        <v>135</v>
      </c>
      <c r="D135" s="224" t="s">
        <v>66</v>
      </c>
      <c r="E135" s="225">
        <v>1</v>
      </c>
      <c r="F135" s="230">
        <v>0</v>
      </c>
      <c r="G135" s="230">
        <f t="shared" si="6"/>
        <v>0</v>
      </c>
    </row>
    <row r="136" spans="2:7">
      <c r="B136" s="201" t="s">
        <v>159</v>
      </c>
      <c r="C136" s="212" t="s">
        <v>152</v>
      </c>
      <c r="D136" s="213"/>
      <c r="E136" s="214"/>
      <c r="F136" s="215"/>
      <c r="G136" s="216"/>
    </row>
    <row r="137" spans="2:7">
      <c r="B137" s="218"/>
      <c r="C137" s="212" t="s">
        <v>153</v>
      </c>
      <c r="D137" s="735"/>
      <c r="E137" s="736"/>
      <c r="F137" s="1601"/>
      <c r="G137" s="1121"/>
    </row>
    <row r="138" spans="2:7">
      <c r="B138" s="218"/>
      <c r="C138" s="219" t="s">
        <v>129</v>
      </c>
      <c r="D138" s="213" t="s">
        <v>66</v>
      </c>
      <c r="E138" s="214">
        <v>1</v>
      </c>
      <c r="F138" s="1599">
        <v>0</v>
      </c>
      <c r="G138" s="221">
        <f t="shared" ref="G138:G148" si="7">E138*F138</f>
        <v>0</v>
      </c>
    </row>
    <row r="139" spans="2:7" ht="24">
      <c r="B139" s="218"/>
      <c r="C139" s="222" t="s">
        <v>154</v>
      </c>
      <c r="D139" s="213" t="s">
        <v>66</v>
      </c>
      <c r="E139" s="214">
        <v>1</v>
      </c>
      <c r="F139" s="1599">
        <v>0</v>
      </c>
      <c r="G139" s="221">
        <f t="shared" si="7"/>
        <v>0</v>
      </c>
    </row>
    <row r="140" spans="2:7">
      <c r="B140" s="218"/>
      <c r="C140" s="222" t="s">
        <v>155</v>
      </c>
      <c r="D140" s="213" t="s">
        <v>66</v>
      </c>
      <c r="E140" s="214">
        <v>1</v>
      </c>
      <c r="F140" s="1599">
        <v>0</v>
      </c>
      <c r="G140" s="221">
        <f t="shared" si="7"/>
        <v>0</v>
      </c>
    </row>
    <row r="141" spans="2:7">
      <c r="B141" s="218"/>
      <c r="C141" s="222" t="s">
        <v>330</v>
      </c>
      <c r="D141" s="213" t="s">
        <v>66</v>
      </c>
      <c r="E141" s="214">
        <v>1</v>
      </c>
      <c r="F141" s="1599">
        <v>0</v>
      </c>
      <c r="G141" s="221">
        <f t="shared" si="7"/>
        <v>0</v>
      </c>
    </row>
    <row r="142" spans="2:7">
      <c r="B142" s="218"/>
      <c r="C142" s="222" t="s">
        <v>157</v>
      </c>
      <c r="D142" s="213" t="s">
        <v>66</v>
      </c>
      <c r="E142" s="214">
        <v>1</v>
      </c>
      <c r="F142" s="1599">
        <v>0</v>
      </c>
      <c r="G142" s="221">
        <f t="shared" si="7"/>
        <v>0</v>
      </c>
    </row>
    <row r="143" spans="2:7">
      <c r="B143" s="218"/>
      <c r="C143" s="234" t="s">
        <v>158</v>
      </c>
      <c r="D143" s="213" t="s">
        <v>66</v>
      </c>
      <c r="E143" s="214">
        <v>1</v>
      </c>
      <c r="F143" s="1599">
        <v>0</v>
      </c>
      <c r="G143" s="221">
        <f t="shared" si="7"/>
        <v>0</v>
      </c>
    </row>
    <row r="144" spans="2:7">
      <c r="B144" s="218"/>
      <c r="C144" s="234" t="s">
        <v>190</v>
      </c>
      <c r="D144" s="213" t="s">
        <v>66</v>
      </c>
      <c r="E144" s="214">
        <v>1</v>
      </c>
      <c r="F144" s="1599">
        <v>0</v>
      </c>
      <c r="G144" s="221">
        <f t="shared" si="7"/>
        <v>0</v>
      </c>
    </row>
    <row r="145" spans="2:7">
      <c r="B145" s="218"/>
      <c r="C145" s="234" t="s">
        <v>132</v>
      </c>
      <c r="D145" s="213" t="s">
        <v>66</v>
      </c>
      <c r="E145" s="214">
        <v>2</v>
      </c>
      <c r="F145" s="1599">
        <v>0</v>
      </c>
      <c r="G145" s="221">
        <f t="shared" si="7"/>
        <v>0</v>
      </c>
    </row>
    <row r="146" spans="2:7">
      <c r="B146" s="218"/>
      <c r="C146" s="234" t="s">
        <v>148</v>
      </c>
      <c r="D146" s="213" t="s">
        <v>66</v>
      </c>
      <c r="E146" s="214">
        <v>2</v>
      </c>
      <c r="F146" s="1599">
        <v>0</v>
      </c>
      <c r="G146" s="221">
        <f t="shared" si="7"/>
        <v>0</v>
      </c>
    </row>
    <row r="147" spans="2:7">
      <c r="B147" s="218"/>
      <c r="C147" s="234" t="s">
        <v>150</v>
      </c>
      <c r="D147" s="213" t="s">
        <v>66</v>
      </c>
      <c r="E147" s="214">
        <v>1</v>
      </c>
      <c r="F147" s="1599">
        <v>0</v>
      </c>
      <c r="G147" s="221">
        <f t="shared" si="7"/>
        <v>0</v>
      </c>
    </row>
    <row r="148" spans="2:7">
      <c r="B148" s="218"/>
      <c r="C148" s="235" t="s">
        <v>135</v>
      </c>
      <c r="D148" s="213" t="s">
        <v>66</v>
      </c>
      <c r="E148" s="214">
        <v>1</v>
      </c>
      <c r="F148" s="1599">
        <v>0</v>
      </c>
      <c r="G148" s="221">
        <f t="shared" si="7"/>
        <v>0</v>
      </c>
    </row>
    <row r="149" spans="2:7" ht="24">
      <c r="B149" s="199" t="s">
        <v>331</v>
      </c>
      <c r="C149" s="212" t="s">
        <v>332</v>
      </c>
      <c r="D149" s="735" t="s">
        <v>66</v>
      </c>
      <c r="E149" s="736">
        <v>1</v>
      </c>
      <c r="F149" s="220">
        <v>0</v>
      </c>
      <c r="G149" s="221">
        <f>E149*F149</f>
        <v>0</v>
      </c>
    </row>
    <row r="150" spans="2:7">
      <c r="B150" s="201" t="s">
        <v>168</v>
      </c>
      <c r="C150" s="223" t="s">
        <v>886</v>
      </c>
      <c r="D150" s="224"/>
      <c r="E150" s="225"/>
      <c r="F150" s="226"/>
      <c r="G150" s="227"/>
    </row>
    <row r="151" spans="2:7">
      <c r="B151" s="218"/>
      <c r="C151" s="223" t="s">
        <v>196</v>
      </c>
      <c r="D151" s="737"/>
      <c r="E151" s="738"/>
      <c r="F151" s="1605"/>
      <c r="G151" s="1646"/>
    </row>
    <row r="152" spans="2:7" ht="24">
      <c r="B152" s="218"/>
      <c r="C152" s="228" t="s">
        <v>2248</v>
      </c>
      <c r="D152" s="224" t="s">
        <v>66</v>
      </c>
      <c r="E152" s="225">
        <v>1</v>
      </c>
      <c r="F152" s="1605">
        <v>0</v>
      </c>
      <c r="G152" s="1646">
        <f t="shared" ref="G152:G174" si="8">E152*F152</f>
        <v>0</v>
      </c>
    </row>
    <row r="153" spans="2:7">
      <c r="B153" s="218"/>
      <c r="C153" s="232" t="s">
        <v>132</v>
      </c>
      <c r="D153" s="224" t="s">
        <v>66</v>
      </c>
      <c r="E153" s="225">
        <v>3</v>
      </c>
      <c r="F153" s="1605">
        <v>0</v>
      </c>
      <c r="G153" s="1646">
        <f t="shared" si="8"/>
        <v>0</v>
      </c>
    </row>
    <row r="154" spans="2:7">
      <c r="B154" s="218"/>
      <c r="C154" s="232" t="s">
        <v>148</v>
      </c>
      <c r="D154" s="224" t="s">
        <v>66</v>
      </c>
      <c r="E154" s="225">
        <v>3</v>
      </c>
      <c r="F154" s="1605">
        <v>0</v>
      </c>
      <c r="G154" s="1646">
        <f t="shared" si="8"/>
        <v>0</v>
      </c>
    </row>
    <row r="155" spans="2:7">
      <c r="B155" s="218"/>
      <c r="C155" s="232" t="s">
        <v>150</v>
      </c>
      <c r="D155" s="224" t="s">
        <v>66</v>
      </c>
      <c r="E155" s="225">
        <v>1</v>
      </c>
      <c r="F155" s="1605">
        <v>0</v>
      </c>
      <c r="G155" s="1646">
        <f t="shared" si="8"/>
        <v>0</v>
      </c>
    </row>
    <row r="156" spans="2:7">
      <c r="B156" s="218"/>
      <c r="C156" s="233" t="s">
        <v>135</v>
      </c>
      <c r="D156" s="224" t="s">
        <v>66</v>
      </c>
      <c r="E156" s="225">
        <v>1</v>
      </c>
      <c r="F156" s="1605">
        <v>0</v>
      </c>
      <c r="G156" s="1646">
        <f t="shared" si="8"/>
        <v>0</v>
      </c>
    </row>
    <row r="157" spans="2:7">
      <c r="B157" s="218"/>
      <c r="C157" s="223" t="s">
        <v>228</v>
      </c>
      <c r="D157" s="737"/>
      <c r="E157" s="738"/>
      <c r="F157" s="1605"/>
      <c r="G157" s="1646"/>
    </row>
    <row r="158" spans="2:7" ht="24">
      <c r="B158" s="218"/>
      <c r="C158" s="228" t="s">
        <v>2247</v>
      </c>
      <c r="D158" s="224" t="s">
        <v>66</v>
      </c>
      <c r="E158" s="225">
        <v>1</v>
      </c>
      <c r="F158" s="1605">
        <v>0</v>
      </c>
      <c r="G158" s="1646">
        <f t="shared" si="8"/>
        <v>0</v>
      </c>
    </row>
    <row r="159" spans="2:7">
      <c r="B159" s="218"/>
      <c r="C159" s="739" t="s">
        <v>132</v>
      </c>
      <c r="D159" s="224" t="s">
        <v>66</v>
      </c>
      <c r="E159" s="225">
        <v>2</v>
      </c>
      <c r="F159" s="1605">
        <v>0</v>
      </c>
      <c r="G159" s="1646">
        <f t="shared" si="8"/>
        <v>0</v>
      </c>
    </row>
    <row r="160" spans="2:7">
      <c r="B160" s="218"/>
      <c r="C160" s="739" t="s">
        <v>166</v>
      </c>
      <c r="D160" s="224" t="s">
        <v>66</v>
      </c>
      <c r="E160" s="225">
        <v>1</v>
      </c>
      <c r="F160" s="1605">
        <v>0</v>
      </c>
      <c r="G160" s="1646">
        <f t="shared" si="8"/>
        <v>0</v>
      </c>
    </row>
    <row r="161" spans="2:8">
      <c r="B161" s="218"/>
      <c r="C161" s="739" t="s">
        <v>148</v>
      </c>
      <c r="D161" s="224" t="s">
        <v>66</v>
      </c>
      <c r="E161" s="225">
        <v>2</v>
      </c>
      <c r="F161" s="1605">
        <v>0</v>
      </c>
      <c r="G161" s="1646">
        <f t="shared" si="8"/>
        <v>0</v>
      </c>
    </row>
    <row r="162" spans="2:8">
      <c r="B162" s="218"/>
      <c r="C162" s="739" t="s">
        <v>167</v>
      </c>
      <c r="D162" s="224" t="s">
        <v>66</v>
      </c>
      <c r="E162" s="225">
        <v>1</v>
      </c>
      <c r="F162" s="1605">
        <v>0</v>
      </c>
      <c r="G162" s="1646">
        <f t="shared" si="8"/>
        <v>0</v>
      </c>
    </row>
    <row r="163" spans="2:8">
      <c r="B163" s="218"/>
      <c r="C163" s="739" t="s">
        <v>229</v>
      </c>
      <c r="D163" s="224" t="s">
        <v>66</v>
      </c>
      <c r="E163" s="225">
        <v>1</v>
      </c>
      <c r="F163" s="1605">
        <v>0</v>
      </c>
      <c r="G163" s="1646">
        <f t="shared" si="8"/>
        <v>0</v>
      </c>
    </row>
    <row r="164" spans="2:8">
      <c r="B164" s="218"/>
      <c r="C164" s="739" t="s">
        <v>230</v>
      </c>
      <c r="D164" s="224" t="s">
        <v>66</v>
      </c>
      <c r="E164" s="225">
        <v>1</v>
      </c>
      <c r="F164" s="1605">
        <v>0</v>
      </c>
      <c r="G164" s="1646">
        <f t="shared" si="8"/>
        <v>0</v>
      </c>
    </row>
    <row r="165" spans="2:8">
      <c r="B165" s="218"/>
      <c r="C165" s="739" t="s">
        <v>150</v>
      </c>
      <c r="D165" s="224" t="s">
        <v>66</v>
      </c>
      <c r="E165" s="225">
        <v>1</v>
      </c>
      <c r="F165" s="1605">
        <v>0</v>
      </c>
      <c r="G165" s="1646">
        <f t="shared" si="8"/>
        <v>0</v>
      </c>
    </row>
    <row r="166" spans="2:8">
      <c r="B166" s="218"/>
      <c r="C166" s="740" t="s">
        <v>135</v>
      </c>
      <c r="D166" s="224" t="s">
        <v>66</v>
      </c>
      <c r="E166" s="225">
        <v>1</v>
      </c>
      <c r="F166" s="1605">
        <v>0</v>
      </c>
      <c r="G166" s="1646">
        <f t="shared" si="8"/>
        <v>0</v>
      </c>
    </row>
    <row r="167" spans="2:8">
      <c r="B167" s="218"/>
      <c r="C167" s="223" t="s">
        <v>1432</v>
      </c>
      <c r="D167" s="737"/>
      <c r="E167" s="738"/>
      <c r="F167" s="1605"/>
      <c r="G167" s="1646"/>
    </row>
    <row r="168" spans="2:8" s="217" customFormat="1">
      <c r="B168" s="218"/>
      <c r="C168" s="1655" t="s">
        <v>133</v>
      </c>
      <c r="D168" s="224" t="s">
        <v>66</v>
      </c>
      <c r="E168" s="225">
        <v>1</v>
      </c>
      <c r="F168" s="1768">
        <v>0</v>
      </c>
      <c r="G168" s="1714">
        <f t="shared" ref="G168:G170" si="9">E168*F168</f>
        <v>0</v>
      </c>
      <c r="H168" s="1703"/>
    </row>
    <row r="169" spans="2:8" s="217" customFormat="1">
      <c r="B169" s="218"/>
      <c r="C169" s="1655" t="s">
        <v>2256</v>
      </c>
      <c r="D169" s="224" t="s">
        <v>66</v>
      </c>
      <c r="E169" s="225">
        <v>1</v>
      </c>
      <c r="F169" s="1768">
        <v>0</v>
      </c>
      <c r="G169" s="1714">
        <f t="shared" si="9"/>
        <v>0</v>
      </c>
      <c r="H169" s="1703"/>
    </row>
    <row r="170" spans="2:8" s="217" customFormat="1">
      <c r="B170" s="218"/>
      <c r="C170" s="1655" t="s">
        <v>230</v>
      </c>
      <c r="D170" s="224" t="s">
        <v>66</v>
      </c>
      <c r="E170" s="225">
        <v>1</v>
      </c>
      <c r="F170" s="1768">
        <v>0</v>
      </c>
      <c r="G170" s="1714">
        <f t="shared" si="9"/>
        <v>0</v>
      </c>
      <c r="H170" s="1703"/>
    </row>
    <row r="171" spans="2:8">
      <c r="B171" s="218"/>
      <c r="C171" s="223" t="s">
        <v>1395</v>
      </c>
      <c r="D171" s="737"/>
      <c r="E171" s="738"/>
      <c r="F171" s="1605"/>
      <c r="G171" s="1646"/>
    </row>
    <row r="172" spans="2:8" s="217" customFormat="1">
      <c r="B172" s="218"/>
      <c r="C172" s="1655" t="s">
        <v>230</v>
      </c>
      <c r="D172" s="224" t="s">
        <v>66</v>
      </c>
      <c r="E172" s="225">
        <v>2</v>
      </c>
      <c r="F172" s="1768">
        <v>0</v>
      </c>
      <c r="G172" s="1714">
        <f t="shared" si="8"/>
        <v>0</v>
      </c>
      <c r="H172" s="1703"/>
    </row>
    <row r="173" spans="2:8" s="217" customFormat="1">
      <c r="B173" s="218"/>
      <c r="C173" s="1655" t="s">
        <v>2255</v>
      </c>
      <c r="D173" s="224" t="s">
        <v>66</v>
      </c>
      <c r="E173" s="225">
        <v>2</v>
      </c>
      <c r="F173" s="1768">
        <v>0</v>
      </c>
      <c r="G173" s="1714">
        <f t="shared" si="8"/>
        <v>0</v>
      </c>
      <c r="H173" s="1703"/>
    </row>
    <row r="174" spans="2:8" s="217" customFormat="1">
      <c r="B174" s="218"/>
      <c r="C174" s="1655" t="s">
        <v>1444</v>
      </c>
      <c r="D174" s="224" t="s">
        <v>66</v>
      </c>
      <c r="E174" s="225">
        <v>2</v>
      </c>
      <c r="F174" s="1768">
        <v>0</v>
      </c>
      <c r="G174" s="1714">
        <f t="shared" si="8"/>
        <v>0</v>
      </c>
      <c r="H174" s="1703"/>
    </row>
    <row r="175" spans="2:8">
      <c r="B175" s="201" t="s">
        <v>172</v>
      </c>
      <c r="C175" s="238" t="s">
        <v>169</v>
      </c>
      <c r="D175" s="239"/>
      <c r="E175" s="240"/>
      <c r="F175" s="241"/>
      <c r="G175" s="242"/>
    </row>
    <row r="176" spans="2:8">
      <c r="B176" s="218"/>
      <c r="C176" s="238" t="s">
        <v>170</v>
      </c>
      <c r="D176" s="153"/>
      <c r="E176" s="741"/>
      <c r="F176" s="1611"/>
      <c r="G176" s="263"/>
    </row>
    <row r="177" spans="2:7" ht="36">
      <c r="B177" s="218"/>
      <c r="C177" s="243" t="s">
        <v>2246</v>
      </c>
      <c r="D177" s="239" t="s">
        <v>66</v>
      </c>
      <c r="E177" s="240">
        <v>4</v>
      </c>
      <c r="F177" s="1609">
        <v>0</v>
      </c>
      <c r="G177" s="245">
        <f t="shared" ref="G177:G185" si="10">E177*F177</f>
        <v>0</v>
      </c>
    </row>
    <row r="178" spans="2:7">
      <c r="B178" s="218"/>
      <c r="C178" s="1129" t="s">
        <v>171</v>
      </c>
      <c r="D178" s="239" t="s">
        <v>66</v>
      </c>
      <c r="E178" s="240">
        <v>4</v>
      </c>
      <c r="F178" s="1609">
        <v>0</v>
      </c>
      <c r="G178" s="245">
        <f t="shared" si="10"/>
        <v>0</v>
      </c>
    </row>
    <row r="179" spans="2:7">
      <c r="B179" s="218"/>
      <c r="C179" s="1130" t="s">
        <v>135</v>
      </c>
      <c r="D179" s="239" t="s">
        <v>66</v>
      </c>
      <c r="E179" s="240">
        <v>4</v>
      </c>
      <c r="F179" s="1609">
        <v>0</v>
      </c>
      <c r="G179" s="245">
        <f t="shared" si="10"/>
        <v>0</v>
      </c>
    </row>
    <row r="180" spans="2:7">
      <c r="B180" s="218"/>
      <c r="C180" s="1130" t="s">
        <v>891</v>
      </c>
      <c r="D180" s="239" t="s">
        <v>66</v>
      </c>
      <c r="E180" s="240">
        <v>4</v>
      </c>
      <c r="F180" s="1609">
        <v>0</v>
      </c>
      <c r="G180" s="245">
        <f t="shared" si="10"/>
        <v>0</v>
      </c>
    </row>
    <row r="181" spans="2:7">
      <c r="B181" s="218"/>
      <c r="C181" s="238" t="s">
        <v>234</v>
      </c>
      <c r="D181" s="153"/>
      <c r="E181" s="741"/>
      <c r="F181" s="1609"/>
      <c r="G181" s="245"/>
    </row>
    <row r="182" spans="2:7" ht="36">
      <c r="B182" s="218"/>
      <c r="C182" s="243" t="s">
        <v>2245</v>
      </c>
      <c r="D182" s="239" t="s">
        <v>66</v>
      </c>
      <c r="E182" s="240">
        <v>4</v>
      </c>
      <c r="F182" s="1609">
        <v>0</v>
      </c>
      <c r="G182" s="245">
        <f t="shared" si="10"/>
        <v>0</v>
      </c>
    </row>
    <row r="183" spans="2:7">
      <c r="B183" s="218"/>
      <c r="C183" s="246" t="s">
        <v>171</v>
      </c>
      <c r="D183" s="239" t="s">
        <v>66</v>
      </c>
      <c r="E183" s="240">
        <v>4</v>
      </c>
      <c r="F183" s="1609">
        <v>0</v>
      </c>
      <c r="G183" s="245">
        <f t="shared" si="10"/>
        <v>0</v>
      </c>
    </row>
    <row r="184" spans="2:7">
      <c r="B184" s="218"/>
      <c r="C184" s="247" t="s">
        <v>135</v>
      </c>
      <c r="D184" s="239" t="s">
        <v>66</v>
      </c>
      <c r="E184" s="240">
        <v>4</v>
      </c>
      <c r="F184" s="1609">
        <v>0</v>
      </c>
      <c r="G184" s="245">
        <f t="shared" si="10"/>
        <v>0</v>
      </c>
    </row>
    <row r="185" spans="2:7">
      <c r="B185" s="218"/>
      <c r="C185" s="1130" t="s">
        <v>891</v>
      </c>
      <c r="D185" s="239" t="s">
        <v>66</v>
      </c>
      <c r="E185" s="240">
        <v>4</v>
      </c>
      <c r="F185" s="1609">
        <v>0</v>
      </c>
      <c r="G185" s="245">
        <f t="shared" si="10"/>
        <v>0</v>
      </c>
    </row>
    <row r="186" spans="2:7">
      <c r="B186" s="201" t="s">
        <v>340</v>
      </c>
      <c r="C186" s="742" t="s">
        <v>173</v>
      </c>
      <c r="D186" s="743"/>
      <c r="E186" s="744"/>
      <c r="F186" s="1131"/>
      <c r="G186" s="1132"/>
    </row>
    <row r="187" spans="2:7" ht="60">
      <c r="B187" s="218"/>
      <c r="C187" s="745" t="s">
        <v>174</v>
      </c>
      <c r="D187" s="746" t="s">
        <v>66</v>
      </c>
      <c r="E187" s="747">
        <v>1</v>
      </c>
      <c r="F187" s="1617">
        <v>0</v>
      </c>
      <c r="G187" s="1132">
        <f t="shared" ref="G187" si="11">E187*F187</f>
        <v>0</v>
      </c>
    </row>
    <row r="188" spans="2:7">
      <c r="B188" s="258" t="s">
        <v>47</v>
      </c>
      <c r="C188" s="259" t="s">
        <v>1396</v>
      </c>
      <c r="D188" s="260"/>
      <c r="E188" s="261"/>
      <c r="F188" s="262"/>
      <c r="G188" s="263">
        <f>SUM(G78:G187)</f>
        <v>0</v>
      </c>
    </row>
  </sheetData>
  <mergeCells count="5">
    <mergeCell ref="B45:G45"/>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81BB2-73A4-4A12-AB6E-3EA11CD94880}">
  <sheetPr>
    <tabColor rgb="FF00B0F0"/>
  </sheetPr>
  <dimension ref="A2:Z196"/>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7.5703125" style="67" customWidth="1"/>
    <col min="3" max="3" width="41.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1386</v>
      </c>
      <c r="D4" s="76"/>
      <c r="E4" s="77"/>
      <c r="F4" s="674"/>
      <c r="G4" s="79"/>
      <c r="H4" s="37"/>
    </row>
    <row r="5" spans="1:26" s="73" customFormat="1" ht="12" customHeight="1">
      <c r="B5" s="80"/>
      <c r="C5" s="81"/>
      <c r="D5" s="82"/>
      <c r="E5" s="83"/>
      <c r="F5" s="675"/>
      <c r="G5" s="85"/>
      <c r="H5" s="37"/>
    </row>
    <row r="6" spans="1:26" s="86" customFormat="1" ht="21" customHeight="1">
      <c r="B6" s="676" t="s">
        <v>37</v>
      </c>
      <c r="C6" s="677" t="s">
        <v>1401</v>
      </c>
      <c r="D6" s="678"/>
      <c r="E6" s="679"/>
      <c r="F6" s="680"/>
      <c r="G6" s="681"/>
      <c r="H6" s="27"/>
      <c r="I6" s="87"/>
    </row>
    <row r="7" spans="1:26" s="86" customFormat="1" ht="21" customHeight="1">
      <c r="B7" s="80"/>
      <c r="C7" s="81"/>
      <c r="D7" s="82"/>
      <c r="E7" s="83"/>
      <c r="F7" s="675"/>
      <c r="G7" s="88"/>
      <c r="H7" s="27"/>
      <c r="I7" s="87"/>
    </row>
    <row r="8" spans="1:26" s="14" customFormat="1" ht="18" customHeight="1">
      <c r="A8" s="9"/>
      <c r="B8" s="10" t="s">
        <v>38</v>
      </c>
      <c r="C8" s="11"/>
      <c r="D8" s="13"/>
      <c r="E8" s="12"/>
      <c r="F8" s="688"/>
      <c r="G8" s="13"/>
    </row>
    <row r="9" spans="1:26" s="14" customFormat="1" ht="18" customHeight="1">
      <c r="A9" s="15"/>
      <c r="B9" s="16" t="s">
        <v>39</v>
      </c>
      <c r="C9" s="17"/>
      <c r="D9" s="18"/>
      <c r="E9" s="19"/>
      <c r="F9" s="689"/>
      <c r="G9" s="18"/>
    </row>
    <row r="10" spans="1:26" s="14" customFormat="1" ht="18" customHeight="1">
      <c r="A10" s="9"/>
      <c r="B10" s="10" t="s">
        <v>4</v>
      </c>
      <c r="C10" s="11"/>
      <c r="D10" s="12"/>
      <c r="E10" s="12"/>
      <c r="F10" s="688"/>
      <c r="G10" s="13"/>
    </row>
    <row r="11" spans="1:26" s="14" customFormat="1" ht="18" customHeight="1">
      <c r="A11" s="15"/>
      <c r="B11" s="16" t="s">
        <v>5</v>
      </c>
      <c r="C11" s="17"/>
      <c r="D11" s="19"/>
      <c r="E11" s="19"/>
      <c r="F11" s="689"/>
      <c r="G11" s="18"/>
    </row>
    <row r="12" spans="1:26" s="86" customFormat="1" ht="14.25">
      <c r="B12" s="89"/>
      <c r="C12" s="90"/>
      <c r="D12" s="91"/>
      <c r="E12" s="92"/>
      <c r="F12" s="690"/>
      <c r="G12" s="94"/>
      <c r="H12" s="27"/>
      <c r="I12" s="87"/>
    </row>
    <row r="13" spans="1:26" s="86" customFormat="1" ht="18.75" customHeight="1">
      <c r="B13" s="95"/>
      <c r="C13" s="96" t="s">
        <v>40</v>
      </c>
      <c r="D13" s="97"/>
      <c r="E13" s="98"/>
      <c r="F13" s="691"/>
      <c r="G13" s="100"/>
      <c r="H13" s="27"/>
      <c r="I13" s="87"/>
    </row>
    <row r="14" spans="1:26"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c r="Z14" s="73"/>
    </row>
    <row r="15" spans="1:26"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c r="Z15" s="73"/>
    </row>
    <row r="16" spans="1:26" s="101" customFormat="1" ht="18.75" customHeight="1">
      <c r="B16" s="693" t="s">
        <v>45</v>
      </c>
      <c r="C16" s="694" t="s">
        <v>46</v>
      </c>
      <c r="D16" s="109"/>
      <c r="E16" s="110"/>
      <c r="F16" s="695"/>
      <c r="G16" s="1408">
        <f>G64</f>
        <v>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47</v>
      </c>
      <c r="C17" s="694" t="s">
        <v>48</v>
      </c>
      <c r="D17" s="109"/>
      <c r="E17" s="110"/>
      <c r="F17" s="695"/>
      <c r="G17" s="1408">
        <f>G196</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c r="Z18" s="73"/>
    </row>
    <row r="19" spans="2:26">
      <c r="B19" s="61"/>
      <c r="C19" s="62"/>
      <c r="D19" s="63"/>
      <c r="E19" s="64"/>
      <c r="F19" s="701"/>
    </row>
    <row r="20" spans="2:26">
      <c r="G20" s="118"/>
    </row>
    <row r="21" spans="2:26" ht="24">
      <c r="B21" s="119" t="s">
        <v>41</v>
      </c>
      <c r="C21" s="120" t="s">
        <v>51</v>
      </c>
      <c r="D21" s="121" t="s">
        <v>52</v>
      </c>
      <c r="E21" s="122" t="s">
        <v>53</v>
      </c>
      <c r="F21" s="756" t="s">
        <v>54</v>
      </c>
      <c r="G21" s="124" t="s">
        <v>55</v>
      </c>
    </row>
    <row r="22" spans="2:26">
      <c r="B22" s="125"/>
      <c r="C22" s="126"/>
      <c r="D22" s="127"/>
      <c r="E22" s="128"/>
      <c r="F22" s="708"/>
      <c r="G22" s="130"/>
    </row>
    <row r="23" spans="2:26" s="138" customFormat="1" ht="20.25">
      <c r="B23" s="131" t="s">
        <v>43</v>
      </c>
      <c r="C23" s="132" t="s">
        <v>44</v>
      </c>
      <c r="D23" s="133"/>
      <c r="E23" s="134"/>
      <c r="F23" s="709"/>
      <c r="G23" s="136"/>
      <c r="H23" s="137"/>
    </row>
    <row r="24" spans="2:26" ht="24">
      <c r="B24" s="125">
        <v>1</v>
      </c>
      <c r="C24" s="144" t="s">
        <v>56</v>
      </c>
      <c r="D24" s="140" t="s">
        <v>57</v>
      </c>
      <c r="E24" s="1081">
        <v>594</v>
      </c>
      <c r="F24" s="1082">
        <v>0</v>
      </c>
      <c r="G24" s="1083">
        <f t="shared" ref="G24" si="0">E24*F24</f>
        <v>0</v>
      </c>
    </row>
    <row r="25" spans="2:26">
      <c r="B25" s="125">
        <v>2</v>
      </c>
      <c r="C25" s="144" t="s">
        <v>58</v>
      </c>
      <c r="D25" s="140" t="s">
        <v>57</v>
      </c>
      <c r="E25" s="1081">
        <f>E24</f>
        <v>594</v>
      </c>
      <c r="F25" s="1082">
        <v>0</v>
      </c>
      <c r="G25" s="1083">
        <f>E25*F25</f>
        <v>0</v>
      </c>
    </row>
    <row r="26" spans="2:26" ht="51.75" customHeight="1">
      <c r="B26" s="125">
        <v>3</v>
      </c>
      <c r="C26" s="144" t="s">
        <v>245</v>
      </c>
      <c r="D26" s="140" t="s">
        <v>60</v>
      </c>
      <c r="E26" s="1081">
        <v>1</v>
      </c>
      <c r="F26" s="1082">
        <v>0</v>
      </c>
      <c r="G26" s="1083">
        <f t="shared" ref="G26:G36" si="1">E26*F26</f>
        <v>0</v>
      </c>
    </row>
    <row r="27" spans="2:26" ht="124.5" customHeight="1">
      <c r="B27" s="125">
        <v>4</v>
      </c>
      <c r="C27" s="144" t="s">
        <v>61</v>
      </c>
      <c r="D27" s="145" t="s">
        <v>60</v>
      </c>
      <c r="E27" s="1081">
        <v>1</v>
      </c>
      <c r="F27" s="1082">
        <v>0</v>
      </c>
      <c r="G27" s="1083">
        <f t="shared" si="1"/>
        <v>0</v>
      </c>
    </row>
    <row r="28" spans="2:26" ht="24">
      <c r="B28" s="125">
        <v>5</v>
      </c>
      <c r="C28" s="144" t="s">
        <v>1389</v>
      </c>
      <c r="D28" s="146" t="s">
        <v>60</v>
      </c>
      <c r="E28" s="1081">
        <v>4</v>
      </c>
      <c r="F28" s="1082">
        <v>0</v>
      </c>
      <c r="G28" s="1083">
        <f t="shared" si="1"/>
        <v>0</v>
      </c>
    </row>
    <row r="29" spans="2:26" ht="30" customHeight="1">
      <c r="B29" s="125">
        <v>6</v>
      </c>
      <c r="C29" s="1084" t="s">
        <v>63</v>
      </c>
      <c r="D29" s="140" t="s">
        <v>57</v>
      </c>
      <c r="E29" s="1081">
        <v>954</v>
      </c>
      <c r="F29" s="1082">
        <v>0</v>
      </c>
      <c r="G29" s="1083">
        <f t="shared" si="1"/>
        <v>0</v>
      </c>
    </row>
    <row r="30" spans="2:26" ht="48">
      <c r="B30" s="125">
        <v>7</v>
      </c>
      <c r="C30" s="1084" t="s">
        <v>64</v>
      </c>
      <c r="D30" s="146" t="s">
        <v>60</v>
      </c>
      <c r="E30" s="1081">
        <v>1</v>
      </c>
      <c r="F30" s="1082">
        <v>0</v>
      </c>
      <c r="G30" s="1083">
        <f t="shared" si="1"/>
        <v>0</v>
      </c>
    </row>
    <row r="31" spans="2:26" ht="53.25" customHeight="1">
      <c r="B31" s="125">
        <v>8</v>
      </c>
      <c r="C31" s="1080" t="s">
        <v>2292</v>
      </c>
      <c r="D31" s="146" t="s">
        <v>66</v>
      </c>
      <c r="E31" s="1081">
        <v>37</v>
      </c>
      <c r="F31" s="1082">
        <v>0</v>
      </c>
      <c r="G31" s="1083">
        <f t="shared" si="1"/>
        <v>0</v>
      </c>
    </row>
    <row r="32" spans="2:26" ht="37.5" customHeight="1">
      <c r="B32" s="125">
        <v>9</v>
      </c>
      <c r="C32" s="1080" t="s">
        <v>2295</v>
      </c>
      <c r="D32" s="146" t="s">
        <v>57</v>
      </c>
      <c r="E32" s="1081">
        <f>E24+E82+E83</f>
        <v>844</v>
      </c>
      <c r="F32" s="1082">
        <v>0</v>
      </c>
      <c r="G32" s="1083">
        <f t="shared" si="1"/>
        <v>0</v>
      </c>
    </row>
    <row r="33" spans="1:26" ht="27" customHeight="1">
      <c r="B33" s="125">
        <v>10</v>
      </c>
      <c r="C33" s="1080" t="s">
        <v>2293</v>
      </c>
      <c r="D33" s="146" t="s">
        <v>57</v>
      </c>
      <c r="E33" s="1081">
        <f>E24+E82+E83</f>
        <v>844</v>
      </c>
      <c r="F33" s="1082">
        <v>0</v>
      </c>
      <c r="G33" s="1083">
        <f t="shared" si="1"/>
        <v>0</v>
      </c>
    </row>
    <row r="34" spans="1:26">
      <c r="B34" s="125">
        <v>11</v>
      </c>
      <c r="C34" s="1084" t="s">
        <v>67</v>
      </c>
      <c r="D34" s="146" t="s">
        <v>60</v>
      </c>
      <c r="E34" s="1081">
        <v>1</v>
      </c>
      <c r="F34" s="1082">
        <v>0</v>
      </c>
      <c r="G34" s="1083">
        <f t="shared" si="1"/>
        <v>0</v>
      </c>
    </row>
    <row r="35" spans="1:26" ht="48">
      <c r="B35" s="125">
        <v>12</v>
      </c>
      <c r="C35" s="952" t="s">
        <v>68</v>
      </c>
      <c r="D35" s="146" t="s">
        <v>60</v>
      </c>
      <c r="E35" s="1085">
        <v>1</v>
      </c>
      <c r="F35" s="1082">
        <v>0</v>
      </c>
      <c r="G35" s="1083">
        <f t="shared" si="1"/>
        <v>0</v>
      </c>
    </row>
    <row r="36" spans="1:26" ht="36">
      <c r="B36" s="125">
        <v>13</v>
      </c>
      <c r="C36" s="952" t="s">
        <v>69</v>
      </c>
      <c r="D36" s="146" t="s">
        <v>60</v>
      </c>
      <c r="E36" s="1085">
        <v>1</v>
      </c>
      <c r="F36" s="1082">
        <v>0</v>
      </c>
      <c r="G36" s="1083">
        <f t="shared" si="1"/>
        <v>0</v>
      </c>
    </row>
    <row r="37" spans="1:26">
      <c r="B37" s="125"/>
      <c r="C37" s="150"/>
      <c r="D37" s="146"/>
      <c r="E37" s="1085"/>
      <c r="F37" s="1082"/>
      <c r="G37" s="1083"/>
    </row>
    <row r="38" spans="1:26">
      <c r="B38" s="151" t="s">
        <v>43</v>
      </c>
      <c r="C38" s="1086" t="s">
        <v>1390</v>
      </c>
      <c r="D38" s="1087"/>
      <c r="E38" s="1088"/>
      <c r="F38" s="1089"/>
      <c r="G38" s="263">
        <f>SUM(G24:G36)</f>
        <v>0</v>
      </c>
    </row>
    <row r="39" spans="1:26" s="8" customFormat="1">
      <c r="A39" s="1"/>
      <c r="B39" s="125"/>
      <c r="C39" s="126"/>
      <c r="D39" s="127"/>
      <c r="E39" s="128"/>
      <c r="F39" s="129"/>
      <c r="G39" s="130"/>
      <c r="I39" s="1"/>
      <c r="J39" s="1"/>
      <c r="K39" s="1"/>
      <c r="L39" s="1"/>
      <c r="M39" s="1"/>
      <c r="N39" s="1"/>
      <c r="O39" s="1"/>
      <c r="P39" s="1"/>
      <c r="Q39" s="1"/>
      <c r="R39" s="1"/>
      <c r="S39" s="1"/>
      <c r="T39" s="1"/>
      <c r="U39" s="1"/>
      <c r="V39" s="1"/>
      <c r="W39" s="1"/>
      <c r="X39" s="1"/>
      <c r="Y39" s="1"/>
      <c r="Z39" s="1"/>
    </row>
    <row r="40" spans="1:26"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c r="Z40" s="1"/>
    </row>
    <row r="41" spans="1:26" s="8" customFormat="1">
      <c r="A41" s="1"/>
      <c r="B41" s="125"/>
      <c r="C41" s="163"/>
      <c r="D41" s="140"/>
      <c r="E41" s="128"/>
      <c r="F41" s="129"/>
      <c r="G41" s="130"/>
      <c r="I41" s="1"/>
      <c r="J41" s="1"/>
      <c r="K41" s="1"/>
      <c r="L41" s="1"/>
      <c r="M41" s="1"/>
      <c r="N41" s="1"/>
      <c r="O41" s="1"/>
      <c r="P41" s="1"/>
      <c r="Q41" s="1"/>
      <c r="R41" s="1"/>
      <c r="S41" s="1"/>
      <c r="T41" s="1"/>
      <c r="U41" s="1"/>
      <c r="V41" s="1"/>
      <c r="W41" s="1"/>
      <c r="X41" s="1"/>
      <c r="Y41" s="1"/>
      <c r="Z41" s="1"/>
    </row>
    <row r="42" spans="1:26"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c r="Z42" s="1"/>
    </row>
    <row r="43" spans="1:26"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c r="Z43" s="1"/>
    </row>
    <row r="44" spans="1:26" s="8" customFormat="1" ht="24">
      <c r="A44" s="1"/>
      <c r="B44" s="167">
        <v>1</v>
      </c>
      <c r="C44" s="139" t="s">
        <v>73</v>
      </c>
      <c r="D44" s="140" t="s">
        <v>74</v>
      </c>
      <c r="E44" s="1091">
        <v>20</v>
      </c>
      <c r="F44" s="1092">
        <v>0</v>
      </c>
      <c r="G44" s="1093">
        <f t="shared" ref="G44:G62" si="2">E44*F44</f>
        <v>0</v>
      </c>
      <c r="I44" s="1"/>
      <c r="J44" s="1"/>
      <c r="K44" s="1"/>
      <c r="L44" s="1"/>
      <c r="M44" s="1"/>
      <c r="N44" s="1"/>
      <c r="O44" s="1"/>
      <c r="P44" s="1"/>
      <c r="Q44" s="1"/>
      <c r="R44" s="1"/>
      <c r="S44" s="1"/>
      <c r="T44" s="1"/>
      <c r="U44" s="1"/>
      <c r="V44" s="1"/>
      <c r="W44" s="1"/>
      <c r="X44" s="1"/>
      <c r="Y44" s="1"/>
      <c r="Z44" s="1"/>
    </row>
    <row r="45" spans="1:26" s="8" customFormat="1" ht="41.25" customHeight="1">
      <c r="A45" s="1"/>
      <c r="B45" s="717">
        <v>2</v>
      </c>
      <c r="C45" s="139" t="s">
        <v>75</v>
      </c>
      <c r="D45" s="140" t="s">
        <v>74</v>
      </c>
      <c r="E45" s="1091">
        <f>E24*1.5*1.2*0.15</f>
        <v>160.38</v>
      </c>
      <c r="F45" s="1092">
        <v>0</v>
      </c>
      <c r="G45" s="1093">
        <f t="shared" si="2"/>
        <v>0</v>
      </c>
      <c r="I45" s="1"/>
      <c r="J45" s="1"/>
      <c r="K45" s="1"/>
      <c r="L45" s="1"/>
      <c r="M45" s="1"/>
      <c r="N45" s="1"/>
      <c r="O45" s="1"/>
      <c r="P45" s="1"/>
      <c r="Q45" s="1"/>
      <c r="R45" s="1"/>
      <c r="S45" s="1"/>
      <c r="T45" s="1"/>
      <c r="U45" s="1"/>
      <c r="V45" s="1"/>
      <c r="W45" s="1"/>
      <c r="X45" s="1"/>
      <c r="Y45" s="1"/>
      <c r="Z45" s="1"/>
    </row>
    <row r="46" spans="1:26" s="8" customFormat="1" ht="41.25" customHeight="1">
      <c r="A46" s="1"/>
      <c r="B46" s="167">
        <v>3</v>
      </c>
      <c r="C46" s="139" t="s">
        <v>76</v>
      </c>
      <c r="D46" s="145" t="s">
        <v>74</v>
      </c>
      <c r="E46" s="1094">
        <f>E24*1.5*1.2*0.85</f>
        <v>908.82</v>
      </c>
      <c r="F46" s="1092">
        <v>0</v>
      </c>
      <c r="G46" s="142">
        <f t="shared" si="2"/>
        <v>0</v>
      </c>
      <c r="I46" s="1"/>
      <c r="J46" s="1"/>
      <c r="K46" s="1"/>
      <c r="L46" s="1"/>
      <c r="M46" s="1"/>
      <c r="N46" s="1"/>
      <c r="O46" s="1"/>
      <c r="P46" s="1"/>
      <c r="Q46" s="1"/>
      <c r="R46" s="1"/>
      <c r="S46" s="1"/>
      <c r="T46" s="1"/>
      <c r="U46" s="1"/>
      <c r="V46" s="1"/>
      <c r="W46" s="1"/>
      <c r="X46" s="1"/>
      <c r="Y46" s="1"/>
      <c r="Z46" s="1"/>
    </row>
    <row r="47" spans="1:26" s="8" customFormat="1" ht="27.75" customHeight="1">
      <c r="A47" s="1"/>
      <c r="B47" s="717">
        <v>4</v>
      </c>
      <c r="C47" s="126" t="s">
        <v>77</v>
      </c>
      <c r="D47" s="140" t="s">
        <v>78</v>
      </c>
      <c r="E47" s="1094">
        <f>E24*1.5</f>
        <v>891</v>
      </c>
      <c r="F47" s="1092">
        <v>0</v>
      </c>
      <c r="G47" s="1083">
        <f t="shared" si="2"/>
        <v>0</v>
      </c>
      <c r="I47" s="1"/>
      <c r="J47" s="1"/>
      <c r="K47" s="1"/>
      <c r="L47" s="1"/>
      <c r="M47" s="1"/>
      <c r="N47" s="1"/>
      <c r="O47" s="1"/>
      <c r="P47" s="1"/>
      <c r="Q47" s="1"/>
      <c r="R47" s="1"/>
      <c r="S47" s="1"/>
      <c r="T47" s="1"/>
      <c r="U47" s="1"/>
      <c r="V47" s="1"/>
      <c r="W47" s="1"/>
      <c r="X47" s="1"/>
      <c r="Y47" s="1"/>
      <c r="Z47" s="1"/>
    </row>
    <row r="48" spans="1:26" s="8" customFormat="1" ht="27.75" customHeight="1">
      <c r="A48" s="1"/>
      <c r="B48" s="167">
        <v>5</v>
      </c>
      <c r="C48" s="126" t="s">
        <v>79</v>
      </c>
      <c r="D48" s="145" t="s">
        <v>78</v>
      </c>
      <c r="E48" s="1094">
        <f>E24</f>
        <v>594</v>
      </c>
      <c r="F48" s="1092">
        <v>0</v>
      </c>
      <c r="G48" s="1083">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6</v>
      </c>
      <c r="C49" s="139" t="s">
        <v>247</v>
      </c>
      <c r="D49" s="145" t="s">
        <v>74</v>
      </c>
      <c r="E49" s="1094">
        <f>E24*1.2*1</f>
        <v>712.8</v>
      </c>
      <c r="F49" s="1092">
        <v>0</v>
      </c>
      <c r="G49" s="1083">
        <f t="shared" si="2"/>
        <v>0</v>
      </c>
      <c r="I49" s="1"/>
      <c r="J49" s="1"/>
      <c r="K49" s="1"/>
      <c r="L49" s="1"/>
      <c r="M49" s="1"/>
      <c r="N49" s="1"/>
      <c r="O49" s="1"/>
      <c r="P49" s="1"/>
      <c r="Q49" s="1"/>
      <c r="R49" s="1"/>
      <c r="S49" s="1"/>
      <c r="T49" s="1"/>
      <c r="U49" s="1"/>
      <c r="V49" s="1"/>
      <c r="W49" s="1"/>
      <c r="X49" s="1"/>
      <c r="Y49" s="1"/>
      <c r="Z49" s="1"/>
    </row>
    <row r="50" spans="1:26" s="8" customFormat="1" ht="40.5" customHeight="1">
      <c r="A50" s="1"/>
      <c r="B50" s="167">
        <v>7</v>
      </c>
      <c r="C50" s="139" t="s">
        <v>82</v>
      </c>
      <c r="D50" s="146" t="s">
        <v>74</v>
      </c>
      <c r="E50" s="1094">
        <f>E24*1.5*0.4</f>
        <v>356.40000000000003</v>
      </c>
      <c r="F50" s="1092">
        <v>0</v>
      </c>
      <c r="G50" s="1083">
        <f t="shared" si="2"/>
        <v>0</v>
      </c>
      <c r="I50" s="1"/>
      <c r="J50" s="1"/>
      <c r="K50" s="1"/>
      <c r="L50" s="1"/>
      <c r="M50" s="1"/>
      <c r="N50" s="1"/>
      <c r="O50" s="1"/>
      <c r="P50" s="1"/>
      <c r="Q50" s="1"/>
      <c r="R50" s="1"/>
      <c r="S50" s="1"/>
      <c r="T50" s="1"/>
      <c r="U50" s="1"/>
      <c r="V50" s="1"/>
      <c r="W50" s="1"/>
      <c r="X50" s="1"/>
      <c r="Y50" s="1"/>
      <c r="Z50" s="1"/>
    </row>
    <row r="51" spans="1:26"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c r="Z51" s="1"/>
    </row>
    <row r="52" spans="1:26" s="8" customFormat="1" ht="24">
      <c r="A52" s="1"/>
      <c r="B52" s="167">
        <v>9</v>
      </c>
      <c r="C52" s="1095" t="s">
        <v>1391</v>
      </c>
      <c r="D52" s="140" t="s">
        <v>78</v>
      </c>
      <c r="E52" s="1094">
        <f>E24*1.2</f>
        <v>712.8</v>
      </c>
      <c r="F52" s="1092">
        <v>0</v>
      </c>
      <c r="G52" s="1083">
        <f t="shared" si="2"/>
        <v>0</v>
      </c>
      <c r="I52" s="1"/>
      <c r="J52" s="1"/>
      <c r="K52" s="1"/>
      <c r="L52" s="1"/>
      <c r="M52" s="1"/>
      <c r="N52" s="1"/>
      <c r="O52" s="1"/>
      <c r="P52" s="1"/>
      <c r="Q52" s="1"/>
      <c r="R52" s="1"/>
      <c r="S52" s="1"/>
      <c r="T52" s="1"/>
      <c r="U52" s="1"/>
      <c r="V52" s="1"/>
      <c r="W52" s="1"/>
      <c r="X52" s="1"/>
      <c r="Y52" s="1"/>
      <c r="Z52" s="1"/>
    </row>
    <row r="53" spans="1:26"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c r="Z53" s="1"/>
    </row>
    <row r="54" spans="1:26" s="8" customFormat="1" ht="14.25" customHeight="1">
      <c r="A54" s="1"/>
      <c r="B54" s="167">
        <v>11</v>
      </c>
      <c r="C54" s="139" t="s">
        <v>264</v>
      </c>
      <c r="D54" s="145" t="s">
        <v>74</v>
      </c>
      <c r="E54" s="128">
        <f>E45+E46+(E52*0.06)-E49</f>
        <v>399.16800000000012</v>
      </c>
      <c r="F54" s="1092">
        <v>0</v>
      </c>
      <c r="G54" s="142">
        <f t="shared" si="2"/>
        <v>0</v>
      </c>
      <c r="I54" s="1"/>
      <c r="J54" s="1"/>
      <c r="K54" s="1"/>
      <c r="L54" s="1"/>
      <c r="M54" s="1"/>
      <c r="N54" s="1"/>
      <c r="O54" s="1"/>
      <c r="P54" s="1"/>
      <c r="Q54" s="1"/>
      <c r="R54" s="1"/>
      <c r="S54" s="1"/>
      <c r="T54" s="1"/>
      <c r="U54" s="1"/>
      <c r="V54" s="1"/>
      <c r="W54" s="1"/>
      <c r="X54" s="1"/>
      <c r="Y54" s="1"/>
      <c r="Z54" s="1"/>
    </row>
    <row r="55" spans="1:26" s="8" customFormat="1">
      <c r="A55" s="1"/>
      <c r="B55" s="717">
        <v>12</v>
      </c>
      <c r="C55" s="139" t="s">
        <v>265</v>
      </c>
      <c r="D55" s="145" t="s">
        <v>74</v>
      </c>
      <c r="E55" s="128">
        <f>E54</f>
        <v>399.16800000000012</v>
      </c>
      <c r="F55" s="1092">
        <v>0</v>
      </c>
      <c r="G55" s="142">
        <f t="shared" si="2"/>
        <v>0</v>
      </c>
      <c r="I55" s="1"/>
      <c r="J55" s="1"/>
      <c r="K55" s="1"/>
      <c r="L55" s="1"/>
      <c r="M55" s="1"/>
      <c r="N55" s="1"/>
      <c r="O55" s="1"/>
      <c r="P55" s="1"/>
      <c r="Q55" s="1"/>
      <c r="R55" s="1"/>
      <c r="S55" s="1"/>
      <c r="T55" s="1"/>
      <c r="U55" s="1"/>
      <c r="V55" s="1"/>
      <c r="W55" s="1"/>
      <c r="X55" s="1"/>
      <c r="Y55" s="1"/>
      <c r="Z55" s="1"/>
    </row>
    <row r="56" spans="1:26" s="8" customFormat="1" ht="24">
      <c r="A56" s="1"/>
      <c r="B56" s="167">
        <v>13</v>
      </c>
      <c r="C56" s="126" t="s">
        <v>95</v>
      </c>
      <c r="D56" s="140" t="s">
        <v>74</v>
      </c>
      <c r="E56" s="1094">
        <f>E24*0.75*0.1</f>
        <v>44.550000000000004</v>
      </c>
      <c r="F56" s="1092">
        <v>0</v>
      </c>
      <c r="G56" s="1083">
        <f t="shared" si="2"/>
        <v>0</v>
      </c>
      <c r="I56" s="1"/>
      <c r="J56" s="1"/>
      <c r="K56" s="1"/>
      <c r="L56" s="1"/>
      <c r="M56" s="1"/>
      <c r="N56" s="1"/>
      <c r="O56" s="1"/>
      <c r="P56" s="1"/>
      <c r="Q56" s="1"/>
      <c r="R56" s="1"/>
      <c r="S56" s="1"/>
      <c r="T56" s="1"/>
      <c r="U56" s="1"/>
      <c r="V56" s="1"/>
      <c r="W56" s="1"/>
      <c r="X56" s="1"/>
      <c r="Y56" s="1"/>
      <c r="Z56" s="1"/>
    </row>
    <row r="57" spans="1:26" s="8" customFormat="1" ht="24">
      <c r="A57" s="1"/>
      <c r="B57" s="717">
        <v>14</v>
      </c>
      <c r="C57" s="177" t="s">
        <v>96</v>
      </c>
      <c r="D57" s="140" t="s">
        <v>57</v>
      </c>
      <c r="E57" s="1094">
        <v>21</v>
      </c>
      <c r="F57" s="1092">
        <v>0</v>
      </c>
      <c r="G57" s="142">
        <f t="shared" si="2"/>
        <v>0</v>
      </c>
      <c r="I57" s="1"/>
      <c r="J57" s="1"/>
      <c r="K57" s="1"/>
      <c r="L57" s="1"/>
      <c r="M57" s="1"/>
      <c r="N57" s="1"/>
      <c r="O57" s="1"/>
      <c r="P57" s="1"/>
      <c r="Q57" s="1"/>
      <c r="R57" s="1"/>
      <c r="S57" s="1"/>
      <c r="T57" s="1"/>
      <c r="U57" s="1"/>
      <c r="V57" s="1"/>
      <c r="W57" s="1"/>
      <c r="X57" s="1"/>
      <c r="Y57" s="1"/>
      <c r="Z57" s="1"/>
    </row>
    <row r="58" spans="1:26" s="8" customFormat="1" ht="48">
      <c r="A58" s="1"/>
      <c r="B58" s="167">
        <v>15</v>
      </c>
      <c r="C58" s="1096" t="s">
        <v>1393</v>
      </c>
      <c r="D58" s="182" t="s">
        <v>74</v>
      </c>
      <c r="E58" s="1097">
        <v>7</v>
      </c>
      <c r="F58" s="1092">
        <v>0</v>
      </c>
      <c r="G58" s="1083">
        <f t="shared" si="2"/>
        <v>0</v>
      </c>
      <c r="I58" s="1"/>
      <c r="J58" s="1"/>
      <c r="K58" s="1"/>
      <c r="L58" s="1"/>
      <c r="M58" s="1"/>
      <c r="N58" s="1"/>
      <c r="O58" s="1"/>
      <c r="P58" s="1"/>
      <c r="Q58" s="1"/>
      <c r="R58" s="1"/>
      <c r="S58" s="1"/>
      <c r="T58" s="1"/>
      <c r="U58" s="1"/>
      <c r="V58" s="1"/>
      <c r="W58" s="1"/>
      <c r="X58" s="1"/>
      <c r="Y58" s="1"/>
      <c r="Z58" s="1"/>
    </row>
    <row r="59" spans="1:26" s="8" customFormat="1" ht="39" customHeight="1">
      <c r="A59" s="1"/>
      <c r="B59" s="717">
        <v>16</v>
      </c>
      <c r="C59" s="1096" t="s">
        <v>270</v>
      </c>
      <c r="D59" s="182" t="s">
        <v>66</v>
      </c>
      <c r="E59" s="1097">
        <v>44</v>
      </c>
      <c r="F59" s="1092">
        <v>0</v>
      </c>
      <c r="G59" s="1083">
        <f t="shared" si="2"/>
        <v>0</v>
      </c>
      <c r="I59" s="1"/>
      <c r="J59" s="1"/>
      <c r="K59" s="1"/>
      <c r="L59" s="1"/>
      <c r="M59" s="1"/>
      <c r="N59" s="1"/>
      <c r="O59" s="1"/>
      <c r="P59" s="1"/>
      <c r="Q59" s="1"/>
      <c r="R59" s="1"/>
      <c r="S59" s="1"/>
      <c r="T59" s="1"/>
      <c r="U59" s="1"/>
      <c r="V59" s="1"/>
      <c r="W59" s="1"/>
      <c r="X59" s="1"/>
      <c r="Y59" s="1"/>
      <c r="Z59" s="1"/>
    </row>
    <row r="60" spans="1:26" s="8" customFormat="1" ht="36">
      <c r="A60" s="1"/>
      <c r="B60" s="167">
        <v>17</v>
      </c>
      <c r="C60" s="1096" t="s">
        <v>99</v>
      </c>
      <c r="D60" s="182" t="s">
        <v>74</v>
      </c>
      <c r="E60" s="1097">
        <v>4</v>
      </c>
      <c r="F60" s="1092">
        <v>0</v>
      </c>
      <c r="G60" s="1083">
        <f t="shared" si="2"/>
        <v>0</v>
      </c>
      <c r="I60" s="1"/>
      <c r="J60" s="1"/>
      <c r="K60" s="1"/>
      <c r="L60" s="1"/>
      <c r="M60" s="1"/>
      <c r="N60" s="1"/>
      <c r="O60" s="1"/>
      <c r="P60" s="1"/>
      <c r="Q60" s="1"/>
      <c r="R60" s="1"/>
      <c r="S60" s="1"/>
      <c r="T60" s="1"/>
      <c r="U60" s="1"/>
      <c r="V60" s="1"/>
      <c r="W60" s="1"/>
      <c r="X60" s="1"/>
      <c r="Y60" s="1"/>
      <c r="Z60" s="1"/>
    </row>
    <row r="61" spans="1:26" s="8" customFormat="1" ht="27.75" customHeight="1">
      <c r="A61" s="1"/>
      <c r="B61" s="717">
        <v>18</v>
      </c>
      <c r="C61" s="1096" t="s">
        <v>100</v>
      </c>
      <c r="D61" s="182" t="s">
        <v>65</v>
      </c>
      <c r="E61" s="1097">
        <v>20</v>
      </c>
      <c r="F61" s="1092">
        <v>0</v>
      </c>
      <c r="G61" s="1083">
        <f t="shared" si="2"/>
        <v>0</v>
      </c>
      <c r="I61" s="1"/>
      <c r="J61" s="1"/>
      <c r="K61" s="1"/>
      <c r="L61" s="1"/>
      <c r="M61" s="1"/>
      <c r="N61" s="1"/>
      <c r="O61" s="1"/>
      <c r="P61" s="1"/>
      <c r="Q61" s="1"/>
      <c r="R61" s="1"/>
      <c r="S61" s="1"/>
      <c r="T61" s="1"/>
      <c r="U61" s="1"/>
      <c r="V61" s="1"/>
      <c r="W61" s="1"/>
      <c r="X61" s="1"/>
      <c r="Y61" s="1"/>
      <c r="Z61" s="1"/>
    </row>
    <row r="62" spans="1:26" s="8" customFormat="1" ht="54.75" customHeight="1">
      <c r="A62" s="1"/>
      <c r="B62" s="167">
        <v>19</v>
      </c>
      <c r="C62" s="139" t="s">
        <v>1394</v>
      </c>
      <c r="D62" s="140" t="s">
        <v>78</v>
      </c>
      <c r="E62" s="1091">
        <f>E24*1</f>
        <v>594</v>
      </c>
      <c r="F62" s="1092">
        <v>0</v>
      </c>
      <c r="G62" s="1093">
        <f t="shared" si="2"/>
        <v>0</v>
      </c>
      <c r="I62" s="1"/>
      <c r="J62" s="1"/>
      <c r="K62" s="1"/>
      <c r="L62" s="1"/>
      <c r="M62" s="1"/>
      <c r="N62" s="1"/>
      <c r="O62" s="1"/>
      <c r="P62" s="1"/>
      <c r="Q62" s="1"/>
      <c r="R62" s="1"/>
      <c r="S62" s="1"/>
      <c r="T62" s="1"/>
      <c r="U62" s="1"/>
      <c r="V62" s="1"/>
      <c r="W62" s="1"/>
      <c r="X62" s="1"/>
      <c r="Y62" s="1"/>
      <c r="Z62" s="1"/>
    </row>
    <row r="63" spans="1:26" s="8" customFormat="1">
      <c r="A63" s="1"/>
      <c r="B63" s="167"/>
      <c r="C63" s="1098"/>
      <c r="D63" s="1099"/>
      <c r="E63" s="1100"/>
      <c r="F63" s="1101"/>
      <c r="G63" s="1102"/>
      <c r="I63" s="1"/>
      <c r="J63" s="1"/>
      <c r="K63" s="1"/>
      <c r="L63" s="1"/>
      <c r="M63" s="1"/>
      <c r="N63" s="1"/>
      <c r="O63" s="1"/>
      <c r="P63" s="1"/>
      <c r="Q63" s="1"/>
      <c r="R63" s="1"/>
      <c r="S63" s="1"/>
      <c r="T63" s="1"/>
      <c r="U63" s="1"/>
      <c r="V63" s="1"/>
      <c r="W63" s="1"/>
      <c r="X63" s="1"/>
      <c r="Y63" s="1"/>
      <c r="Z63" s="1"/>
    </row>
    <row r="64" spans="1:26" s="8" customFormat="1">
      <c r="A64" s="1"/>
      <c r="B64" s="151" t="s">
        <v>45</v>
      </c>
      <c r="C64" s="1086" t="s">
        <v>101</v>
      </c>
      <c r="D64" s="1103"/>
      <c r="E64" s="1088"/>
      <c r="F64" s="1089"/>
      <c r="G64" s="263">
        <f>SUM(G44:G62)</f>
        <v>0</v>
      </c>
      <c r="I64" s="1"/>
      <c r="J64" s="1"/>
      <c r="K64" s="1"/>
      <c r="L64" s="1"/>
      <c r="M64" s="1"/>
      <c r="N64" s="1"/>
      <c r="O64" s="1"/>
      <c r="P64" s="1"/>
      <c r="Q64" s="1"/>
      <c r="R64" s="1"/>
      <c r="S64" s="1"/>
      <c r="T64" s="1"/>
      <c r="U64" s="1"/>
      <c r="V64" s="1"/>
      <c r="W64" s="1"/>
      <c r="X64" s="1"/>
      <c r="Y64" s="1"/>
      <c r="Z64" s="1"/>
    </row>
    <row r="65" spans="1:26" s="8" customFormat="1">
      <c r="A65" s="1"/>
      <c r="B65" s="67"/>
      <c r="C65" s="68"/>
      <c r="D65" s="69"/>
      <c r="E65" s="1104"/>
      <c r="F65" s="1105"/>
      <c r="G65" s="1106"/>
      <c r="I65" s="1"/>
      <c r="J65" s="1"/>
      <c r="K65" s="1"/>
      <c r="L65" s="1"/>
      <c r="M65" s="1"/>
      <c r="N65" s="1"/>
      <c r="O65" s="1"/>
      <c r="P65" s="1"/>
      <c r="Q65" s="1"/>
      <c r="R65" s="1"/>
      <c r="S65" s="1"/>
      <c r="T65" s="1"/>
      <c r="U65" s="1"/>
      <c r="V65" s="1"/>
      <c r="W65" s="1"/>
      <c r="X65" s="1"/>
      <c r="Y65" s="1"/>
      <c r="Z65" s="1"/>
    </row>
    <row r="66" spans="1:26"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c r="Z66" s="1"/>
    </row>
    <row r="67" spans="1:26" s="8" customFormat="1">
      <c r="A67" s="1"/>
      <c r="B67" s="125"/>
      <c r="C67" s="126"/>
      <c r="D67" s="127"/>
      <c r="E67" s="719"/>
      <c r="F67" s="1107"/>
      <c r="G67" s="731"/>
      <c r="I67" s="1"/>
      <c r="J67" s="1"/>
      <c r="K67" s="1"/>
      <c r="L67" s="1"/>
      <c r="M67" s="1"/>
      <c r="N67" s="1"/>
      <c r="O67" s="1"/>
      <c r="P67" s="1"/>
      <c r="Q67" s="1"/>
      <c r="R67" s="1"/>
      <c r="S67" s="1"/>
      <c r="T67" s="1"/>
      <c r="U67" s="1"/>
      <c r="V67" s="1"/>
      <c r="W67" s="1"/>
      <c r="X67" s="1"/>
      <c r="Y67" s="1"/>
      <c r="Z67" s="1"/>
    </row>
    <row r="68" spans="1:26"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c r="Z68" s="1"/>
    </row>
    <row r="69" spans="1:26"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c r="Z69" s="1"/>
    </row>
    <row r="70" spans="1:26"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c r="Z70" s="1"/>
    </row>
    <row r="71" spans="1:26"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c r="Z71" s="1"/>
    </row>
    <row r="72" spans="1:26"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c r="Z72" s="1"/>
    </row>
    <row r="73" spans="1:26" s="8" customFormat="1">
      <c r="A73" s="1"/>
      <c r="B73" s="2399" t="s">
        <v>271</v>
      </c>
      <c r="C73" s="2400"/>
      <c r="D73" s="2400"/>
      <c r="E73" s="2400"/>
      <c r="F73" s="2400"/>
      <c r="G73" s="2401"/>
      <c r="I73" s="1"/>
      <c r="J73" s="1"/>
      <c r="K73" s="1"/>
      <c r="L73" s="1"/>
      <c r="M73" s="1"/>
      <c r="N73" s="1"/>
      <c r="O73" s="1"/>
      <c r="P73" s="1"/>
      <c r="Q73" s="1"/>
      <c r="R73" s="1"/>
      <c r="S73" s="1"/>
      <c r="T73" s="1"/>
      <c r="U73" s="1"/>
      <c r="V73" s="1"/>
      <c r="W73" s="1"/>
      <c r="X73" s="1"/>
      <c r="Y73" s="1"/>
      <c r="Z73" s="1"/>
    </row>
    <row r="74" spans="1:26" s="8" customFormat="1">
      <c r="A74" s="1"/>
      <c r="B74" s="2399" t="s">
        <v>104</v>
      </c>
      <c r="C74" s="2400"/>
      <c r="D74" s="2400"/>
      <c r="E74" s="2400"/>
      <c r="F74" s="2400"/>
      <c r="G74" s="2401"/>
      <c r="I74" s="1"/>
      <c r="J74" s="1"/>
      <c r="K74" s="1"/>
      <c r="L74" s="1"/>
      <c r="M74" s="1"/>
      <c r="N74" s="1"/>
      <c r="O74" s="1"/>
      <c r="P74" s="1"/>
      <c r="Q74" s="1"/>
      <c r="R74" s="1"/>
      <c r="S74" s="1"/>
      <c r="T74" s="1"/>
      <c r="U74" s="1"/>
      <c r="V74" s="1"/>
      <c r="W74" s="1"/>
      <c r="X74" s="1"/>
      <c r="Y74" s="1"/>
      <c r="Z74" s="1"/>
    </row>
    <row r="75" spans="1:26" s="8" customFormat="1">
      <c r="A75" s="1"/>
      <c r="B75" s="2399" t="s">
        <v>105</v>
      </c>
      <c r="C75" s="2400"/>
      <c r="D75" s="2400"/>
      <c r="E75" s="2400"/>
      <c r="F75" s="2400"/>
      <c r="G75" s="2401"/>
      <c r="I75" s="1"/>
      <c r="J75" s="1"/>
      <c r="K75" s="1"/>
      <c r="L75" s="1"/>
      <c r="M75" s="1"/>
      <c r="N75" s="1"/>
      <c r="O75" s="1"/>
      <c r="P75" s="1"/>
      <c r="Q75" s="1"/>
      <c r="R75" s="1"/>
      <c r="S75" s="1"/>
      <c r="T75" s="1"/>
      <c r="U75" s="1"/>
      <c r="V75" s="1"/>
      <c r="W75" s="1"/>
      <c r="X75" s="1"/>
      <c r="Y75" s="1"/>
      <c r="Z75" s="1"/>
    </row>
    <row r="76" spans="1:26" s="8" customFormat="1">
      <c r="A76" s="1"/>
      <c r="B76" s="1115"/>
      <c r="C76" s="1116"/>
      <c r="D76" s="1116"/>
      <c r="E76" s="1116"/>
      <c r="F76" s="1116"/>
      <c r="G76" s="1117"/>
      <c r="I76" s="1"/>
      <c r="J76" s="1"/>
      <c r="K76" s="1"/>
      <c r="L76" s="1"/>
      <c r="M76" s="1"/>
      <c r="N76" s="1"/>
      <c r="O76" s="1"/>
      <c r="P76" s="1"/>
      <c r="Q76" s="1"/>
      <c r="R76" s="1"/>
      <c r="S76" s="1"/>
      <c r="T76" s="1"/>
      <c r="U76" s="1"/>
      <c r="V76" s="1"/>
      <c r="W76" s="1"/>
      <c r="X76" s="1"/>
      <c r="Y76" s="1"/>
      <c r="Z76" s="1"/>
    </row>
    <row r="77" spans="1:26" ht="24">
      <c r="B77" s="188">
        <v>1</v>
      </c>
      <c r="C77" s="189" t="s">
        <v>106</v>
      </c>
      <c r="D77" s="190"/>
      <c r="E77" s="719"/>
      <c r="F77" s="1107"/>
      <c r="G77" s="731"/>
    </row>
    <row r="78" spans="1:26">
      <c r="B78" s="191"/>
      <c r="C78" s="192" t="s">
        <v>107</v>
      </c>
      <c r="D78" s="190" t="s">
        <v>57</v>
      </c>
      <c r="E78" s="719">
        <f>340*0.9</f>
        <v>306</v>
      </c>
      <c r="F78" s="1092">
        <v>0</v>
      </c>
      <c r="G78" s="1093">
        <f t="shared" ref="G78:G88" si="3">E78*F78</f>
        <v>0</v>
      </c>
      <c r="I78" s="1118"/>
    </row>
    <row r="79" spans="1:26" ht="24">
      <c r="B79" s="191"/>
      <c r="C79" s="192" t="s">
        <v>884</v>
      </c>
      <c r="D79" s="190" t="s">
        <v>57</v>
      </c>
      <c r="E79" s="719">
        <f>340*0.1</f>
        <v>34</v>
      </c>
      <c r="F79" s="1092">
        <v>0</v>
      </c>
      <c r="G79" s="1093">
        <f t="shared" si="3"/>
        <v>0</v>
      </c>
      <c r="I79" s="1118"/>
    </row>
    <row r="80" spans="1:26">
      <c r="B80" s="191"/>
      <c r="C80" s="192" t="s">
        <v>226</v>
      </c>
      <c r="D80" s="190" t="s">
        <v>57</v>
      </c>
      <c r="E80" s="719">
        <f>254*0.9</f>
        <v>228.6</v>
      </c>
      <c r="F80" s="1092">
        <v>0</v>
      </c>
      <c r="G80" s="1093">
        <f t="shared" si="3"/>
        <v>0</v>
      </c>
      <c r="I80" s="1118"/>
    </row>
    <row r="81" spans="2:9" ht="24">
      <c r="B81" s="191"/>
      <c r="C81" s="192" t="s">
        <v>227</v>
      </c>
      <c r="D81" s="190" t="s">
        <v>57</v>
      </c>
      <c r="E81" s="719">
        <f>254*0.1</f>
        <v>25.400000000000002</v>
      </c>
      <c r="F81" s="1092">
        <v>0</v>
      </c>
      <c r="G81" s="1093">
        <f t="shared" si="3"/>
        <v>0</v>
      </c>
      <c r="I81" s="1118"/>
    </row>
    <row r="82" spans="2:9">
      <c r="B82" s="191"/>
      <c r="C82" s="192" t="s">
        <v>109</v>
      </c>
      <c r="D82" s="190" t="s">
        <v>57</v>
      </c>
      <c r="E82" s="719">
        <f>250*0.9</f>
        <v>225</v>
      </c>
      <c r="F82" s="1092">
        <v>0</v>
      </c>
      <c r="G82" s="1093">
        <f t="shared" si="3"/>
        <v>0</v>
      </c>
      <c r="I82" s="1119"/>
    </row>
    <row r="83" spans="2:9" ht="24">
      <c r="B83" s="191"/>
      <c r="C83" s="192" t="s">
        <v>110</v>
      </c>
      <c r="D83" s="190" t="s">
        <v>57</v>
      </c>
      <c r="E83" s="719">
        <f>250*0.1</f>
        <v>25</v>
      </c>
      <c r="F83" s="1092">
        <v>0</v>
      </c>
      <c r="G83" s="1093">
        <f t="shared" si="3"/>
        <v>0</v>
      </c>
    </row>
    <row r="84" spans="2:9" ht="36">
      <c r="B84" s="2404" t="s">
        <v>111</v>
      </c>
      <c r="C84" s="193" t="s">
        <v>112</v>
      </c>
      <c r="D84" s="194"/>
      <c r="E84" s="719"/>
      <c r="F84" s="1092"/>
      <c r="G84" s="1093"/>
    </row>
    <row r="85" spans="2:9">
      <c r="B85" s="2405"/>
      <c r="C85" s="195" t="s">
        <v>113</v>
      </c>
      <c r="D85" s="194" t="s">
        <v>57</v>
      </c>
      <c r="E85" s="719">
        <v>51</v>
      </c>
      <c r="F85" s="1092">
        <v>0</v>
      </c>
      <c r="G85" s="1093">
        <f>E85*F85</f>
        <v>0</v>
      </c>
    </row>
    <row r="86" spans="2:9">
      <c r="B86" s="2405"/>
      <c r="C86" s="195" t="s">
        <v>274</v>
      </c>
      <c r="D86" s="194" t="s">
        <v>57</v>
      </c>
      <c r="E86" s="719">
        <v>38</v>
      </c>
      <c r="F86" s="1092">
        <v>0</v>
      </c>
      <c r="G86" s="1093">
        <f>E86*F86</f>
        <v>0</v>
      </c>
    </row>
    <row r="87" spans="2:9">
      <c r="B87" s="2413"/>
      <c r="C87" s="195" t="s">
        <v>275</v>
      </c>
      <c r="D87" s="194" t="s">
        <v>57</v>
      </c>
      <c r="E87" s="719">
        <v>38</v>
      </c>
      <c r="F87" s="1092">
        <v>0</v>
      </c>
      <c r="G87" s="1093">
        <f>E87*F87</f>
        <v>0</v>
      </c>
    </row>
    <row r="88" spans="2:9" ht="36">
      <c r="B88" s="196">
        <v>2</v>
      </c>
      <c r="C88" s="197" t="s">
        <v>114</v>
      </c>
      <c r="D88" s="145" t="s">
        <v>57</v>
      </c>
      <c r="E88" s="732">
        <f>SUM(E78:E83)</f>
        <v>844</v>
      </c>
      <c r="F88" s="1092">
        <v>0</v>
      </c>
      <c r="G88" s="1093">
        <f t="shared" si="3"/>
        <v>0</v>
      </c>
    </row>
    <row r="89" spans="2:9" ht="36">
      <c r="B89" s="199" t="s">
        <v>115</v>
      </c>
      <c r="C89" s="197" t="s">
        <v>116</v>
      </c>
      <c r="D89" s="145" t="s">
        <v>57</v>
      </c>
      <c r="E89" s="732">
        <f>E88</f>
        <v>844</v>
      </c>
      <c r="F89" s="1092">
        <v>0</v>
      </c>
      <c r="G89" s="1093">
        <f>E89*F89</f>
        <v>0</v>
      </c>
    </row>
    <row r="90" spans="2:9" ht="24">
      <c r="B90" s="199" t="s">
        <v>117</v>
      </c>
      <c r="C90" s="197" t="s">
        <v>118</v>
      </c>
      <c r="D90" s="145" t="s">
        <v>57</v>
      </c>
      <c r="E90" s="732">
        <f>E88</f>
        <v>844</v>
      </c>
      <c r="F90" s="1092">
        <v>0</v>
      </c>
      <c r="G90" s="1093">
        <f>E90*F90</f>
        <v>0</v>
      </c>
    </row>
    <row r="91" spans="2:9" ht="36">
      <c r="B91" s="199" t="s">
        <v>119</v>
      </c>
      <c r="C91" s="197" t="s">
        <v>120</v>
      </c>
      <c r="D91" s="145" t="s">
        <v>57</v>
      </c>
      <c r="E91" s="732">
        <f>E90</f>
        <v>844</v>
      </c>
      <c r="F91" s="1092">
        <v>0</v>
      </c>
      <c r="G91" s="1093">
        <f>E91*F91</f>
        <v>0</v>
      </c>
    </row>
    <row r="92" spans="2:9" ht="24">
      <c r="B92" s="188">
        <v>3</v>
      </c>
      <c r="C92" s="200" t="s">
        <v>121</v>
      </c>
      <c r="D92" s="127"/>
      <c r="E92" s="719"/>
      <c r="F92" s="719"/>
      <c r="G92" s="731"/>
    </row>
    <row r="93" spans="2:9">
      <c r="B93" s="201" t="s">
        <v>122</v>
      </c>
      <c r="C93" s="202" t="s">
        <v>123</v>
      </c>
      <c r="D93" s="203"/>
      <c r="E93" s="204"/>
      <c r="F93" s="205"/>
      <c r="G93" s="206"/>
    </row>
    <row r="94" spans="2:9">
      <c r="B94" s="125"/>
      <c r="C94" s="202" t="s">
        <v>124</v>
      </c>
      <c r="D94" s="203"/>
      <c r="E94" s="204"/>
      <c r="F94" s="205"/>
      <c r="G94" s="206"/>
    </row>
    <row r="95" spans="2:9">
      <c r="B95" s="207"/>
      <c r="C95" s="208" t="s">
        <v>199</v>
      </c>
      <c r="D95" s="209" t="s">
        <v>66</v>
      </c>
      <c r="E95" s="204">
        <v>1</v>
      </c>
      <c r="F95" s="210">
        <v>0</v>
      </c>
      <c r="G95" s="211">
        <f>E95*F95</f>
        <v>0</v>
      </c>
    </row>
    <row r="96" spans="2:9">
      <c r="B96" s="125"/>
      <c r="C96" s="202" t="s">
        <v>311</v>
      </c>
      <c r="D96" s="203"/>
      <c r="E96" s="204"/>
      <c r="F96" s="205"/>
      <c r="G96" s="206"/>
    </row>
    <row r="97" spans="2:7">
      <c r="B97" s="207"/>
      <c r="C97" s="208" t="s">
        <v>312</v>
      </c>
      <c r="D97" s="209" t="s">
        <v>66</v>
      </c>
      <c r="E97" s="204">
        <v>1</v>
      </c>
      <c r="F97" s="210">
        <v>0</v>
      </c>
      <c r="G97" s="211">
        <f>E97*F97</f>
        <v>0</v>
      </c>
    </row>
    <row r="98" spans="2:7">
      <c r="B98" s="207"/>
      <c r="C98" s="208" t="s">
        <v>313</v>
      </c>
      <c r="D98" s="209" t="s">
        <v>66</v>
      </c>
      <c r="E98" s="204">
        <v>2</v>
      </c>
      <c r="F98" s="210">
        <v>0</v>
      </c>
      <c r="G98" s="211">
        <f>E98*F98</f>
        <v>0</v>
      </c>
    </row>
    <row r="99" spans="2:7">
      <c r="B99" s="207"/>
      <c r="C99" s="208" t="s">
        <v>1398</v>
      </c>
      <c r="D99" s="209" t="s">
        <v>66</v>
      </c>
      <c r="E99" s="204">
        <v>1</v>
      </c>
      <c r="F99" s="210">
        <v>0</v>
      </c>
      <c r="G99" s="211">
        <f>E99*F99</f>
        <v>0</v>
      </c>
    </row>
    <row r="100" spans="2:7">
      <c r="B100" s="201" t="s">
        <v>126</v>
      </c>
      <c r="C100" s="212" t="s">
        <v>127</v>
      </c>
      <c r="D100" s="213"/>
      <c r="E100" s="214"/>
      <c r="F100" s="215">
        <v>0</v>
      </c>
      <c r="G100" s="216"/>
    </row>
    <row r="101" spans="2:7">
      <c r="B101" s="218"/>
      <c r="C101" s="212" t="s">
        <v>128</v>
      </c>
      <c r="D101" s="735"/>
      <c r="E101" s="736"/>
      <c r="F101" s="1601"/>
      <c r="G101" s="1121"/>
    </row>
    <row r="102" spans="2:7">
      <c r="B102" s="218"/>
      <c r="C102" s="219" t="s">
        <v>129</v>
      </c>
      <c r="D102" s="213" t="s">
        <v>66</v>
      </c>
      <c r="E102" s="214">
        <v>1</v>
      </c>
      <c r="F102" s="1599">
        <v>0</v>
      </c>
      <c r="G102" s="221">
        <f t="shared" ref="G102:G120" si="4">E102*F102</f>
        <v>0</v>
      </c>
    </row>
    <row r="103" spans="2:7" ht="36">
      <c r="B103" s="218"/>
      <c r="C103" s="222" t="s">
        <v>130</v>
      </c>
      <c r="D103" s="213" t="s">
        <v>66</v>
      </c>
      <c r="E103" s="214">
        <v>1</v>
      </c>
      <c r="F103" s="1599">
        <v>0</v>
      </c>
      <c r="G103" s="221">
        <f t="shared" si="4"/>
        <v>0</v>
      </c>
    </row>
    <row r="104" spans="2:7">
      <c r="B104" s="218"/>
      <c r="C104" s="222" t="s">
        <v>183</v>
      </c>
      <c r="D104" s="213" t="s">
        <v>66</v>
      </c>
      <c r="E104" s="214">
        <v>1</v>
      </c>
      <c r="F104" s="1599">
        <v>0</v>
      </c>
      <c r="G104" s="221">
        <f t="shared" si="4"/>
        <v>0</v>
      </c>
    </row>
    <row r="105" spans="2:7">
      <c r="B105" s="218"/>
      <c r="C105" s="222" t="s">
        <v>131</v>
      </c>
      <c r="D105" s="213" t="s">
        <v>66</v>
      </c>
      <c r="E105" s="214">
        <v>1</v>
      </c>
      <c r="F105" s="1599">
        <v>0</v>
      </c>
      <c r="G105" s="221">
        <f t="shared" si="4"/>
        <v>0</v>
      </c>
    </row>
    <row r="106" spans="2:7">
      <c r="B106" s="218"/>
      <c r="C106" s="222" t="s">
        <v>132</v>
      </c>
      <c r="D106" s="213" t="s">
        <v>66</v>
      </c>
      <c r="E106" s="214">
        <v>2</v>
      </c>
      <c r="F106" s="1599">
        <v>0</v>
      </c>
      <c r="G106" s="221">
        <f t="shared" si="4"/>
        <v>0</v>
      </c>
    </row>
    <row r="107" spans="2:7">
      <c r="B107" s="218"/>
      <c r="C107" s="222" t="s">
        <v>133</v>
      </c>
      <c r="D107" s="213" t="s">
        <v>66</v>
      </c>
      <c r="E107" s="214">
        <v>2</v>
      </c>
      <c r="F107" s="1599">
        <v>0</v>
      </c>
      <c r="G107" s="221">
        <f t="shared" si="4"/>
        <v>0</v>
      </c>
    </row>
    <row r="108" spans="2:7">
      <c r="B108" s="218"/>
      <c r="C108" s="222" t="s">
        <v>134</v>
      </c>
      <c r="D108" s="213" t="s">
        <v>66</v>
      </c>
      <c r="E108" s="214">
        <v>1</v>
      </c>
      <c r="F108" s="1599">
        <v>0</v>
      </c>
      <c r="G108" s="221">
        <f t="shared" si="4"/>
        <v>0</v>
      </c>
    </row>
    <row r="109" spans="2:7">
      <c r="B109" s="218"/>
      <c r="C109" s="222" t="s">
        <v>135</v>
      </c>
      <c r="D109" s="213" t="s">
        <v>66</v>
      </c>
      <c r="E109" s="214">
        <v>1</v>
      </c>
      <c r="F109" s="1599">
        <v>0</v>
      </c>
      <c r="G109" s="221">
        <f t="shared" si="4"/>
        <v>0</v>
      </c>
    </row>
    <row r="110" spans="2:7">
      <c r="B110" s="218"/>
      <c r="C110" s="212" t="s">
        <v>318</v>
      </c>
      <c r="D110" s="735"/>
      <c r="E110" s="736"/>
      <c r="F110" s="1599"/>
      <c r="G110" s="221"/>
    </row>
    <row r="111" spans="2:7">
      <c r="B111" s="218"/>
      <c r="C111" s="219" t="s">
        <v>319</v>
      </c>
      <c r="D111" s="213" t="s">
        <v>66</v>
      </c>
      <c r="E111" s="214">
        <v>1</v>
      </c>
      <c r="F111" s="1599">
        <v>0</v>
      </c>
      <c r="G111" s="221">
        <f t="shared" si="4"/>
        <v>0</v>
      </c>
    </row>
    <row r="112" spans="2:7" ht="36">
      <c r="B112" s="218"/>
      <c r="C112" s="222" t="s">
        <v>283</v>
      </c>
      <c r="D112" s="213" t="s">
        <v>66</v>
      </c>
      <c r="E112" s="214">
        <v>1</v>
      </c>
      <c r="F112" s="1599">
        <v>0</v>
      </c>
      <c r="G112" s="221">
        <f t="shared" si="4"/>
        <v>0</v>
      </c>
    </row>
    <row r="113" spans="2:7">
      <c r="B113" s="218"/>
      <c r="C113" s="222" t="s">
        <v>183</v>
      </c>
      <c r="D113" s="213" t="s">
        <v>66</v>
      </c>
      <c r="E113" s="214">
        <v>1</v>
      </c>
      <c r="F113" s="1599">
        <v>0</v>
      </c>
      <c r="G113" s="221">
        <f t="shared" si="4"/>
        <v>0</v>
      </c>
    </row>
    <row r="114" spans="2:7">
      <c r="B114" s="218"/>
      <c r="C114" s="222" t="s">
        <v>131</v>
      </c>
      <c r="D114" s="213" t="s">
        <v>66</v>
      </c>
      <c r="E114" s="214">
        <v>1</v>
      </c>
      <c r="F114" s="1599">
        <v>0</v>
      </c>
      <c r="G114" s="221">
        <f t="shared" si="4"/>
        <v>0</v>
      </c>
    </row>
    <row r="115" spans="2:7">
      <c r="B115" s="218"/>
      <c r="C115" s="1133" t="s">
        <v>166</v>
      </c>
      <c r="D115" s="213" t="s">
        <v>66</v>
      </c>
      <c r="E115" s="214">
        <v>2</v>
      </c>
      <c r="F115" s="1599">
        <v>0</v>
      </c>
      <c r="G115" s="221">
        <f t="shared" si="4"/>
        <v>0</v>
      </c>
    </row>
    <row r="116" spans="2:7">
      <c r="B116" s="218"/>
      <c r="C116" s="1133" t="s">
        <v>167</v>
      </c>
      <c r="D116" s="213" t="s">
        <v>66</v>
      </c>
      <c r="E116" s="214">
        <v>2</v>
      </c>
      <c r="F116" s="1599">
        <v>0</v>
      </c>
      <c r="G116" s="221">
        <f t="shared" si="4"/>
        <v>0</v>
      </c>
    </row>
    <row r="117" spans="2:7">
      <c r="B117" s="218"/>
      <c r="C117" s="1133" t="s">
        <v>229</v>
      </c>
      <c r="D117" s="213" t="s">
        <v>66</v>
      </c>
      <c r="E117" s="214">
        <v>2</v>
      </c>
      <c r="F117" s="1599">
        <v>0</v>
      </c>
      <c r="G117" s="221">
        <f t="shared" si="4"/>
        <v>0</v>
      </c>
    </row>
    <row r="118" spans="2:7">
      <c r="B118" s="218"/>
      <c r="C118" s="1133" t="s">
        <v>230</v>
      </c>
      <c r="D118" s="213" t="s">
        <v>66</v>
      </c>
      <c r="E118" s="214">
        <v>2</v>
      </c>
      <c r="F118" s="1599">
        <v>0</v>
      </c>
      <c r="G118" s="221">
        <f t="shared" si="4"/>
        <v>0</v>
      </c>
    </row>
    <row r="119" spans="2:7">
      <c r="B119" s="218"/>
      <c r="C119" s="1133" t="s">
        <v>134</v>
      </c>
      <c r="D119" s="213" t="s">
        <v>66</v>
      </c>
      <c r="E119" s="214">
        <v>1</v>
      </c>
      <c r="F119" s="1599">
        <v>0</v>
      </c>
      <c r="G119" s="221">
        <f t="shared" si="4"/>
        <v>0</v>
      </c>
    </row>
    <row r="120" spans="2:7">
      <c r="B120" s="218"/>
      <c r="C120" s="1134" t="s">
        <v>135</v>
      </c>
      <c r="D120" s="213" t="s">
        <v>66</v>
      </c>
      <c r="E120" s="214">
        <v>1</v>
      </c>
      <c r="F120" s="1599">
        <v>0</v>
      </c>
      <c r="G120" s="221">
        <f t="shared" si="4"/>
        <v>0</v>
      </c>
    </row>
    <row r="121" spans="2:7">
      <c r="B121" s="201" t="s">
        <v>136</v>
      </c>
      <c r="C121" s="238" t="s">
        <v>320</v>
      </c>
      <c r="D121" s="239"/>
      <c r="E121" s="240"/>
      <c r="F121" s="241"/>
      <c r="G121" s="242"/>
    </row>
    <row r="122" spans="2:7">
      <c r="B122" s="218"/>
      <c r="C122" s="238" t="s">
        <v>326</v>
      </c>
      <c r="D122" s="153"/>
      <c r="E122" s="741"/>
      <c r="F122" s="1611"/>
      <c r="G122" s="263"/>
    </row>
    <row r="123" spans="2:7" ht="27.75" customHeight="1">
      <c r="B123" s="218"/>
      <c r="C123" s="1123" t="s">
        <v>322</v>
      </c>
      <c r="D123" s="239" t="s">
        <v>66</v>
      </c>
      <c r="E123" s="240">
        <v>2</v>
      </c>
      <c r="F123" s="1609">
        <v>0</v>
      </c>
      <c r="G123" s="245">
        <f t="shared" ref="G123:G125" si="5">E123*F123</f>
        <v>0</v>
      </c>
    </row>
    <row r="124" spans="2:7">
      <c r="B124" s="218"/>
      <c r="C124" s="246" t="s">
        <v>325</v>
      </c>
      <c r="D124" s="239" t="s">
        <v>66</v>
      </c>
      <c r="E124" s="240">
        <v>2</v>
      </c>
      <c r="F124" s="1609">
        <v>0</v>
      </c>
      <c r="G124" s="245">
        <f t="shared" si="5"/>
        <v>0</v>
      </c>
    </row>
    <row r="125" spans="2:7">
      <c r="B125" s="218"/>
      <c r="C125" s="247" t="s">
        <v>135</v>
      </c>
      <c r="D125" s="239" t="s">
        <v>66</v>
      </c>
      <c r="E125" s="240">
        <v>2</v>
      </c>
      <c r="F125" s="1609">
        <v>0</v>
      </c>
      <c r="G125" s="245">
        <f t="shared" si="5"/>
        <v>0</v>
      </c>
    </row>
    <row r="126" spans="2:7">
      <c r="B126" s="201" t="s">
        <v>151</v>
      </c>
      <c r="C126" s="223" t="s">
        <v>137</v>
      </c>
      <c r="D126" s="224"/>
      <c r="E126" s="225"/>
      <c r="F126" s="226"/>
      <c r="G126" s="227"/>
    </row>
    <row r="127" spans="2:7">
      <c r="B127" s="218"/>
      <c r="C127" s="223" t="s">
        <v>138</v>
      </c>
      <c r="D127" s="737"/>
      <c r="E127" s="738"/>
      <c r="F127" s="1605"/>
      <c r="G127" s="1125"/>
    </row>
    <row r="128" spans="2:7">
      <c r="B128" s="218"/>
      <c r="C128" s="228" t="s">
        <v>129</v>
      </c>
      <c r="D128" s="224" t="s">
        <v>66</v>
      </c>
      <c r="E128" s="225">
        <v>1</v>
      </c>
      <c r="F128" s="1603">
        <v>0</v>
      </c>
      <c r="G128" s="230">
        <f t="shared" ref="G128:G143" si="6">E128*F128</f>
        <v>0</v>
      </c>
    </row>
    <row r="129" spans="2:7">
      <c r="B129" s="218"/>
      <c r="C129" s="228" t="s">
        <v>139</v>
      </c>
      <c r="D129" s="224" t="s">
        <v>66</v>
      </c>
      <c r="E129" s="225">
        <v>2</v>
      </c>
      <c r="F129" s="1603">
        <v>0</v>
      </c>
      <c r="G129" s="230">
        <f t="shared" si="6"/>
        <v>0</v>
      </c>
    </row>
    <row r="130" spans="2:7">
      <c r="B130" s="218"/>
      <c r="C130" s="231" t="s">
        <v>140</v>
      </c>
      <c r="D130" s="224" t="s">
        <v>66</v>
      </c>
      <c r="E130" s="225">
        <v>1</v>
      </c>
      <c r="F130" s="1603">
        <v>0</v>
      </c>
      <c r="G130" s="230">
        <f t="shared" si="6"/>
        <v>0</v>
      </c>
    </row>
    <row r="131" spans="2:7">
      <c r="B131" s="218"/>
      <c r="C131" s="231" t="s">
        <v>141</v>
      </c>
      <c r="D131" s="224" t="s">
        <v>66</v>
      </c>
      <c r="E131" s="225">
        <v>1</v>
      </c>
      <c r="F131" s="1603">
        <v>0</v>
      </c>
      <c r="G131" s="230">
        <f t="shared" si="6"/>
        <v>0</v>
      </c>
    </row>
    <row r="132" spans="2:7">
      <c r="B132" s="218"/>
      <c r="C132" s="231" t="s">
        <v>142</v>
      </c>
      <c r="D132" s="224" t="s">
        <v>66</v>
      </c>
      <c r="E132" s="225">
        <v>1</v>
      </c>
      <c r="F132" s="1603">
        <v>0</v>
      </c>
      <c r="G132" s="230">
        <f t="shared" si="6"/>
        <v>0</v>
      </c>
    </row>
    <row r="133" spans="2:7">
      <c r="B133" s="218"/>
      <c r="C133" s="231" t="s">
        <v>143</v>
      </c>
      <c r="D133" s="224" t="s">
        <v>66</v>
      </c>
      <c r="E133" s="225">
        <v>1</v>
      </c>
      <c r="F133" s="1603">
        <v>0</v>
      </c>
      <c r="G133" s="230">
        <f t="shared" si="6"/>
        <v>0</v>
      </c>
    </row>
    <row r="134" spans="2:7">
      <c r="B134" s="218"/>
      <c r="C134" s="231" t="s">
        <v>2250</v>
      </c>
      <c r="D134" s="224" t="s">
        <v>66</v>
      </c>
      <c r="E134" s="225">
        <v>1</v>
      </c>
      <c r="F134" s="1603">
        <v>0</v>
      </c>
      <c r="G134" s="230">
        <f t="shared" si="6"/>
        <v>0</v>
      </c>
    </row>
    <row r="135" spans="2:7">
      <c r="B135" s="218"/>
      <c r="C135" s="231" t="s">
        <v>145</v>
      </c>
      <c r="D135" s="224" t="s">
        <v>66</v>
      </c>
      <c r="E135" s="225">
        <v>1</v>
      </c>
      <c r="F135" s="1603">
        <v>0</v>
      </c>
      <c r="G135" s="230">
        <f t="shared" si="6"/>
        <v>0</v>
      </c>
    </row>
    <row r="136" spans="2:7">
      <c r="B136" s="218"/>
      <c r="C136" s="231" t="s">
        <v>146</v>
      </c>
      <c r="D136" s="224" t="s">
        <v>66</v>
      </c>
      <c r="E136" s="225">
        <v>1</v>
      </c>
      <c r="F136" s="1603">
        <v>0</v>
      </c>
      <c r="G136" s="230">
        <f t="shared" si="6"/>
        <v>0</v>
      </c>
    </row>
    <row r="137" spans="2:7">
      <c r="B137" s="218"/>
      <c r="C137" s="739" t="s">
        <v>147</v>
      </c>
      <c r="D137" s="224" t="s">
        <v>66</v>
      </c>
      <c r="E137" s="225">
        <v>1</v>
      </c>
      <c r="F137" s="1603">
        <v>0</v>
      </c>
      <c r="G137" s="230">
        <f t="shared" si="6"/>
        <v>0</v>
      </c>
    </row>
    <row r="138" spans="2:7">
      <c r="B138" s="218"/>
      <c r="C138" s="739" t="s">
        <v>188</v>
      </c>
      <c r="D138" s="224" t="s">
        <v>66</v>
      </c>
      <c r="E138" s="225">
        <v>1</v>
      </c>
      <c r="F138" s="1603">
        <v>0</v>
      </c>
      <c r="G138" s="230">
        <f t="shared" si="6"/>
        <v>0</v>
      </c>
    </row>
    <row r="139" spans="2:7">
      <c r="B139" s="218"/>
      <c r="C139" s="739" t="s">
        <v>132</v>
      </c>
      <c r="D139" s="224" t="s">
        <v>66</v>
      </c>
      <c r="E139" s="225">
        <v>2</v>
      </c>
      <c r="F139" s="1603">
        <v>0</v>
      </c>
      <c r="G139" s="230">
        <f t="shared" si="6"/>
        <v>0</v>
      </c>
    </row>
    <row r="140" spans="2:7">
      <c r="B140" s="218"/>
      <c r="C140" s="739" t="s">
        <v>148</v>
      </c>
      <c r="D140" s="224" t="s">
        <v>66</v>
      </c>
      <c r="E140" s="225">
        <v>2</v>
      </c>
      <c r="F140" s="1603">
        <v>0</v>
      </c>
      <c r="G140" s="230">
        <f t="shared" si="6"/>
        <v>0</v>
      </c>
    </row>
    <row r="141" spans="2:7">
      <c r="B141" s="218"/>
      <c r="C141" s="739" t="s">
        <v>149</v>
      </c>
      <c r="D141" s="224" t="s">
        <v>66</v>
      </c>
      <c r="E141" s="225">
        <v>1</v>
      </c>
      <c r="F141" s="1603">
        <v>0</v>
      </c>
      <c r="G141" s="230">
        <f t="shared" si="6"/>
        <v>0</v>
      </c>
    </row>
    <row r="142" spans="2:7">
      <c r="B142" s="218"/>
      <c r="C142" s="739" t="s">
        <v>150</v>
      </c>
      <c r="D142" s="224" t="s">
        <v>66</v>
      </c>
      <c r="E142" s="225">
        <v>3</v>
      </c>
      <c r="F142" s="1603">
        <v>0</v>
      </c>
      <c r="G142" s="230">
        <f t="shared" si="6"/>
        <v>0</v>
      </c>
    </row>
    <row r="143" spans="2:7">
      <c r="B143" s="218"/>
      <c r="C143" s="740" t="s">
        <v>135</v>
      </c>
      <c r="D143" s="224" t="s">
        <v>66</v>
      </c>
      <c r="E143" s="225">
        <v>1</v>
      </c>
      <c r="F143" s="1603">
        <v>0</v>
      </c>
      <c r="G143" s="230">
        <f t="shared" si="6"/>
        <v>0</v>
      </c>
    </row>
    <row r="144" spans="2:7">
      <c r="B144" s="201" t="s">
        <v>159</v>
      </c>
      <c r="C144" s="212" t="s">
        <v>152</v>
      </c>
      <c r="D144" s="213"/>
      <c r="E144" s="214"/>
      <c r="F144" s="215"/>
      <c r="G144" s="216"/>
    </row>
    <row r="145" spans="2:7">
      <c r="B145" s="218"/>
      <c r="C145" s="212" t="s">
        <v>153</v>
      </c>
      <c r="D145" s="735"/>
      <c r="E145" s="736"/>
      <c r="F145" s="1647"/>
      <c r="G145" s="1121"/>
    </row>
    <row r="146" spans="2:7">
      <c r="B146" s="218"/>
      <c r="C146" s="219" t="s">
        <v>129</v>
      </c>
      <c r="D146" s="213" t="s">
        <v>66</v>
      </c>
      <c r="E146" s="214">
        <v>2</v>
      </c>
      <c r="F146" s="2230">
        <v>0</v>
      </c>
      <c r="G146" s="221">
        <f t="shared" ref="G146:G156" si="7">E146*F146</f>
        <v>0</v>
      </c>
    </row>
    <row r="147" spans="2:7" ht="24">
      <c r="B147" s="218"/>
      <c r="C147" s="222" t="s">
        <v>154</v>
      </c>
      <c r="D147" s="213" t="s">
        <v>66</v>
      </c>
      <c r="E147" s="214">
        <v>2</v>
      </c>
      <c r="F147" s="2230">
        <v>0</v>
      </c>
      <c r="G147" s="221">
        <f t="shared" si="7"/>
        <v>0</v>
      </c>
    </row>
    <row r="148" spans="2:7">
      <c r="B148" s="218"/>
      <c r="C148" s="222" t="s">
        <v>155</v>
      </c>
      <c r="D148" s="213" t="s">
        <v>66</v>
      </c>
      <c r="E148" s="214">
        <v>2</v>
      </c>
      <c r="F148" s="2230">
        <v>0</v>
      </c>
      <c r="G148" s="221">
        <f t="shared" si="7"/>
        <v>0</v>
      </c>
    </row>
    <row r="149" spans="2:7">
      <c r="B149" s="218"/>
      <c r="C149" s="222" t="s">
        <v>330</v>
      </c>
      <c r="D149" s="213" t="s">
        <v>66</v>
      </c>
      <c r="E149" s="214">
        <v>2</v>
      </c>
      <c r="F149" s="2230">
        <v>0</v>
      </c>
      <c r="G149" s="221">
        <f t="shared" si="7"/>
        <v>0</v>
      </c>
    </row>
    <row r="150" spans="2:7">
      <c r="B150" s="218"/>
      <c r="C150" s="222" t="s">
        <v>157</v>
      </c>
      <c r="D150" s="213" t="s">
        <v>66</v>
      </c>
      <c r="E150" s="214">
        <v>2</v>
      </c>
      <c r="F150" s="2230">
        <v>0</v>
      </c>
      <c r="G150" s="221">
        <f t="shared" si="7"/>
        <v>0</v>
      </c>
    </row>
    <row r="151" spans="2:7">
      <c r="B151" s="218"/>
      <c r="C151" s="234" t="s">
        <v>158</v>
      </c>
      <c r="D151" s="213" t="s">
        <v>66</v>
      </c>
      <c r="E151" s="214">
        <v>2</v>
      </c>
      <c r="F151" s="2230">
        <v>0</v>
      </c>
      <c r="G151" s="221">
        <f t="shared" si="7"/>
        <v>0</v>
      </c>
    </row>
    <row r="152" spans="2:7">
      <c r="B152" s="218"/>
      <c r="C152" s="234" t="s">
        <v>190</v>
      </c>
      <c r="D152" s="213" t="s">
        <v>66</v>
      </c>
      <c r="E152" s="214">
        <v>2</v>
      </c>
      <c r="F152" s="2230">
        <v>0</v>
      </c>
      <c r="G152" s="221">
        <f t="shared" si="7"/>
        <v>0</v>
      </c>
    </row>
    <row r="153" spans="2:7">
      <c r="B153" s="218"/>
      <c r="C153" s="234" t="s">
        <v>132</v>
      </c>
      <c r="D153" s="213" t="s">
        <v>66</v>
      </c>
      <c r="E153" s="214">
        <v>4</v>
      </c>
      <c r="F153" s="2230">
        <v>0</v>
      </c>
      <c r="G153" s="221">
        <f t="shared" si="7"/>
        <v>0</v>
      </c>
    </row>
    <row r="154" spans="2:7">
      <c r="B154" s="218"/>
      <c r="C154" s="234" t="s">
        <v>148</v>
      </c>
      <c r="D154" s="213" t="s">
        <v>66</v>
      </c>
      <c r="E154" s="214">
        <v>4</v>
      </c>
      <c r="F154" s="2230">
        <v>0</v>
      </c>
      <c r="G154" s="221">
        <f t="shared" si="7"/>
        <v>0</v>
      </c>
    </row>
    <row r="155" spans="2:7">
      <c r="B155" s="218"/>
      <c r="C155" s="234" t="s">
        <v>150</v>
      </c>
      <c r="D155" s="213" t="s">
        <v>66</v>
      </c>
      <c r="E155" s="214">
        <v>2</v>
      </c>
      <c r="F155" s="2230">
        <v>0</v>
      </c>
      <c r="G155" s="221">
        <f t="shared" si="7"/>
        <v>0</v>
      </c>
    </row>
    <row r="156" spans="2:7">
      <c r="B156" s="218"/>
      <c r="C156" s="235" t="s">
        <v>135</v>
      </c>
      <c r="D156" s="213" t="s">
        <v>66</v>
      </c>
      <c r="E156" s="214">
        <v>2</v>
      </c>
      <c r="F156" s="2230">
        <v>0</v>
      </c>
      <c r="G156" s="221">
        <f t="shared" si="7"/>
        <v>0</v>
      </c>
    </row>
    <row r="157" spans="2:7" ht="24">
      <c r="B157" s="199" t="s">
        <v>331</v>
      </c>
      <c r="C157" s="212" t="s">
        <v>332</v>
      </c>
      <c r="D157" s="735" t="s">
        <v>66</v>
      </c>
      <c r="E157" s="736">
        <v>2</v>
      </c>
      <c r="F157" s="220">
        <v>0</v>
      </c>
      <c r="G157" s="221">
        <f>E157*F157</f>
        <v>0</v>
      </c>
    </row>
    <row r="158" spans="2:7">
      <c r="B158" s="201" t="s">
        <v>168</v>
      </c>
      <c r="C158" s="223" t="s">
        <v>886</v>
      </c>
      <c r="D158" s="224"/>
      <c r="E158" s="225"/>
      <c r="F158" s="226"/>
      <c r="G158" s="227"/>
    </row>
    <row r="159" spans="2:7">
      <c r="B159" s="218"/>
      <c r="C159" s="223" t="s">
        <v>196</v>
      </c>
      <c r="D159" s="737"/>
      <c r="E159" s="738"/>
      <c r="F159" s="1648"/>
      <c r="G159" s="1128"/>
    </row>
    <row r="160" spans="2:7" ht="24">
      <c r="B160" s="218"/>
      <c r="C160" s="228" t="s">
        <v>2248</v>
      </c>
      <c r="D160" s="224" t="s">
        <v>66</v>
      </c>
      <c r="E160" s="225">
        <v>1</v>
      </c>
      <c r="F160" s="1768">
        <v>0</v>
      </c>
      <c r="G160" s="1714">
        <f t="shared" ref="G160:G174" si="8">E160*F160</f>
        <v>0</v>
      </c>
    </row>
    <row r="161" spans="2:8">
      <c r="B161" s="218"/>
      <c r="C161" s="232" t="s">
        <v>132</v>
      </c>
      <c r="D161" s="224" t="s">
        <v>66</v>
      </c>
      <c r="E161" s="225">
        <v>3</v>
      </c>
      <c r="F161" s="1768">
        <v>0</v>
      </c>
      <c r="G161" s="1714">
        <f t="shared" si="8"/>
        <v>0</v>
      </c>
    </row>
    <row r="162" spans="2:8">
      <c r="B162" s="218"/>
      <c r="C162" s="232" t="s">
        <v>148</v>
      </c>
      <c r="D162" s="224" t="s">
        <v>66</v>
      </c>
      <c r="E162" s="225">
        <v>3</v>
      </c>
      <c r="F162" s="1768">
        <v>0</v>
      </c>
      <c r="G162" s="1714">
        <f t="shared" si="8"/>
        <v>0</v>
      </c>
    </row>
    <row r="163" spans="2:8">
      <c r="B163" s="218"/>
      <c r="C163" s="232" t="s">
        <v>150</v>
      </c>
      <c r="D163" s="224" t="s">
        <v>66</v>
      </c>
      <c r="E163" s="225">
        <v>1</v>
      </c>
      <c r="F163" s="1768">
        <v>0</v>
      </c>
      <c r="G163" s="1714">
        <f t="shared" si="8"/>
        <v>0</v>
      </c>
    </row>
    <row r="164" spans="2:8">
      <c r="B164" s="218"/>
      <c r="C164" s="233" t="s">
        <v>135</v>
      </c>
      <c r="D164" s="224" t="s">
        <v>66</v>
      </c>
      <c r="E164" s="225">
        <v>1</v>
      </c>
      <c r="F164" s="1768">
        <v>0</v>
      </c>
      <c r="G164" s="1714">
        <f t="shared" si="8"/>
        <v>0</v>
      </c>
    </row>
    <row r="165" spans="2:8">
      <c r="B165" s="218"/>
      <c r="C165" s="223" t="s">
        <v>228</v>
      </c>
      <c r="D165" s="737"/>
      <c r="E165" s="738"/>
      <c r="F165" s="1768"/>
      <c r="G165" s="1714"/>
    </row>
    <row r="166" spans="2:8" ht="24">
      <c r="B166" s="218"/>
      <c r="C166" s="228" t="s">
        <v>2247</v>
      </c>
      <c r="D166" s="224" t="s">
        <v>66</v>
      </c>
      <c r="E166" s="225">
        <v>8</v>
      </c>
      <c r="F166" s="1768">
        <v>0</v>
      </c>
      <c r="G166" s="1714">
        <f t="shared" si="8"/>
        <v>0</v>
      </c>
    </row>
    <row r="167" spans="2:8">
      <c r="B167" s="218"/>
      <c r="C167" s="739" t="s">
        <v>132</v>
      </c>
      <c r="D167" s="224" t="s">
        <v>66</v>
      </c>
      <c r="E167" s="225">
        <v>16</v>
      </c>
      <c r="F167" s="1768">
        <v>0</v>
      </c>
      <c r="G167" s="1714">
        <f t="shared" si="8"/>
        <v>0</v>
      </c>
    </row>
    <row r="168" spans="2:8">
      <c r="B168" s="218"/>
      <c r="C168" s="739" t="s">
        <v>166</v>
      </c>
      <c r="D168" s="224" t="s">
        <v>66</v>
      </c>
      <c r="E168" s="225">
        <v>8</v>
      </c>
      <c r="F168" s="1768">
        <v>0</v>
      </c>
      <c r="G168" s="1714">
        <f t="shared" si="8"/>
        <v>0</v>
      </c>
    </row>
    <row r="169" spans="2:8">
      <c r="B169" s="218"/>
      <c r="C169" s="739" t="s">
        <v>148</v>
      </c>
      <c r="D169" s="224" t="s">
        <v>66</v>
      </c>
      <c r="E169" s="225">
        <v>16</v>
      </c>
      <c r="F169" s="1768">
        <v>0</v>
      </c>
      <c r="G169" s="1714">
        <f t="shared" si="8"/>
        <v>0</v>
      </c>
    </row>
    <row r="170" spans="2:8">
      <c r="B170" s="218"/>
      <c r="C170" s="739" t="s">
        <v>167</v>
      </c>
      <c r="D170" s="224" t="s">
        <v>66</v>
      </c>
      <c r="E170" s="225">
        <v>8</v>
      </c>
      <c r="F170" s="1768">
        <v>0</v>
      </c>
      <c r="G170" s="1714">
        <f t="shared" si="8"/>
        <v>0</v>
      </c>
    </row>
    <row r="171" spans="2:8">
      <c r="B171" s="218"/>
      <c r="C171" s="739" t="s">
        <v>229</v>
      </c>
      <c r="D171" s="224" t="s">
        <v>66</v>
      </c>
      <c r="E171" s="225">
        <v>8</v>
      </c>
      <c r="F171" s="1768">
        <v>0</v>
      </c>
      <c r="G171" s="1714">
        <f t="shared" si="8"/>
        <v>0</v>
      </c>
    </row>
    <row r="172" spans="2:8">
      <c r="B172" s="218"/>
      <c r="C172" s="739" t="s">
        <v>230</v>
      </c>
      <c r="D172" s="224" t="s">
        <v>66</v>
      </c>
      <c r="E172" s="225">
        <v>8</v>
      </c>
      <c r="F172" s="1768">
        <v>0</v>
      </c>
      <c r="G172" s="1714">
        <f t="shared" si="8"/>
        <v>0</v>
      </c>
    </row>
    <row r="173" spans="2:8">
      <c r="B173" s="218"/>
      <c r="C173" s="739" t="s">
        <v>150</v>
      </c>
      <c r="D173" s="224" t="s">
        <v>66</v>
      </c>
      <c r="E173" s="225">
        <v>8</v>
      </c>
      <c r="F173" s="1768">
        <v>0</v>
      </c>
      <c r="G173" s="1714">
        <f t="shared" si="8"/>
        <v>0</v>
      </c>
    </row>
    <row r="174" spans="2:8">
      <c r="B174" s="218"/>
      <c r="C174" s="740" t="s">
        <v>135</v>
      </c>
      <c r="D174" s="224" t="s">
        <v>66</v>
      </c>
      <c r="E174" s="225">
        <v>8</v>
      </c>
      <c r="F174" s="1768">
        <v>0</v>
      </c>
      <c r="G174" s="1714">
        <f t="shared" si="8"/>
        <v>0</v>
      </c>
    </row>
    <row r="175" spans="2:8">
      <c r="B175" s="218"/>
      <c r="C175" s="223" t="s">
        <v>1432</v>
      </c>
      <c r="D175" s="737"/>
      <c r="E175" s="738"/>
      <c r="F175" s="1605"/>
      <c r="G175" s="1646"/>
    </row>
    <row r="176" spans="2:8" s="217" customFormat="1">
      <c r="B176" s="218"/>
      <c r="C176" s="1655" t="s">
        <v>133</v>
      </c>
      <c r="D176" s="224" t="s">
        <v>66</v>
      </c>
      <c r="E176" s="225">
        <v>1</v>
      </c>
      <c r="F176" s="1768">
        <v>0</v>
      </c>
      <c r="G176" s="1714">
        <f t="shared" ref="G176:G178" si="9">E176*F176</f>
        <v>0</v>
      </c>
      <c r="H176" s="1703"/>
    </row>
    <row r="177" spans="2:8" s="217" customFormat="1">
      <c r="B177" s="218"/>
      <c r="C177" s="1655" t="s">
        <v>2256</v>
      </c>
      <c r="D177" s="224" t="s">
        <v>66</v>
      </c>
      <c r="E177" s="225">
        <v>1</v>
      </c>
      <c r="F177" s="1768">
        <v>0</v>
      </c>
      <c r="G177" s="1714">
        <f t="shared" si="9"/>
        <v>0</v>
      </c>
      <c r="H177" s="1703"/>
    </row>
    <row r="178" spans="2:8" s="217" customFormat="1">
      <c r="B178" s="218"/>
      <c r="C178" s="1655" t="s">
        <v>230</v>
      </c>
      <c r="D178" s="224" t="s">
        <v>66</v>
      </c>
      <c r="E178" s="225">
        <v>1</v>
      </c>
      <c r="F178" s="1768">
        <v>0</v>
      </c>
      <c r="G178" s="1714">
        <f t="shared" si="9"/>
        <v>0</v>
      </c>
      <c r="H178" s="1703"/>
    </row>
    <row r="179" spans="2:8">
      <c r="B179" s="218"/>
      <c r="C179" s="223" t="s">
        <v>1395</v>
      </c>
      <c r="D179" s="737"/>
      <c r="E179" s="738"/>
      <c r="F179" s="1605"/>
      <c r="G179" s="1646"/>
    </row>
    <row r="180" spans="2:8" s="217" customFormat="1">
      <c r="B180" s="218"/>
      <c r="C180" s="1655" t="s">
        <v>230</v>
      </c>
      <c r="D180" s="224" t="s">
        <v>66</v>
      </c>
      <c r="E180" s="225">
        <v>2</v>
      </c>
      <c r="F180" s="1768">
        <v>0</v>
      </c>
      <c r="G180" s="1714">
        <f t="shared" ref="G180:G182" si="10">E180*F180</f>
        <v>0</v>
      </c>
      <c r="H180" s="1703"/>
    </row>
    <row r="181" spans="2:8" s="217" customFormat="1">
      <c r="B181" s="218"/>
      <c r="C181" s="1655" t="s">
        <v>2255</v>
      </c>
      <c r="D181" s="224" t="s">
        <v>66</v>
      </c>
      <c r="E181" s="225">
        <v>2</v>
      </c>
      <c r="F181" s="1768">
        <v>0</v>
      </c>
      <c r="G181" s="1714">
        <f t="shared" si="10"/>
        <v>0</v>
      </c>
      <c r="H181" s="1703"/>
    </row>
    <row r="182" spans="2:8" s="217" customFormat="1">
      <c r="B182" s="218"/>
      <c r="C182" s="1655" t="s">
        <v>1444</v>
      </c>
      <c r="D182" s="224" t="s">
        <v>66</v>
      </c>
      <c r="E182" s="225">
        <v>2</v>
      </c>
      <c r="F182" s="1768">
        <v>0</v>
      </c>
      <c r="G182" s="1714">
        <f t="shared" si="10"/>
        <v>0</v>
      </c>
      <c r="H182" s="1703"/>
    </row>
    <row r="183" spans="2:8">
      <c r="B183" s="201" t="s">
        <v>172</v>
      </c>
      <c r="C183" s="238" t="s">
        <v>169</v>
      </c>
      <c r="D183" s="239"/>
      <c r="E183" s="240"/>
      <c r="F183" s="241"/>
      <c r="G183" s="242"/>
    </row>
    <row r="184" spans="2:8">
      <c r="B184" s="218"/>
      <c r="C184" s="238" t="s">
        <v>170</v>
      </c>
      <c r="D184" s="153"/>
      <c r="E184" s="741"/>
      <c r="F184" s="1611"/>
      <c r="G184" s="263"/>
    </row>
    <row r="185" spans="2:8" ht="36">
      <c r="B185" s="218"/>
      <c r="C185" s="243" t="s">
        <v>2246</v>
      </c>
      <c r="D185" s="239" t="s">
        <v>66</v>
      </c>
      <c r="E185" s="240">
        <v>25</v>
      </c>
      <c r="F185" s="1609">
        <v>0</v>
      </c>
      <c r="G185" s="245">
        <f t="shared" ref="G185:G193" si="11">E185*F185</f>
        <v>0</v>
      </c>
    </row>
    <row r="186" spans="2:8">
      <c r="B186" s="218"/>
      <c r="C186" s="1129" t="s">
        <v>171</v>
      </c>
      <c r="D186" s="239" t="s">
        <v>66</v>
      </c>
      <c r="E186" s="240">
        <v>25</v>
      </c>
      <c r="F186" s="1609">
        <v>0</v>
      </c>
      <c r="G186" s="245">
        <f t="shared" si="11"/>
        <v>0</v>
      </c>
    </row>
    <row r="187" spans="2:8">
      <c r="B187" s="218"/>
      <c r="C187" s="1130" t="s">
        <v>135</v>
      </c>
      <c r="D187" s="239" t="s">
        <v>66</v>
      </c>
      <c r="E187" s="240">
        <v>25</v>
      </c>
      <c r="F187" s="1609">
        <v>0</v>
      </c>
      <c r="G187" s="245">
        <f t="shared" si="11"/>
        <v>0</v>
      </c>
    </row>
    <row r="188" spans="2:8">
      <c r="B188" s="218"/>
      <c r="C188" s="1130" t="s">
        <v>891</v>
      </c>
      <c r="D188" s="239" t="s">
        <v>66</v>
      </c>
      <c r="E188" s="240">
        <v>25</v>
      </c>
      <c r="F188" s="1609">
        <v>0</v>
      </c>
      <c r="G188" s="245">
        <f t="shared" si="11"/>
        <v>0</v>
      </c>
    </row>
    <row r="189" spans="2:8">
      <c r="B189" s="218"/>
      <c r="C189" s="238" t="s">
        <v>234</v>
      </c>
      <c r="D189" s="153"/>
      <c r="E189" s="741"/>
      <c r="F189" s="1609"/>
      <c r="G189" s="245"/>
    </row>
    <row r="190" spans="2:8" ht="36">
      <c r="B190" s="218"/>
      <c r="C190" s="243" t="s">
        <v>2245</v>
      </c>
      <c r="D190" s="239" t="s">
        <v>66</v>
      </c>
      <c r="E190" s="240">
        <v>18</v>
      </c>
      <c r="F190" s="1609">
        <v>0</v>
      </c>
      <c r="G190" s="245">
        <f t="shared" si="11"/>
        <v>0</v>
      </c>
    </row>
    <row r="191" spans="2:8">
      <c r="B191" s="218"/>
      <c r="C191" s="246" t="s">
        <v>171</v>
      </c>
      <c r="D191" s="239" t="s">
        <v>66</v>
      </c>
      <c r="E191" s="240">
        <v>18</v>
      </c>
      <c r="F191" s="1609">
        <v>0</v>
      </c>
      <c r="G191" s="245">
        <f t="shared" si="11"/>
        <v>0</v>
      </c>
    </row>
    <row r="192" spans="2:8">
      <c r="B192" s="218"/>
      <c r="C192" s="247" t="s">
        <v>135</v>
      </c>
      <c r="D192" s="239" t="s">
        <v>66</v>
      </c>
      <c r="E192" s="240">
        <v>18</v>
      </c>
      <c r="F192" s="1609">
        <v>0</v>
      </c>
      <c r="G192" s="245">
        <f t="shared" si="11"/>
        <v>0</v>
      </c>
    </row>
    <row r="193" spans="2:7">
      <c r="B193" s="218"/>
      <c r="C193" s="1130" t="s">
        <v>891</v>
      </c>
      <c r="D193" s="239" t="s">
        <v>66</v>
      </c>
      <c r="E193" s="240">
        <v>18</v>
      </c>
      <c r="F193" s="1609">
        <v>0</v>
      </c>
      <c r="G193" s="245">
        <f t="shared" si="11"/>
        <v>0</v>
      </c>
    </row>
    <row r="194" spans="2:7">
      <c r="B194" s="201" t="s">
        <v>340</v>
      </c>
      <c r="C194" s="742" t="s">
        <v>173</v>
      </c>
      <c r="D194" s="743"/>
      <c r="E194" s="744"/>
      <c r="F194" s="1131"/>
      <c r="G194" s="1132"/>
    </row>
    <row r="195" spans="2:7" ht="72">
      <c r="B195" s="218"/>
      <c r="C195" s="745" t="s">
        <v>174</v>
      </c>
      <c r="D195" s="746" t="s">
        <v>66</v>
      </c>
      <c r="E195" s="747">
        <v>1</v>
      </c>
      <c r="F195" s="1617">
        <v>0</v>
      </c>
      <c r="G195" s="1132">
        <f t="shared" ref="G195" si="12">E195*F195</f>
        <v>0</v>
      </c>
    </row>
    <row r="196" spans="2:7">
      <c r="B196" s="258" t="s">
        <v>47</v>
      </c>
      <c r="C196" s="259" t="s">
        <v>175</v>
      </c>
      <c r="D196" s="260"/>
      <c r="E196" s="261"/>
      <c r="F196" s="262"/>
      <c r="G196" s="263">
        <f>SUM(G78:G195)</f>
        <v>0</v>
      </c>
    </row>
  </sheetData>
  <mergeCells count="5">
    <mergeCell ref="B43:G43"/>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676D-2DF2-453D-BF94-0EB7BD564E3F}">
  <sheetPr>
    <tabColor rgb="FF00B0F0"/>
  </sheetPr>
  <dimension ref="A2:Y195"/>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1386</v>
      </c>
      <c r="D4" s="76"/>
      <c r="E4" s="77"/>
      <c r="F4" s="674"/>
      <c r="G4" s="79"/>
      <c r="H4" s="37"/>
    </row>
    <row r="5" spans="1:25" s="73" customFormat="1" ht="12" customHeight="1">
      <c r="B5" s="80"/>
      <c r="C5" s="81"/>
      <c r="D5" s="82"/>
      <c r="E5" s="83"/>
      <c r="F5" s="675"/>
      <c r="G5" s="85"/>
      <c r="H5" s="37"/>
    </row>
    <row r="6" spans="1:25" s="86" customFormat="1" ht="21" customHeight="1">
      <c r="B6" s="676" t="s">
        <v>37</v>
      </c>
      <c r="C6" s="677" t="s">
        <v>1402</v>
      </c>
      <c r="D6" s="678"/>
      <c r="E6" s="679"/>
      <c r="F6" s="680"/>
      <c r="G6" s="681"/>
      <c r="H6" s="27"/>
    </row>
    <row r="7" spans="1:25" s="86" customFormat="1" ht="21" customHeight="1">
      <c r="A7" s="1135"/>
      <c r="B7" s="1136"/>
      <c r="C7" s="1137"/>
      <c r="D7" s="1138"/>
      <c r="E7" s="1139"/>
      <c r="F7" s="1140"/>
      <c r="G7" s="1141"/>
      <c r="H7" s="27"/>
    </row>
    <row r="8" spans="1:25" s="86" customFormat="1" ht="14.25" customHeight="1">
      <c r="B8" s="682" t="s">
        <v>551</v>
      </c>
      <c r="C8" s="683" t="s">
        <v>1403</v>
      </c>
      <c r="D8" s="684"/>
      <c r="E8" s="685"/>
      <c r="F8" s="686"/>
      <c r="G8" s="687"/>
      <c r="H8" s="27"/>
    </row>
    <row r="9" spans="1:25" s="86" customFormat="1" ht="14.25" customHeight="1">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G195</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f>864-290</f>
        <v>574</v>
      </c>
      <c r="F26" s="1082">
        <v>0</v>
      </c>
      <c r="G26" s="1083">
        <f t="shared" ref="G26" si="0">E26*F26</f>
        <v>0</v>
      </c>
    </row>
    <row r="27" spans="2:25">
      <c r="B27" s="125">
        <v>2</v>
      </c>
      <c r="C27" s="144" t="s">
        <v>58</v>
      </c>
      <c r="D27" s="140" t="s">
        <v>57</v>
      </c>
      <c r="E27" s="1081">
        <f>E26</f>
        <v>574</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24">
      <c r="B31" s="125">
        <v>6</v>
      </c>
      <c r="C31" s="1084" t="s">
        <v>63</v>
      </c>
      <c r="D31" s="140" t="s">
        <v>57</v>
      </c>
      <c r="E31" s="1081">
        <f>E26</f>
        <v>574</v>
      </c>
      <c r="F31" s="1082">
        <v>0</v>
      </c>
      <c r="G31" s="1083">
        <f t="shared" si="1"/>
        <v>0</v>
      </c>
    </row>
    <row r="32" spans="2:25" ht="48">
      <c r="B32" s="125">
        <v>7</v>
      </c>
      <c r="C32" s="1084" t="s">
        <v>64</v>
      </c>
      <c r="D32" s="146" t="s">
        <v>60</v>
      </c>
      <c r="E32" s="1081">
        <v>1</v>
      </c>
      <c r="F32" s="1082">
        <v>0</v>
      </c>
      <c r="G32" s="1083">
        <f t="shared" si="1"/>
        <v>0</v>
      </c>
    </row>
    <row r="33" spans="1:25" ht="54" customHeight="1">
      <c r="B33" s="125">
        <v>8</v>
      </c>
      <c r="C33" s="1080" t="s">
        <v>2292</v>
      </c>
      <c r="D33" s="146" t="s">
        <v>66</v>
      </c>
      <c r="E33" s="1081">
        <v>34</v>
      </c>
      <c r="F33" s="1082">
        <v>0</v>
      </c>
      <c r="G33" s="1083">
        <f t="shared" si="1"/>
        <v>0</v>
      </c>
    </row>
    <row r="34" spans="1:25" ht="36">
      <c r="B34" s="125">
        <v>9</v>
      </c>
      <c r="C34" s="1080" t="s">
        <v>2295</v>
      </c>
      <c r="D34" s="146" t="s">
        <v>57</v>
      </c>
      <c r="E34" s="1081">
        <f>E26+E84+E85</f>
        <v>703</v>
      </c>
      <c r="F34" s="1082">
        <v>0</v>
      </c>
      <c r="G34" s="1083">
        <f t="shared" si="1"/>
        <v>0</v>
      </c>
    </row>
    <row r="35" spans="1:25" ht="24">
      <c r="B35" s="125">
        <v>10</v>
      </c>
      <c r="C35" s="1080" t="s">
        <v>2293</v>
      </c>
      <c r="D35" s="146" t="s">
        <v>57</v>
      </c>
      <c r="E35" s="1081">
        <f>E26+E84+E85</f>
        <v>703</v>
      </c>
      <c r="F35" s="1082">
        <v>0</v>
      </c>
      <c r="G35" s="1083">
        <f t="shared" si="1"/>
        <v>0</v>
      </c>
    </row>
    <row r="36" spans="1:25">
      <c r="B36" s="125">
        <v>11</v>
      </c>
      <c r="C36" s="1084" t="s">
        <v>67</v>
      </c>
      <c r="D36" s="146" t="s">
        <v>60</v>
      </c>
      <c r="E36" s="1081">
        <v>1</v>
      </c>
      <c r="F36" s="1082">
        <v>0</v>
      </c>
      <c r="G36" s="1083">
        <f t="shared" si="1"/>
        <v>0</v>
      </c>
    </row>
    <row r="37" spans="1:25" ht="36">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30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154.97999999999999</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878.22</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861</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574</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688.8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344.40000000000003</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1391</v>
      </c>
      <c r="D54" s="140" t="s">
        <v>78</v>
      </c>
      <c r="E54" s="1094">
        <f>E26*1.2</f>
        <v>688.8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385.72800000000007</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385.72800000000007</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43.050000000000004</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14</v>
      </c>
      <c r="C59" s="177" t="s">
        <v>96</v>
      </c>
      <c r="D59" s="140" t="s">
        <v>57</v>
      </c>
      <c r="E59" s="1094">
        <v>27</v>
      </c>
      <c r="F59" s="1092">
        <v>0</v>
      </c>
      <c r="G59" s="142">
        <f t="shared" si="2"/>
        <v>0</v>
      </c>
      <c r="I59" s="1"/>
      <c r="J59" s="1"/>
      <c r="K59" s="1"/>
      <c r="L59" s="1"/>
      <c r="M59" s="1"/>
      <c r="N59" s="1"/>
      <c r="O59" s="1"/>
      <c r="P59" s="1"/>
      <c r="Q59" s="1"/>
      <c r="R59" s="1"/>
      <c r="S59" s="1"/>
      <c r="T59" s="1"/>
      <c r="U59" s="1"/>
      <c r="V59" s="1"/>
      <c r="W59" s="1"/>
      <c r="X59" s="1"/>
      <c r="Y59" s="1"/>
    </row>
    <row r="60" spans="1:25" s="8" customFormat="1" ht="48">
      <c r="A60" s="1"/>
      <c r="B60" s="167">
        <v>15</v>
      </c>
      <c r="C60" s="1096" t="s">
        <v>1393</v>
      </c>
      <c r="D60" s="182" t="s">
        <v>74</v>
      </c>
      <c r="E60" s="1097">
        <v>5</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16</v>
      </c>
      <c r="C61" s="1096" t="s">
        <v>270</v>
      </c>
      <c r="D61" s="182" t="s">
        <v>66</v>
      </c>
      <c r="E61" s="1097">
        <v>52</v>
      </c>
      <c r="F61" s="1092">
        <v>0</v>
      </c>
      <c r="G61" s="1083">
        <f t="shared" si="2"/>
        <v>0</v>
      </c>
      <c r="I61" s="1"/>
      <c r="J61" s="1"/>
      <c r="K61" s="1"/>
      <c r="L61" s="1"/>
      <c r="M61" s="1"/>
      <c r="N61" s="1"/>
      <c r="O61" s="1"/>
      <c r="P61" s="1"/>
      <c r="Q61" s="1"/>
      <c r="R61" s="1"/>
      <c r="S61" s="1"/>
      <c r="T61" s="1"/>
      <c r="U61" s="1"/>
      <c r="V61" s="1"/>
      <c r="W61" s="1"/>
      <c r="X61" s="1"/>
      <c r="Y61" s="1"/>
    </row>
    <row r="62" spans="1:25" s="8" customFormat="1" ht="24">
      <c r="A62" s="1"/>
      <c r="B62" s="167">
        <v>17</v>
      </c>
      <c r="C62" s="1096" t="s">
        <v>99</v>
      </c>
      <c r="D62" s="182" t="s">
        <v>74</v>
      </c>
      <c r="E62" s="1097">
        <v>4</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18</v>
      </c>
      <c r="C63" s="1096" t="s">
        <v>100</v>
      </c>
      <c r="D63" s="182" t="s">
        <v>65</v>
      </c>
      <c r="E63" s="1097">
        <v>30</v>
      </c>
      <c r="F63" s="1092">
        <v>0</v>
      </c>
      <c r="G63" s="1083">
        <f t="shared" si="2"/>
        <v>0</v>
      </c>
      <c r="I63" s="1"/>
      <c r="J63" s="1"/>
      <c r="K63" s="1"/>
      <c r="L63" s="1"/>
      <c r="M63" s="1"/>
      <c r="N63" s="1"/>
      <c r="O63" s="1"/>
      <c r="P63" s="1"/>
      <c r="Q63" s="1"/>
      <c r="R63" s="1"/>
      <c r="S63" s="1"/>
      <c r="T63" s="1"/>
      <c r="U63" s="1"/>
      <c r="V63" s="1"/>
      <c r="W63" s="1"/>
      <c r="X63" s="1"/>
      <c r="Y63" s="1"/>
    </row>
    <row r="64" spans="1:25" s="8" customFormat="1" ht="48">
      <c r="A64" s="1"/>
      <c r="B64" s="167">
        <v>19</v>
      </c>
      <c r="C64" s="139" t="s">
        <v>1394</v>
      </c>
      <c r="D64" s="140" t="s">
        <v>78</v>
      </c>
      <c r="E64" s="1091">
        <f>E26*1</f>
        <v>574</v>
      </c>
      <c r="F64" s="1092">
        <v>0</v>
      </c>
      <c r="G64" s="109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9" t="s">
        <v>271</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104</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105</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327*0.9</f>
        <v>294.3</v>
      </c>
      <c r="F80" s="1092">
        <v>0</v>
      </c>
      <c r="G80" s="1093">
        <f t="shared" ref="G80:G90" si="3">E80*F80</f>
        <v>0</v>
      </c>
    </row>
    <row r="81" spans="2:9" ht="24">
      <c r="B81" s="191"/>
      <c r="C81" s="192" t="s">
        <v>884</v>
      </c>
      <c r="D81" s="190" t="s">
        <v>57</v>
      </c>
      <c r="E81" s="719">
        <f>327*0.1</f>
        <v>32.700000000000003</v>
      </c>
      <c r="F81" s="1092">
        <v>0</v>
      </c>
      <c r="G81" s="1093">
        <f t="shared" si="3"/>
        <v>0</v>
      </c>
      <c r="I81" s="1119"/>
    </row>
    <row r="82" spans="2:9">
      <c r="B82" s="191"/>
      <c r="C82" s="192" t="s">
        <v>226</v>
      </c>
      <c r="D82" s="190" t="s">
        <v>57</v>
      </c>
      <c r="E82" s="719">
        <f>247*0.9</f>
        <v>222.3</v>
      </c>
      <c r="F82" s="1092">
        <v>0</v>
      </c>
      <c r="G82" s="1093">
        <f t="shared" si="3"/>
        <v>0</v>
      </c>
    </row>
    <row r="83" spans="2:9" ht="24">
      <c r="B83" s="191"/>
      <c r="C83" s="192" t="s">
        <v>227</v>
      </c>
      <c r="D83" s="190" t="s">
        <v>57</v>
      </c>
      <c r="E83" s="719">
        <f>247*0.1</f>
        <v>24.700000000000003</v>
      </c>
      <c r="F83" s="1092">
        <v>0</v>
      </c>
      <c r="G83" s="1093">
        <f t="shared" si="3"/>
        <v>0</v>
      </c>
    </row>
    <row r="84" spans="2:9">
      <c r="B84" s="191"/>
      <c r="C84" s="192" t="s">
        <v>109</v>
      </c>
      <c r="D84" s="190" t="s">
        <v>57</v>
      </c>
      <c r="E84" s="719">
        <f>129*0.9</f>
        <v>116.10000000000001</v>
      </c>
      <c r="F84" s="1092">
        <v>0</v>
      </c>
      <c r="G84" s="1093">
        <f t="shared" si="3"/>
        <v>0</v>
      </c>
    </row>
    <row r="85" spans="2:9" ht="24">
      <c r="B85" s="191"/>
      <c r="C85" s="192" t="s">
        <v>110</v>
      </c>
      <c r="D85" s="190" t="s">
        <v>57</v>
      </c>
      <c r="E85" s="719">
        <f>129*0.1</f>
        <v>12.9</v>
      </c>
      <c r="F85" s="1092">
        <v>0</v>
      </c>
      <c r="G85" s="1093">
        <f t="shared" si="3"/>
        <v>0</v>
      </c>
    </row>
    <row r="86" spans="2:9" ht="36">
      <c r="B86" s="2404" t="s">
        <v>111</v>
      </c>
      <c r="C86" s="193" t="s">
        <v>112</v>
      </c>
      <c r="D86" s="194"/>
      <c r="E86" s="719"/>
      <c r="F86" s="1092"/>
      <c r="G86" s="1093"/>
    </row>
    <row r="87" spans="2:9">
      <c r="B87" s="2405"/>
      <c r="C87" s="195" t="s">
        <v>113</v>
      </c>
      <c r="D87" s="194" t="s">
        <v>57</v>
      </c>
      <c r="E87" s="719">
        <v>50</v>
      </c>
      <c r="F87" s="1092">
        <v>0</v>
      </c>
      <c r="G87" s="1093">
        <f>E87*F87</f>
        <v>0</v>
      </c>
    </row>
    <row r="88" spans="2:9">
      <c r="B88" s="2405"/>
      <c r="C88" s="195" t="s">
        <v>274</v>
      </c>
      <c r="D88" s="194" t="s">
        <v>57</v>
      </c>
      <c r="E88" s="719">
        <v>80</v>
      </c>
      <c r="F88" s="1092">
        <v>0</v>
      </c>
      <c r="G88" s="1093">
        <f>E88*F88</f>
        <v>0</v>
      </c>
    </row>
    <row r="89" spans="2:9">
      <c r="B89" s="2413"/>
      <c r="C89" s="195" t="s">
        <v>275</v>
      </c>
      <c r="D89" s="194" t="s">
        <v>57</v>
      </c>
      <c r="E89" s="719">
        <v>29</v>
      </c>
      <c r="F89" s="1092">
        <v>0</v>
      </c>
      <c r="G89" s="1093">
        <f>E89*F89</f>
        <v>0</v>
      </c>
    </row>
    <row r="90" spans="2:9" ht="36">
      <c r="B90" s="196">
        <v>2</v>
      </c>
      <c r="C90" s="197" t="s">
        <v>114</v>
      </c>
      <c r="D90" s="145" t="s">
        <v>57</v>
      </c>
      <c r="E90" s="732">
        <f>SUM(E80:E85)</f>
        <v>703</v>
      </c>
      <c r="F90" s="1092">
        <v>0</v>
      </c>
      <c r="G90" s="1093">
        <f t="shared" si="3"/>
        <v>0</v>
      </c>
    </row>
    <row r="91" spans="2:9" ht="36">
      <c r="B91" s="199" t="s">
        <v>115</v>
      </c>
      <c r="C91" s="197" t="s">
        <v>116</v>
      </c>
      <c r="D91" s="145" t="s">
        <v>57</v>
      </c>
      <c r="E91" s="732">
        <f>E90</f>
        <v>703</v>
      </c>
      <c r="F91" s="1092">
        <v>0</v>
      </c>
      <c r="G91" s="1093">
        <f>E91*F91</f>
        <v>0</v>
      </c>
    </row>
    <row r="92" spans="2:9" ht="24">
      <c r="B92" s="199" t="s">
        <v>117</v>
      </c>
      <c r="C92" s="197" t="s">
        <v>118</v>
      </c>
      <c r="D92" s="145" t="s">
        <v>57</v>
      </c>
      <c r="E92" s="732">
        <f>E90</f>
        <v>703</v>
      </c>
      <c r="F92" s="1092">
        <v>0</v>
      </c>
      <c r="G92" s="1093">
        <f>E92*F92</f>
        <v>0</v>
      </c>
    </row>
    <row r="93" spans="2:9" ht="36">
      <c r="B93" s="199" t="s">
        <v>119</v>
      </c>
      <c r="C93" s="197" t="s">
        <v>120</v>
      </c>
      <c r="D93" s="145" t="s">
        <v>57</v>
      </c>
      <c r="E93" s="732">
        <f>E90</f>
        <v>703</v>
      </c>
      <c r="F93" s="1092">
        <v>0</v>
      </c>
      <c r="G93" s="1093">
        <f>E93*F93</f>
        <v>0</v>
      </c>
    </row>
    <row r="94" spans="2:9" ht="24">
      <c r="B94" s="188">
        <v>3</v>
      </c>
      <c r="C94" s="200" t="s">
        <v>121</v>
      </c>
      <c r="D94" s="127"/>
      <c r="E94" s="719"/>
      <c r="F94" s="719"/>
      <c r="G94" s="731"/>
    </row>
    <row r="95" spans="2:9">
      <c r="B95" s="201" t="s">
        <v>122</v>
      </c>
      <c r="C95" s="202" t="s">
        <v>123</v>
      </c>
      <c r="D95" s="203"/>
      <c r="E95" s="204"/>
      <c r="F95" s="205"/>
      <c r="G95" s="206"/>
    </row>
    <row r="96" spans="2:9">
      <c r="B96" s="125"/>
      <c r="C96" s="202" t="s">
        <v>124</v>
      </c>
      <c r="D96" s="203"/>
      <c r="E96" s="204"/>
      <c r="F96" s="205"/>
      <c r="G96" s="206"/>
    </row>
    <row r="97" spans="2:7">
      <c r="B97" s="207"/>
      <c r="C97" s="208" t="s">
        <v>199</v>
      </c>
      <c r="D97" s="209" t="s">
        <v>66</v>
      </c>
      <c r="E97" s="204">
        <v>2</v>
      </c>
      <c r="F97" s="210">
        <v>0</v>
      </c>
      <c r="G97" s="211">
        <f>E97*F97</f>
        <v>0</v>
      </c>
    </row>
    <row r="98" spans="2:7">
      <c r="B98" s="207"/>
      <c r="C98" s="208" t="s">
        <v>125</v>
      </c>
      <c r="D98" s="209" t="s">
        <v>66</v>
      </c>
      <c r="E98" s="204">
        <v>1</v>
      </c>
      <c r="F98" s="210">
        <v>0</v>
      </c>
      <c r="G98" s="211">
        <f>E98*F98</f>
        <v>0</v>
      </c>
    </row>
    <row r="99" spans="2:7">
      <c r="B99" s="125"/>
      <c r="C99" s="202" t="s">
        <v>311</v>
      </c>
      <c r="D99" s="203"/>
      <c r="E99" s="204"/>
      <c r="F99" s="205"/>
      <c r="G99" s="206"/>
    </row>
    <row r="100" spans="2:7">
      <c r="B100" s="207"/>
      <c r="C100" s="208" t="s">
        <v>312</v>
      </c>
      <c r="D100" s="209" t="s">
        <v>66</v>
      </c>
      <c r="E100" s="204">
        <v>1</v>
      </c>
      <c r="F100" s="210">
        <v>0</v>
      </c>
      <c r="G100" s="211">
        <f>E100*F100</f>
        <v>0</v>
      </c>
    </row>
    <row r="101" spans="2:7">
      <c r="B101" s="207"/>
      <c r="C101" s="208" t="s">
        <v>313</v>
      </c>
      <c r="D101" s="209" t="s">
        <v>66</v>
      </c>
      <c r="E101" s="204">
        <v>1</v>
      </c>
      <c r="F101" s="210">
        <v>0</v>
      </c>
      <c r="G101" s="211">
        <f>E101*F101</f>
        <v>0</v>
      </c>
    </row>
    <row r="102" spans="2:7">
      <c r="B102" s="207"/>
      <c r="C102" s="208" t="s">
        <v>1398</v>
      </c>
      <c r="D102" s="209" t="s">
        <v>66</v>
      </c>
      <c r="E102" s="204">
        <v>2</v>
      </c>
      <c r="F102" s="210">
        <v>0</v>
      </c>
      <c r="G102" s="211">
        <f>E102*F102</f>
        <v>0</v>
      </c>
    </row>
    <row r="103" spans="2:7">
      <c r="B103" s="201" t="s">
        <v>126</v>
      </c>
      <c r="C103" s="212" t="s">
        <v>127</v>
      </c>
      <c r="D103" s="213"/>
      <c r="E103" s="214"/>
      <c r="F103" s="215">
        <v>0</v>
      </c>
      <c r="G103" s="216"/>
    </row>
    <row r="104" spans="2:7">
      <c r="B104" s="218"/>
      <c r="C104" s="212" t="s">
        <v>128</v>
      </c>
      <c r="D104" s="735"/>
      <c r="E104" s="736"/>
      <c r="F104" s="1601"/>
      <c r="G104" s="1121"/>
    </row>
    <row r="105" spans="2:7">
      <c r="B105" s="218"/>
      <c r="C105" s="219" t="s">
        <v>129</v>
      </c>
      <c r="D105" s="213" t="s">
        <v>66</v>
      </c>
      <c r="E105" s="214">
        <v>1</v>
      </c>
      <c r="F105" s="1599">
        <v>0</v>
      </c>
      <c r="G105" s="221">
        <f t="shared" ref="G105:G123" si="4">E105*F105</f>
        <v>0</v>
      </c>
    </row>
    <row r="106" spans="2:7" ht="36">
      <c r="B106" s="218"/>
      <c r="C106" s="222" t="s">
        <v>130</v>
      </c>
      <c r="D106" s="213" t="s">
        <v>66</v>
      </c>
      <c r="E106" s="214">
        <v>1</v>
      </c>
      <c r="F106" s="1599">
        <v>0</v>
      </c>
      <c r="G106" s="221">
        <f t="shared" si="4"/>
        <v>0</v>
      </c>
    </row>
    <row r="107" spans="2:7">
      <c r="B107" s="218"/>
      <c r="C107" s="222" t="s">
        <v>183</v>
      </c>
      <c r="D107" s="213" t="s">
        <v>66</v>
      </c>
      <c r="E107" s="214">
        <v>1</v>
      </c>
      <c r="F107" s="1599">
        <v>0</v>
      </c>
      <c r="G107" s="221">
        <f t="shared" si="4"/>
        <v>0</v>
      </c>
    </row>
    <row r="108" spans="2:7">
      <c r="B108" s="218"/>
      <c r="C108" s="222" t="s">
        <v>131</v>
      </c>
      <c r="D108" s="213" t="s">
        <v>66</v>
      </c>
      <c r="E108" s="214">
        <v>1</v>
      </c>
      <c r="F108" s="1599">
        <v>0</v>
      </c>
      <c r="G108" s="221">
        <f t="shared" si="4"/>
        <v>0</v>
      </c>
    </row>
    <row r="109" spans="2:7">
      <c r="B109" s="218"/>
      <c r="C109" s="222" t="s">
        <v>132</v>
      </c>
      <c r="D109" s="213" t="s">
        <v>66</v>
      </c>
      <c r="E109" s="214">
        <v>2</v>
      </c>
      <c r="F109" s="1599">
        <v>0</v>
      </c>
      <c r="G109" s="221">
        <f t="shared" si="4"/>
        <v>0</v>
      </c>
    </row>
    <row r="110" spans="2:7">
      <c r="B110" s="218"/>
      <c r="C110" s="222" t="s">
        <v>133</v>
      </c>
      <c r="D110" s="213" t="s">
        <v>66</v>
      </c>
      <c r="E110" s="214">
        <v>2</v>
      </c>
      <c r="F110" s="1599">
        <v>0</v>
      </c>
      <c r="G110" s="221">
        <f t="shared" si="4"/>
        <v>0</v>
      </c>
    </row>
    <row r="111" spans="2:7">
      <c r="B111" s="218"/>
      <c r="C111" s="222" t="s">
        <v>134</v>
      </c>
      <c r="D111" s="213" t="s">
        <v>66</v>
      </c>
      <c r="E111" s="214">
        <v>1</v>
      </c>
      <c r="F111" s="1599">
        <v>0</v>
      </c>
      <c r="G111" s="221">
        <f t="shared" si="4"/>
        <v>0</v>
      </c>
    </row>
    <row r="112" spans="2:7">
      <c r="B112" s="218"/>
      <c r="C112" s="222" t="s">
        <v>135</v>
      </c>
      <c r="D112" s="213" t="s">
        <v>66</v>
      </c>
      <c r="E112" s="214">
        <v>1</v>
      </c>
      <c r="F112" s="1599">
        <v>0</v>
      </c>
      <c r="G112" s="221">
        <f t="shared" si="4"/>
        <v>0</v>
      </c>
    </row>
    <row r="113" spans="2:7">
      <c r="B113" s="218"/>
      <c r="C113" s="212" t="s">
        <v>318</v>
      </c>
      <c r="D113" s="735"/>
      <c r="E113" s="736"/>
      <c r="F113" s="1599"/>
      <c r="G113" s="221"/>
    </row>
    <row r="114" spans="2:7">
      <c r="B114" s="218"/>
      <c r="C114" s="219" t="s">
        <v>319</v>
      </c>
      <c r="D114" s="213" t="s">
        <v>66</v>
      </c>
      <c r="E114" s="214">
        <v>2</v>
      </c>
      <c r="F114" s="1599">
        <v>0</v>
      </c>
      <c r="G114" s="221">
        <f t="shared" si="4"/>
        <v>0</v>
      </c>
    </row>
    <row r="115" spans="2:7" ht="36">
      <c r="B115" s="218"/>
      <c r="C115" s="222" t="s">
        <v>283</v>
      </c>
      <c r="D115" s="213" t="s">
        <v>66</v>
      </c>
      <c r="E115" s="214">
        <v>2</v>
      </c>
      <c r="F115" s="1599">
        <v>0</v>
      </c>
      <c r="G115" s="221">
        <f t="shared" si="4"/>
        <v>0</v>
      </c>
    </row>
    <row r="116" spans="2:7">
      <c r="B116" s="218"/>
      <c r="C116" s="222" t="s">
        <v>183</v>
      </c>
      <c r="D116" s="213" t="s">
        <v>66</v>
      </c>
      <c r="E116" s="214">
        <v>2</v>
      </c>
      <c r="F116" s="1599">
        <v>0</v>
      </c>
      <c r="G116" s="221">
        <f t="shared" si="4"/>
        <v>0</v>
      </c>
    </row>
    <row r="117" spans="2:7">
      <c r="B117" s="218"/>
      <c r="C117" s="222" t="s">
        <v>131</v>
      </c>
      <c r="D117" s="213" t="s">
        <v>66</v>
      </c>
      <c r="E117" s="214">
        <v>2</v>
      </c>
      <c r="F117" s="1599">
        <v>0</v>
      </c>
      <c r="G117" s="221">
        <f t="shared" si="4"/>
        <v>0</v>
      </c>
    </row>
    <row r="118" spans="2:7">
      <c r="B118" s="218"/>
      <c r="C118" s="1133" t="s">
        <v>166</v>
      </c>
      <c r="D118" s="213" t="s">
        <v>66</v>
      </c>
      <c r="E118" s="214">
        <v>4</v>
      </c>
      <c r="F118" s="1599">
        <v>0</v>
      </c>
      <c r="G118" s="221">
        <f t="shared" si="4"/>
        <v>0</v>
      </c>
    </row>
    <row r="119" spans="2:7">
      <c r="B119" s="218"/>
      <c r="C119" s="1133" t="s">
        <v>167</v>
      </c>
      <c r="D119" s="213" t="s">
        <v>66</v>
      </c>
      <c r="E119" s="214">
        <v>4</v>
      </c>
      <c r="F119" s="1599">
        <v>0</v>
      </c>
      <c r="G119" s="221">
        <f t="shared" si="4"/>
        <v>0</v>
      </c>
    </row>
    <row r="120" spans="2:7">
      <c r="B120" s="218"/>
      <c r="C120" s="1133" t="s">
        <v>229</v>
      </c>
      <c r="D120" s="213" t="s">
        <v>66</v>
      </c>
      <c r="E120" s="214">
        <v>4</v>
      </c>
      <c r="F120" s="1599">
        <v>0</v>
      </c>
      <c r="G120" s="221">
        <f t="shared" si="4"/>
        <v>0</v>
      </c>
    </row>
    <row r="121" spans="2:7">
      <c r="B121" s="218"/>
      <c r="C121" s="1133" t="s">
        <v>230</v>
      </c>
      <c r="D121" s="213" t="s">
        <v>66</v>
      </c>
      <c r="E121" s="214">
        <v>4</v>
      </c>
      <c r="F121" s="1599">
        <v>0</v>
      </c>
      <c r="G121" s="221">
        <f t="shared" si="4"/>
        <v>0</v>
      </c>
    </row>
    <row r="122" spans="2:7">
      <c r="B122" s="218"/>
      <c r="C122" s="1133" t="s">
        <v>134</v>
      </c>
      <c r="D122" s="213" t="s">
        <v>66</v>
      </c>
      <c r="E122" s="214">
        <v>2</v>
      </c>
      <c r="F122" s="1599">
        <v>0</v>
      </c>
      <c r="G122" s="221">
        <f t="shared" si="4"/>
        <v>0</v>
      </c>
    </row>
    <row r="123" spans="2:7">
      <c r="B123" s="218"/>
      <c r="C123" s="1134" t="s">
        <v>135</v>
      </c>
      <c r="D123" s="213" t="s">
        <v>66</v>
      </c>
      <c r="E123" s="214">
        <v>2</v>
      </c>
      <c r="F123" s="1599">
        <v>0</v>
      </c>
      <c r="G123" s="221">
        <f t="shared" si="4"/>
        <v>0</v>
      </c>
    </row>
    <row r="124" spans="2:7">
      <c r="B124" s="201" t="s">
        <v>136</v>
      </c>
      <c r="C124" s="238" t="s">
        <v>320</v>
      </c>
      <c r="D124" s="239"/>
      <c r="E124" s="240"/>
      <c r="F124" s="241"/>
      <c r="G124" s="242"/>
    </row>
    <row r="125" spans="2:7">
      <c r="B125" s="218"/>
      <c r="C125" s="238" t="s">
        <v>326</v>
      </c>
      <c r="D125" s="153"/>
      <c r="E125" s="741"/>
      <c r="F125" s="1611"/>
      <c r="G125" s="263"/>
    </row>
    <row r="126" spans="2:7" ht="26.25" customHeight="1">
      <c r="B126" s="218"/>
      <c r="C126" s="1123" t="s">
        <v>322</v>
      </c>
      <c r="D126" s="239" t="s">
        <v>66</v>
      </c>
      <c r="E126" s="240">
        <v>4</v>
      </c>
      <c r="F126" s="1609">
        <v>0</v>
      </c>
      <c r="G126" s="245">
        <f t="shared" ref="G126:G128" si="5">E126*F126</f>
        <v>0</v>
      </c>
    </row>
    <row r="127" spans="2:7">
      <c r="B127" s="218"/>
      <c r="C127" s="246" t="s">
        <v>325</v>
      </c>
      <c r="D127" s="239" t="s">
        <v>66</v>
      </c>
      <c r="E127" s="240">
        <v>4</v>
      </c>
      <c r="F127" s="1609">
        <v>0</v>
      </c>
      <c r="G127" s="245">
        <f t="shared" si="5"/>
        <v>0</v>
      </c>
    </row>
    <row r="128" spans="2:7">
      <c r="B128" s="218"/>
      <c r="C128" s="247" t="s">
        <v>135</v>
      </c>
      <c r="D128" s="239" t="s">
        <v>66</v>
      </c>
      <c r="E128" s="240">
        <v>4</v>
      </c>
      <c r="F128" s="1609">
        <v>0</v>
      </c>
      <c r="G128" s="245">
        <f t="shared" si="5"/>
        <v>0</v>
      </c>
    </row>
    <row r="129" spans="2:7">
      <c r="B129" s="201" t="s">
        <v>151</v>
      </c>
      <c r="C129" s="223" t="s">
        <v>137</v>
      </c>
      <c r="D129" s="224"/>
      <c r="E129" s="225"/>
      <c r="F129" s="226"/>
      <c r="G129" s="227"/>
    </row>
    <row r="130" spans="2:7">
      <c r="B130" s="218"/>
      <c r="C130" s="223" t="s">
        <v>138</v>
      </c>
      <c r="D130" s="737"/>
      <c r="E130" s="738"/>
      <c r="F130" s="1605"/>
      <c r="G130" s="1125"/>
    </row>
    <row r="131" spans="2:7">
      <c r="B131" s="218"/>
      <c r="C131" s="228" t="s">
        <v>129</v>
      </c>
      <c r="D131" s="224" t="s">
        <v>66</v>
      </c>
      <c r="E131" s="225">
        <v>1</v>
      </c>
      <c r="F131" s="1603">
        <v>0</v>
      </c>
      <c r="G131" s="230">
        <f t="shared" ref="G131:G146" si="6">E131*F131</f>
        <v>0</v>
      </c>
    </row>
    <row r="132" spans="2:7">
      <c r="B132" s="218"/>
      <c r="C132" s="228" t="s">
        <v>139</v>
      </c>
      <c r="D132" s="224" t="s">
        <v>66</v>
      </c>
      <c r="E132" s="225">
        <v>2</v>
      </c>
      <c r="F132" s="1603">
        <v>0</v>
      </c>
      <c r="G132" s="230">
        <f t="shared" si="6"/>
        <v>0</v>
      </c>
    </row>
    <row r="133" spans="2:7">
      <c r="B133" s="218"/>
      <c r="C133" s="231" t="s">
        <v>140</v>
      </c>
      <c r="D133" s="224" t="s">
        <v>66</v>
      </c>
      <c r="E133" s="225">
        <v>1</v>
      </c>
      <c r="F133" s="1603">
        <v>0</v>
      </c>
      <c r="G133" s="230">
        <f t="shared" si="6"/>
        <v>0</v>
      </c>
    </row>
    <row r="134" spans="2:7">
      <c r="B134" s="218"/>
      <c r="C134" s="231" t="s">
        <v>141</v>
      </c>
      <c r="D134" s="224" t="s">
        <v>66</v>
      </c>
      <c r="E134" s="225">
        <v>1</v>
      </c>
      <c r="F134" s="1603">
        <v>0</v>
      </c>
      <c r="G134" s="230">
        <f t="shared" si="6"/>
        <v>0</v>
      </c>
    </row>
    <row r="135" spans="2:7">
      <c r="B135" s="218"/>
      <c r="C135" s="231" t="s">
        <v>142</v>
      </c>
      <c r="D135" s="224" t="s">
        <v>66</v>
      </c>
      <c r="E135" s="225">
        <v>1</v>
      </c>
      <c r="F135" s="1603">
        <v>0</v>
      </c>
      <c r="G135" s="230">
        <f t="shared" si="6"/>
        <v>0</v>
      </c>
    </row>
    <row r="136" spans="2:7">
      <c r="B136" s="218"/>
      <c r="C136" s="231" t="s">
        <v>143</v>
      </c>
      <c r="D136" s="224" t="s">
        <v>66</v>
      </c>
      <c r="E136" s="225">
        <v>1</v>
      </c>
      <c r="F136" s="1603">
        <v>0</v>
      </c>
      <c r="G136" s="230">
        <f t="shared" si="6"/>
        <v>0</v>
      </c>
    </row>
    <row r="137" spans="2:7">
      <c r="B137" s="218"/>
      <c r="C137" s="231" t="s">
        <v>2250</v>
      </c>
      <c r="D137" s="224" t="s">
        <v>66</v>
      </c>
      <c r="E137" s="225">
        <v>1</v>
      </c>
      <c r="F137" s="1603">
        <v>0</v>
      </c>
      <c r="G137" s="230">
        <f t="shared" si="6"/>
        <v>0</v>
      </c>
    </row>
    <row r="138" spans="2:7">
      <c r="B138" s="218"/>
      <c r="C138" s="231" t="s">
        <v>145</v>
      </c>
      <c r="D138" s="224" t="s">
        <v>66</v>
      </c>
      <c r="E138" s="225">
        <v>1</v>
      </c>
      <c r="F138" s="1603">
        <v>0</v>
      </c>
      <c r="G138" s="230">
        <f t="shared" si="6"/>
        <v>0</v>
      </c>
    </row>
    <row r="139" spans="2:7">
      <c r="B139" s="218"/>
      <c r="C139" s="231" t="s">
        <v>146</v>
      </c>
      <c r="D139" s="224" t="s">
        <v>66</v>
      </c>
      <c r="E139" s="225">
        <v>1</v>
      </c>
      <c r="F139" s="1603">
        <v>0</v>
      </c>
      <c r="G139" s="230">
        <f t="shared" si="6"/>
        <v>0</v>
      </c>
    </row>
    <row r="140" spans="2:7">
      <c r="B140" s="218"/>
      <c r="C140" s="739" t="s">
        <v>147</v>
      </c>
      <c r="D140" s="224" t="s">
        <v>66</v>
      </c>
      <c r="E140" s="225">
        <v>1</v>
      </c>
      <c r="F140" s="1603">
        <v>0</v>
      </c>
      <c r="G140" s="230">
        <f t="shared" si="6"/>
        <v>0</v>
      </c>
    </row>
    <row r="141" spans="2:7">
      <c r="B141" s="218"/>
      <c r="C141" s="739" t="s">
        <v>188</v>
      </c>
      <c r="D141" s="224" t="s">
        <v>66</v>
      </c>
      <c r="E141" s="225">
        <v>1</v>
      </c>
      <c r="F141" s="1603">
        <v>0</v>
      </c>
      <c r="G141" s="230">
        <f t="shared" si="6"/>
        <v>0</v>
      </c>
    </row>
    <row r="142" spans="2:7">
      <c r="B142" s="218"/>
      <c r="C142" s="739" t="s">
        <v>132</v>
      </c>
      <c r="D142" s="224" t="s">
        <v>66</v>
      </c>
      <c r="E142" s="225">
        <v>2</v>
      </c>
      <c r="F142" s="1603">
        <v>0</v>
      </c>
      <c r="G142" s="230">
        <f t="shared" si="6"/>
        <v>0</v>
      </c>
    </row>
    <row r="143" spans="2:7">
      <c r="B143" s="218"/>
      <c r="C143" s="739" t="s">
        <v>148</v>
      </c>
      <c r="D143" s="224" t="s">
        <v>66</v>
      </c>
      <c r="E143" s="225">
        <v>2</v>
      </c>
      <c r="F143" s="1603">
        <v>0</v>
      </c>
      <c r="G143" s="230">
        <f t="shared" si="6"/>
        <v>0</v>
      </c>
    </row>
    <row r="144" spans="2:7">
      <c r="B144" s="218"/>
      <c r="C144" s="739" t="s">
        <v>149</v>
      </c>
      <c r="D144" s="224" t="s">
        <v>66</v>
      </c>
      <c r="E144" s="225">
        <v>1</v>
      </c>
      <c r="F144" s="1603">
        <v>0</v>
      </c>
      <c r="G144" s="230">
        <f t="shared" si="6"/>
        <v>0</v>
      </c>
    </row>
    <row r="145" spans="2:7">
      <c r="B145" s="218"/>
      <c r="C145" s="739" t="s">
        <v>150</v>
      </c>
      <c r="D145" s="224" t="s">
        <v>66</v>
      </c>
      <c r="E145" s="225">
        <v>3</v>
      </c>
      <c r="F145" s="1603">
        <v>0</v>
      </c>
      <c r="G145" s="230">
        <f t="shared" si="6"/>
        <v>0</v>
      </c>
    </row>
    <row r="146" spans="2:7">
      <c r="B146" s="218"/>
      <c r="C146" s="740" t="s">
        <v>135</v>
      </c>
      <c r="D146" s="224" t="s">
        <v>66</v>
      </c>
      <c r="E146" s="225">
        <v>1</v>
      </c>
      <c r="F146" s="1603">
        <v>0</v>
      </c>
      <c r="G146" s="230">
        <f t="shared" si="6"/>
        <v>0</v>
      </c>
    </row>
    <row r="147" spans="2:7">
      <c r="B147" s="201" t="s">
        <v>159</v>
      </c>
      <c r="C147" s="212" t="s">
        <v>152</v>
      </c>
      <c r="D147" s="213"/>
      <c r="E147" s="214"/>
      <c r="F147" s="215"/>
      <c r="G147" s="216"/>
    </row>
    <row r="148" spans="2:7">
      <c r="B148" s="218"/>
      <c r="C148" s="212" t="s">
        <v>153</v>
      </c>
      <c r="D148" s="735"/>
      <c r="E148" s="736"/>
      <c r="F148" s="1601"/>
      <c r="G148" s="1121"/>
    </row>
    <row r="149" spans="2:7">
      <c r="B149" s="218"/>
      <c r="C149" s="219" t="s">
        <v>129</v>
      </c>
      <c r="D149" s="213" t="s">
        <v>66</v>
      </c>
      <c r="E149" s="214">
        <v>1</v>
      </c>
      <c r="F149" s="1599">
        <v>0</v>
      </c>
      <c r="G149" s="221">
        <f t="shared" ref="G149:G159" si="7">E149*F149</f>
        <v>0</v>
      </c>
    </row>
    <row r="150" spans="2:7" ht="24">
      <c r="B150" s="218"/>
      <c r="C150" s="222" t="s">
        <v>154</v>
      </c>
      <c r="D150" s="213" t="s">
        <v>66</v>
      </c>
      <c r="E150" s="214">
        <v>1</v>
      </c>
      <c r="F150" s="1599">
        <v>0</v>
      </c>
      <c r="G150" s="221">
        <f t="shared" si="7"/>
        <v>0</v>
      </c>
    </row>
    <row r="151" spans="2:7">
      <c r="B151" s="218"/>
      <c r="C151" s="222" t="s">
        <v>155</v>
      </c>
      <c r="D151" s="213" t="s">
        <v>66</v>
      </c>
      <c r="E151" s="214">
        <v>1</v>
      </c>
      <c r="F151" s="1599">
        <v>0</v>
      </c>
      <c r="G151" s="221">
        <f t="shared" si="7"/>
        <v>0</v>
      </c>
    </row>
    <row r="152" spans="2:7">
      <c r="B152" s="218"/>
      <c r="C152" s="222" t="s">
        <v>330</v>
      </c>
      <c r="D152" s="213" t="s">
        <v>66</v>
      </c>
      <c r="E152" s="214">
        <v>1</v>
      </c>
      <c r="F152" s="1599">
        <v>0</v>
      </c>
      <c r="G152" s="221">
        <f t="shared" si="7"/>
        <v>0</v>
      </c>
    </row>
    <row r="153" spans="2:7">
      <c r="B153" s="218"/>
      <c r="C153" s="222" t="s">
        <v>157</v>
      </c>
      <c r="D153" s="213" t="s">
        <v>66</v>
      </c>
      <c r="E153" s="214">
        <v>1</v>
      </c>
      <c r="F153" s="1599">
        <v>0</v>
      </c>
      <c r="G153" s="221">
        <f t="shared" si="7"/>
        <v>0</v>
      </c>
    </row>
    <row r="154" spans="2:7">
      <c r="B154" s="218"/>
      <c r="C154" s="234" t="s">
        <v>158</v>
      </c>
      <c r="D154" s="213" t="s">
        <v>66</v>
      </c>
      <c r="E154" s="214">
        <v>1</v>
      </c>
      <c r="F154" s="1599">
        <v>0</v>
      </c>
      <c r="G154" s="221">
        <f t="shared" si="7"/>
        <v>0</v>
      </c>
    </row>
    <row r="155" spans="2:7">
      <c r="B155" s="218"/>
      <c r="C155" s="234" t="s">
        <v>190</v>
      </c>
      <c r="D155" s="213" t="s">
        <v>66</v>
      </c>
      <c r="E155" s="214">
        <v>1</v>
      </c>
      <c r="F155" s="1599">
        <v>0</v>
      </c>
      <c r="G155" s="221">
        <f t="shared" si="7"/>
        <v>0</v>
      </c>
    </row>
    <row r="156" spans="2:7">
      <c r="B156" s="218"/>
      <c r="C156" s="234" t="s">
        <v>132</v>
      </c>
      <c r="D156" s="213" t="s">
        <v>66</v>
      </c>
      <c r="E156" s="214">
        <v>2</v>
      </c>
      <c r="F156" s="1599">
        <v>0</v>
      </c>
      <c r="G156" s="221">
        <f t="shared" si="7"/>
        <v>0</v>
      </c>
    </row>
    <row r="157" spans="2:7">
      <c r="B157" s="218"/>
      <c r="C157" s="234" t="s">
        <v>148</v>
      </c>
      <c r="D157" s="213" t="s">
        <v>66</v>
      </c>
      <c r="E157" s="214">
        <v>2</v>
      </c>
      <c r="F157" s="1599">
        <v>0</v>
      </c>
      <c r="G157" s="221">
        <f t="shared" si="7"/>
        <v>0</v>
      </c>
    </row>
    <row r="158" spans="2:7">
      <c r="B158" s="218"/>
      <c r="C158" s="234" t="s">
        <v>150</v>
      </c>
      <c r="D158" s="213" t="s">
        <v>66</v>
      </c>
      <c r="E158" s="214">
        <v>1</v>
      </c>
      <c r="F158" s="1599">
        <v>0</v>
      </c>
      <c r="G158" s="221">
        <f t="shared" si="7"/>
        <v>0</v>
      </c>
    </row>
    <row r="159" spans="2:7">
      <c r="B159" s="218"/>
      <c r="C159" s="235" t="s">
        <v>135</v>
      </c>
      <c r="D159" s="213" t="s">
        <v>66</v>
      </c>
      <c r="E159" s="214">
        <v>1</v>
      </c>
      <c r="F159" s="1599">
        <v>0</v>
      </c>
      <c r="G159" s="221">
        <f t="shared" si="7"/>
        <v>0</v>
      </c>
    </row>
    <row r="160" spans="2:7" ht="24">
      <c r="B160" s="199" t="s">
        <v>331</v>
      </c>
      <c r="C160" s="212" t="s">
        <v>332</v>
      </c>
      <c r="D160" s="735" t="s">
        <v>66</v>
      </c>
      <c r="E160" s="736">
        <v>1</v>
      </c>
      <c r="F160" s="220">
        <v>0</v>
      </c>
      <c r="G160" s="221">
        <f>E160*F160</f>
        <v>0</v>
      </c>
    </row>
    <row r="161" spans="2:7">
      <c r="B161" s="201" t="s">
        <v>168</v>
      </c>
      <c r="C161" s="223" t="s">
        <v>886</v>
      </c>
      <c r="D161" s="224"/>
      <c r="E161" s="225"/>
      <c r="F161" s="226"/>
      <c r="G161" s="227"/>
    </row>
    <row r="162" spans="2:7">
      <c r="B162" s="218"/>
      <c r="C162" s="223" t="s">
        <v>196</v>
      </c>
      <c r="D162" s="737"/>
      <c r="E162" s="738"/>
      <c r="F162" s="1605"/>
      <c r="G162" s="1646"/>
    </row>
    <row r="163" spans="2:7" ht="24">
      <c r="B163" s="218"/>
      <c r="C163" s="228" t="s">
        <v>2248</v>
      </c>
      <c r="D163" s="224" t="s">
        <v>66</v>
      </c>
      <c r="E163" s="225">
        <v>2</v>
      </c>
      <c r="F163" s="1768">
        <v>0</v>
      </c>
      <c r="G163" s="1714">
        <f t="shared" ref="G163:G177" si="8">E163*F163</f>
        <v>0</v>
      </c>
    </row>
    <row r="164" spans="2:7">
      <c r="B164" s="218"/>
      <c r="C164" s="232" t="s">
        <v>132</v>
      </c>
      <c r="D164" s="224" t="s">
        <v>66</v>
      </c>
      <c r="E164" s="225">
        <v>6</v>
      </c>
      <c r="F164" s="1768">
        <v>0</v>
      </c>
      <c r="G164" s="1714">
        <f t="shared" si="8"/>
        <v>0</v>
      </c>
    </row>
    <row r="165" spans="2:7">
      <c r="B165" s="218"/>
      <c r="C165" s="232" t="s">
        <v>148</v>
      </c>
      <c r="D165" s="224" t="s">
        <v>66</v>
      </c>
      <c r="E165" s="225">
        <v>6</v>
      </c>
      <c r="F165" s="1768">
        <v>0</v>
      </c>
      <c r="G165" s="1714">
        <f t="shared" si="8"/>
        <v>0</v>
      </c>
    </row>
    <row r="166" spans="2:7">
      <c r="B166" s="218"/>
      <c r="C166" s="232" t="s">
        <v>150</v>
      </c>
      <c r="D166" s="224" t="s">
        <v>66</v>
      </c>
      <c r="E166" s="225">
        <v>2</v>
      </c>
      <c r="F166" s="1768">
        <v>0</v>
      </c>
      <c r="G166" s="1714">
        <f t="shared" si="8"/>
        <v>0</v>
      </c>
    </row>
    <row r="167" spans="2:7">
      <c r="B167" s="218"/>
      <c r="C167" s="233" t="s">
        <v>135</v>
      </c>
      <c r="D167" s="224" t="s">
        <v>66</v>
      </c>
      <c r="E167" s="225">
        <v>2</v>
      </c>
      <c r="F167" s="1768">
        <v>0</v>
      </c>
      <c r="G167" s="1714">
        <f t="shared" si="8"/>
        <v>0</v>
      </c>
    </row>
    <row r="168" spans="2:7">
      <c r="B168" s="218"/>
      <c r="C168" s="223" t="s">
        <v>228</v>
      </c>
      <c r="D168" s="737"/>
      <c r="E168" s="738"/>
      <c r="F168" s="1768"/>
      <c r="G168" s="1714"/>
    </row>
    <row r="169" spans="2:7" ht="24">
      <c r="B169" s="218"/>
      <c r="C169" s="228" t="s">
        <v>2247</v>
      </c>
      <c r="D169" s="224" t="s">
        <v>66</v>
      </c>
      <c r="E169" s="225">
        <v>2</v>
      </c>
      <c r="F169" s="1768">
        <v>0</v>
      </c>
      <c r="G169" s="1714">
        <f t="shared" si="8"/>
        <v>0</v>
      </c>
    </row>
    <row r="170" spans="2:7">
      <c r="B170" s="218"/>
      <c r="C170" s="739" t="s">
        <v>132</v>
      </c>
      <c r="D170" s="224" t="s">
        <v>66</v>
      </c>
      <c r="E170" s="225">
        <v>4</v>
      </c>
      <c r="F170" s="1768">
        <v>0</v>
      </c>
      <c r="G170" s="1714">
        <f t="shared" si="8"/>
        <v>0</v>
      </c>
    </row>
    <row r="171" spans="2:7">
      <c r="B171" s="218"/>
      <c r="C171" s="739" t="s">
        <v>166</v>
      </c>
      <c r="D171" s="224" t="s">
        <v>66</v>
      </c>
      <c r="E171" s="225">
        <v>2</v>
      </c>
      <c r="F171" s="1768">
        <v>0</v>
      </c>
      <c r="G171" s="1714">
        <f t="shared" si="8"/>
        <v>0</v>
      </c>
    </row>
    <row r="172" spans="2:7">
      <c r="B172" s="218"/>
      <c r="C172" s="739" t="s">
        <v>148</v>
      </c>
      <c r="D172" s="224" t="s">
        <v>66</v>
      </c>
      <c r="E172" s="225">
        <v>4</v>
      </c>
      <c r="F172" s="1768">
        <v>0</v>
      </c>
      <c r="G172" s="1714">
        <f t="shared" si="8"/>
        <v>0</v>
      </c>
    </row>
    <row r="173" spans="2:7">
      <c r="B173" s="218"/>
      <c r="C173" s="739" t="s">
        <v>167</v>
      </c>
      <c r="D173" s="224" t="s">
        <v>66</v>
      </c>
      <c r="E173" s="225">
        <v>2</v>
      </c>
      <c r="F173" s="1768">
        <v>0</v>
      </c>
      <c r="G173" s="1714">
        <f t="shared" si="8"/>
        <v>0</v>
      </c>
    </row>
    <row r="174" spans="2:7">
      <c r="B174" s="218"/>
      <c r="C174" s="739" t="s">
        <v>229</v>
      </c>
      <c r="D174" s="224" t="s">
        <v>66</v>
      </c>
      <c r="E174" s="225">
        <v>2</v>
      </c>
      <c r="F174" s="1768">
        <v>0</v>
      </c>
      <c r="G174" s="1714">
        <f t="shared" si="8"/>
        <v>0</v>
      </c>
    </row>
    <row r="175" spans="2:7">
      <c r="B175" s="218"/>
      <c r="C175" s="739" t="s">
        <v>230</v>
      </c>
      <c r="D175" s="224" t="s">
        <v>66</v>
      </c>
      <c r="E175" s="225">
        <v>2</v>
      </c>
      <c r="F175" s="1768">
        <v>0</v>
      </c>
      <c r="G175" s="1714">
        <f t="shared" si="8"/>
        <v>0</v>
      </c>
    </row>
    <row r="176" spans="2:7">
      <c r="B176" s="218"/>
      <c r="C176" s="739" t="s">
        <v>150</v>
      </c>
      <c r="D176" s="224" t="s">
        <v>66</v>
      </c>
      <c r="E176" s="225">
        <v>2</v>
      </c>
      <c r="F176" s="1768">
        <v>0</v>
      </c>
      <c r="G176" s="1714">
        <f t="shared" si="8"/>
        <v>0</v>
      </c>
    </row>
    <row r="177" spans="2:8">
      <c r="B177" s="218"/>
      <c r="C177" s="740" t="s">
        <v>135</v>
      </c>
      <c r="D177" s="224" t="s">
        <v>66</v>
      </c>
      <c r="E177" s="225">
        <v>2</v>
      </c>
      <c r="F177" s="1768">
        <v>0</v>
      </c>
      <c r="G177" s="1714">
        <f t="shared" si="8"/>
        <v>0</v>
      </c>
    </row>
    <row r="178" spans="2:8">
      <c r="B178" s="218"/>
      <c r="C178" s="223" t="s">
        <v>1395</v>
      </c>
      <c r="D178" s="737"/>
      <c r="E178" s="738"/>
      <c r="F178" s="1605"/>
      <c r="G178" s="1646"/>
    </row>
    <row r="179" spans="2:8" s="217" customFormat="1">
      <c r="B179" s="218"/>
      <c r="C179" s="1655" t="s">
        <v>230</v>
      </c>
      <c r="D179" s="224" t="s">
        <v>66</v>
      </c>
      <c r="E179" s="225">
        <v>1</v>
      </c>
      <c r="F179" s="1768">
        <v>0</v>
      </c>
      <c r="G179" s="1714">
        <f t="shared" ref="G179:G181" si="9">E179*F179</f>
        <v>0</v>
      </c>
      <c r="H179" s="1703"/>
    </row>
    <row r="180" spans="2:8" s="217" customFormat="1">
      <c r="B180" s="218"/>
      <c r="C180" s="1655" t="s">
        <v>2255</v>
      </c>
      <c r="D180" s="224" t="s">
        <v>66</v>
      </c>
      <c r="E180" s="225">
        <v>1</v>
      </c>
      <c r="F180" s="1768">
        <v>0</v>
      </c>
      <c r="G180" s="1714">
        <f t="shared" si="9"/>
        <v>0</v>
      </c>
      <c r="H180" s="1703"/>
    </row>
    <row r="181" spans="2:8" s="217" customFormat="1">
      <c r="B181" s="218"/>
      <c r="C181" s="1655" t="s">
        <v>1444</v>
      </c>
      <c r="D181" s="224" t="s">
        <v>66</v>
      </c>
      <c r="E181" s="225">
        <v>1</v>
      </c>
      <c r="F181" s="1768">
        <v>0</v>
      </c>
      <c r="G181" s="1714">
        <f t="shared" si="9"/>
        <v>0</v>
      </c>
      <c r="H181" s="1703"/>
    </row>
    <row r="182" spans="2:8">
      <c r="B182" s="201" t="s">
        <v>172</v>
      </c>
      <c r="C182" s="238" t="s">
        <v>169</v>
      </c>
      <c r="D182" s="239"/>
      <c r="E182" s="240"/>
      <c r="F182" s="241"/>
      <c r="G182" s="242"/>
    </row>
    <row r="183" spans="2:8">
      <c r="B183" s="218"/>
      <c r="C183" s="238" t="s">
        <v>170</v>
      </c>
      <c r="D183" s="153"/>
      <c r="E183" s="741"/>
      <c r="F183" s="1649"/>
      <c r="G183" s="263"/>
    </row>
    <row r="184" spans="2:8" ht="36">
      <c r="B184" s="218"/>
      <c r="C184" s="243" t="s">
        <v>2246</v>
      </c>
      <c r="D184" s="239" t="s">
        <v>66</v>
      </c>
      <c r="E184" s="240">
        <v>4</v>
      </c>
      <c r="F184" s="1649">
        <v>0</v>
      </c>
      <c r="G184" s="245">
        <f t="shared" ref="G184:G187" si="10">E184*F184</f>
        <v>0</v>
      </c>
    </row>
    <row r="185" spans="2:8">
      <c r="B185" s="218"/>
      <c r="C185" s="1129" t="s">
        <v>171</v>
      </c>
      <c r="D185" s="239" t="s">
        <v>66</v>
      </c>
      <c r="E185" s="240">
        <v>4</v>
      </c>
      <c r="F185" s="1649">
        <v>0</v>
      </c>
      <c r="G185" s="245">
        <f t="shared" si="10"/>
        <v>0</v>
      </c>
    </row>
    <row r="186" spans="2:8">
      <c r="B186" s="218"/>
      <c r="C186" s="1130" t="s">
        <v>135</v>
      </c>
      <c r="D186" s="239" t="s">
        <v>66</v>
      </c>
      <c r="E186" s="240">
        <v>4</v>
      </c>
      <c r="F186" s="1649">
        <v>0</v>
      </c>
      <c r="G186" s="245">
        <f t="shared" si="10"/>
        <v>0</v>
      </c>
    </row>
    <row r="187" spans="2:8">
      <c r="B187" s="218"/>
      <c r="C187" s="1130" t="s">
        <v>891</v>
      </c>
      <c r="D187" s="239" t="s">
        <v>66</v>
      </c>
      <c r="E187" s="240">
        <v>4</v>
      </c>
      <c r="F187" s="1649">
        <v>0</v>
      </c>
      <c r="G187" s="245">
        <f t="shared" si="10"/>
        <v>0</v>
      </c>
    </row>
    <row r="188" spans="2:8">
      <c r="B188" s="218"/>
      <c r="C188" s="238" t="s">
        <v>234</v>
      </c>
      <c r="D188" s="153"/>
      <c r="E188" s="741"/>
      <c r="F188" s="1649"/>
      <c r="G188" s="263"/>
    </row>
    <row r="189" spans="2:8" ht="36">
      <c r="B189" s="218"/>
      <c r="C189" s="243" t="s">
        <v>2245</v>
      </c>
      <c r="D189" s="239" t="s">
        <v>66</v>
      </c>
      <c r="E189" s="240">
        <v>18</v>
      </c>
      <c r="F189" s="1649">
        <v>0</v>
      </c>
      <c r="G189" s="245">
        <f t="shared" ref="G189:G192" si="11">E189*F189</f>
        <v>0</v>
      </c>
    </row>
    <row r="190" spans="2:8">
      <c r="B190" s="218"/>
      <c r="C190" s="246" t="s">
        <v>171</v>
      </c>
      <c r="D190" s="239" t="s">
        <v>66</v>
      </c>
      <c r="E190" s="240">
        <v>18</v>
      </c>
      <c r="F190" s="1649">
        <v>0</v>
      </c>
      <c r="G190" s="245">
        <f t="shared" si="11"/>
        <v>0</v>
      </c>
    </row>
    <row r="191" spans="2:8">
      <c r="B191" s="218"/>
      <c r="C191" s="247" t="s">
        <v>135</v>
      </c>
      <c r="D191" s="239" t="s">
        <v>66</v>
      </c>
      <c r="E191" s="240">
        <v>18</v>
      </c>
      <c r="F191" s="1649">
        <v>0</v>
      </c>
      <c r="G191" s="245">
        <f t="shared" si="11"/>
        <v>0</v>
      </c>
    </row>
    <row r="192" spans="2:8">
      <c r="B192" s="218"/>
      <c r="C192" s="1130" t="s">
        <v>891</v>
      </c>
      <c r="D192" s="239" t="s">
        <v>66</v>
      </c>
      <c r="E192" s="240">
        <v>18</v>
      </c>
      <c r="F192" s="1649">
        <v>0</v>
      </c>
      <c r="G192" s="245">
        <f t="shared" si="11"/>
        <v>0</v>
      </c>
    </row>
    <row r="193" spans="2:7">
      <c r="B193" s="201" t="s">
        <v>340</v>
      </c>
      <c r="C193" s="742" t="s">
        <v>173</v>
      </c>
      <c r="D193" s="743"/>
      <c r="E193" s="744"/>
      <c r="F193" s="1131"/>
      <c r="G193" s="1132"/>
    </row>
    <row r="194" spans="2:7" ht="60">
      <c r="B194" s="218"/>
      <c r="C194" s="745" t="s">
        <v>174</v>
      </c>
      <c r="D194" s="746" t="s">
        <v>66</v>
      </c>
      <c r="E194" s="747">
        <v>1</v>
      </c>
      <c r="F194" s="1617">
        <v>0</v>
      </c>
      <c r="G194" s="1132">
        <f t="shared" ref="G194" si="12">E194*F194</f>
        <v>0</v>
      </c>
    </row>
    <row r="195" spans="2:7">
      <c r="B195" s="258" t="s">
        <v>47</v>
      </c>
      <c r="C195" s="259" t="s">
        <v>1396</v>
      </c>
      <c r="D195" s="260"/>
      <c r="E195" s="261"/>
      <c r="F195" s="262"/>
      <c r="G195" s="263">
        <f>SUM(G80:G194)</f>
        <v>0</v>
      </c>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E8B5-46B1-448A-8A94-9D29F2DECD22}">
  <sheetPr>
    <tabColor rgb="FF00B0F0"/>
  </sheetPr>
  <dimension ref="A2:Y260"/>
  <sheetViews>
    <sheetView showZeros="0" topLeftCell="A28" zoomScale="110" zoomScaleNormal="110" zoomScaleSheetLayoutView="115" workbookViewId="0">
      <selection activeCell="B30" sqref="B30:B38"/>
    </sheetView>
  </sheetViews>
  <sheetFormatPr defaultColWidth="10.42578125" defaultRowHeight="12.75"/>
  <cols>
    <col min="1" max="1" width="4.42578125" style="1" customWidth="1"/>
    <col min="2" max="2" width="9.5703125" style="67" customWidth="1"/>
    <col min="3" max="3" width="41.42578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1404</v>
      </c>
      <c r="D4" s="76"/>
      <c r="E4" s="77"/>
      <c r="F4" s="674"/>
      <c r="G4" s="79"/>
      <c r="H4" s="37"/>
    </row>
    <row r="5" spans="1:25" s="73" customFormat="1" ht="12" customHeight="1">
      <c r="B5" s="80"/>
      <c r="C5" s="81"/>
      <c r="D5" s="82"/>
      <c r="E5" s="83"/>
      <c r="F5" s="675"/>
      <c r="G5" s="85"/>
      <c r="H5" s="37"/>
    </row>
    <row r="6" spans="1:25" s="86" customFormat="1" ht="21" customHeight="1">
      <c r="B6" s="676" t="s">
        <v>37</v>
      </c>
      <c r="C6" s="677" t="s">
        <v>1405</v>
      </c>
      <c r="D6" s="678"/>
      <c r="E6" s="679"/>
      <c r="F6" s="680"/>
      <c r="G6" s="681"/>
      <c r="H6" s="27"/>
    </row>
    <row r="7" spans="1:25" s="86" customFormat="1" ht="21" customHeight="1">
      <c r="B7" s="80"/>
      <c r="C7" s="81"/>
      <c r="D7" s="82"/>
      <c r="E7" s="83"/>
      <c r="F7" s="675"/>
      <c r="G7" s="88"/>
      <c r="H7" s="27"/>
    </row>
    <row r="8" spans="1:25" s="86" customFormat="1" ht="14.25">
      <c r="B8" s="682" t="s">
        <v>551</v>
      </c>
      <c r="C8" s="683" t="s">
        <v>1406</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G68</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G260</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2616</v>
      </c>
      <c r="F26" s="1082">
        <v>0</v>
      </c>
      <c r="G26" s="1083">
        <f t="shared" ref="G26" si="0">E26*F26</f>
        <v>0</v>
      </c>
    </row>
    <row r="27" spans="2:25">
      <c r="B27" s="125">
        <v>2</v>
      </c>
      <c r="C27" s="144" t="s">
        <v>58</v>
      </c>
      <c r="D27" s="140" t="s">
        <v>57</v>
      </c>
      <c r="E27" s="1081">
        <f>E26</f>
        <v>2616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36">
      <c r="B31" s="125">
        <v>6</v>
      </c>
      <c r="C31" s="1084" t="s">
        <v>63</v>
      </c>
      <c r="D31" s="140" t="s">
        <v>57</v>
      </c>
      <c r="E31" s="1081">
        <f>E26</f>
        <v>2616</v>
      </c>
      <c r="F31" s="1082">
        <v>0</v>
      </c>
      <c r="G31" s="1083">
        <f t="shared" si="1"/>
        <v>0</v>
      </c>
    </row>
    <row r="32" spans="2:25" ht="54.75" customHeight="1">
      <c r="B32" s="125">
        <v>7</v>
      </c>
      <c r="C32" s="1084" t="s">
        <v>64</v>
      </c>
      <c r="D32" s="146" t="s">
        <v>60</v>
      </c>
      <c r="E32" s="1081">
        <v>1</v>
      </c>
      <c r="F32" s="1082">
        <v>0</v>
      </c>
      <c r="G32" s="1083">
        <f t="shared" si="1"/>
        <v>0</v>
      </c>
    </row>
    <row r="33" spans="1:25" ht="55.5" customHeight="1">
      <c r="B33" s="125">
        <v>8</v>
      </c>
      <c r="C33" s="1080" t="s">
        <v>2292</v>
      </c>
      <c r="D33" s="146" t="s">
        <v>66</v>
      </c>
      <c r="E33" s="1081">
        <v>43</v>
      </c>
      <c r="F33" s="1082">
        <v>0</v>
      </c>
      <c r="G33" s="1083">
        <f t="shared" si="1"/>
        <v>0</v>
      </c>
    </row>
    <row r="34" spans="1:25" ht="36">
      <c r="B34" s="125">
        <v>9</v>
      </c>
      <c r="C34" s="1080" t="s">
        <v>2295</v>
      </c>
      <c r="D34" s="146" t="s">
        <v>57</v>
      </c>
      <c r="E34" s="1081">
        <f>E26+E88+E89</f>
        <v>3589</v>
      </c>
      <c r="F34" s="1082">
        <v>0</v>
      </c>
      <c r="G34" s="1083">
        <f t="shared" si="1"/>
        <v>0</v>
      </c>
    </row>
    <row r="35" spans="1:25" ht="24">
      <c r="B35" s="125">
        <v>10</v>
      </c>
      <c r="C35" s="1080" t="s">
        <v>2293</v>
      </c>
      <c r="D35" s="146" t="s">
        <v>57</v>
      </c>
      <c r="E35" s="1081">
        <f>E26+E88+E89</f>
        <v>3589</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100</v>
      </c>
      <c r="F46" s="1092">
        <v>0</v>
      </c>
      <c r="G46" s="1093">
        <f t="shared" ref="G46:G66"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706.32</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4002.48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3924</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2616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3139.2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1569.6000000000001</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55</v>
      </c>
      <c r="F53" s="1092">
        <v>0</v>
      </c>
      <c r="G53" s="1083">
        <f t="shared" si="2"/>
        <v>0</v>
      </c>
      <c r="I53" s="1"/>
      <c r="J53" s="1"/>
      <c r="K53" s="1"/>
      <c r="L53" s="1"/>
      <c r="M53" s="1"/>
      <c r="N53" s="1"/>
      <c r="O53" s="1"/>
      <c r="P53" s="1"/>
      <c r="Q53" s="1"/>
      <c r="R53" s="1"/>
      <c r="S53" s="1"/>
      <c r="T53" s="1"/>
      <c r="U53" s="1"/>
      <c r="V53" s="1"/>
      <c r="W53" s="1"/>
      <c r="X53" s="1"/>
      <c r="Y53" s="1"/>
    </row>
    <row r="54" spans="1:25" s="8" customFormat="1" ht="29.25" customHeight="1">
      <c r="A54" s="1"/>
      <c r="B54" s="167">
        <v>9</v>
      </c>
      <c r="C54" s="1095" t="s">
        <v>1391</v>
      </c>
      <c r="D54" s="140" t="s">
        <v>78</v>
      </c>
      <c r="E54" s="1094">
        <f>E26*1.2</f>
        <v>3139.2</v>
      </c>
      <c r="F54" s="1092">
        <v>0</v>
      </c>
      <c r="G54" s="1083">
        <f t="shared" si="2"/>
        <v>0</v>
      </c>
      <c r="I54" s="1"/>
      <c r="J54" s="1"/>
      <c r="K54" s="1"/>
      <c r="L54" s="1"/>
      <c r="M54" s="1"/>
      <c r="N54" s="1"/>
      <c r="O54" s="1"/>
      <c r="P54" s="1"/>
      <c r="Q54" s="1"/>
      <c r="R54" s="1"/>
      <c r="S54" s="1"/>
      <c r="T54" s="1"/>
      <c r="U54" s="1"/>
      <c r="V54" s="1"/>
      <c r="W54" s="1"/>
      <c r="X54" s="1"/>
      <c r="Y54" s="1"/>
    </row>
    <row r="55" spans="1:25" s="8" customFormat="1" ht="51" customHeight="1">
      <c r="A55" s="1"/>
      <c r="B55" s="717">
        <v>10</v>
      </c>
      <c r="C55" s="397" t="s">
        <v>879</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167">
        <v>11</v>
      </c>
      <c r="C56" s="397" t="s">
        <v>1392</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63.75" customHeight="1">
      <c r="A57" s="1"/>
      <c r="B57" s="717">
        <v>12</v>
      </c>
      <c r="C57" s="397" t="s">
        <v>254</v>
      </c>
      <c r="D57" s="145" t="s">
        <v>78</v>
      </c>
      <c r="E57" s="128">
        <v>10</v>
      </c>
      <c r="F57" s="1092">
        <v>0</v>
      </c>
      <c r="G57" s="142">
        <f>F57*E57</f>
        <v>0</v>
      </c>
      <c r="I57" s="1"/>
      <c r="J57" s="1"/>
      <c r="K57" s="1"/>
      <c r="L57" s="1"/>
      <c r="M57" s="1"/>
      <c r="N57" s="1"/>
      <c r="O57" s="1"/>
      <c r="P57" s="1"/>
      <c r="Q57" s="1"/>
      <c r="R57" s="1"/>
      <c r="S57" s="1"/>
      <c r="T57" s="1"/>
      <c r="U57" s="1"/>
      <c r="V57" s="1"/>
      <c r="W57" s="1"/>
      <c r="X57" s="1"/>
      <c r="Y57" s="1"/>
    </row>
    <row r="58" spans="1:25" s="8" customFormat="1" ht="54" customHeight="1">
      <c r="A58" s="1"/>
      <c r="B58" s="167">
        <v>13</v>
      </c>
      <c r="C58" s="144" t="s">
        <v>260</v>
      </c>
      <c r="D58" s="145" t="s">
        <v>78</v>
      </c>
      <c r="E58" s="1094">
        <v>10</v>
      </c>
      <c r="F58" s="1092">
        <v>0</v>
      </c>
      <c r="G58" s="1083">
        <f t="shared" si="2"/>
        <v>0</v>
      </c>
      <c r="I58" s="1"/>
      <c r="J58" s="1"/>
      <c r="K58" s="1"/>
      <c r="L58" s="1"/>
      <c r="M58" s="1"/>
      <c r="N58" s="1"/>
      <c r="O58" s="1"/>
      <c r="P58" s="1"/>
      <c r="Q58" s="1"/>
      <c r="R58" s="1"/>
      <c r="S58" s="1"/>
      <c r="T58" s="1"/>
      <c r="U58" s="1"/>
      <c r="V58" s="1"/>
      <c r="W58" s="1"/>
      <c r="X58" s="1"/>
      <c r="Y58" s="1"/>
    </row>
    <row r="59" spans="1:25" s="8" customFormat="1" ht="14.25" customHeight="1">
      <c r="A59" s="1"/>
      <c r="B59" s="717">
        <v>14</v>
      </c>
      <c r="C59" s="139" t="s">
        <v>264</v>
      </c>
      <c r="D59" s="145" t="s">
        <v>74</v>
      </c>
      <c r="E59" s="128">
        <f>E47+E48+(E54*0.06)-E51</f>
        <v>1757.9520000000002</v>
      </c>
      <c r="F59" s="1092">
        <v>0</v>
      </c>
      <c r="G59" s="142">
        <f t="shared" si="2"/>
        <v>0</v>
      </c>
      <c r="I59" s="1"/>
      <c r="J59" s="1"/>
      <c r="K59" s="1"/>
      <c r="L59" s="1"/>
      <c r="M59" s="1"/>
      <c r="N59" s="1"/>
      <c r="O59" s="1"/>
      <c r="P59" s="1"/>
      <c r="Q59" s="1"/>
      <c r="R59" s="1"/>
      <c r="S59" s="1"/>
      <c r="T59" s="1"/>
      <c r="U59" s="1"/>
      <c r="V59" s="1"/>
      <c r="W59" s="1"/>
      <c r="X59" s="1"/>
      <c r="Y59" s="1"/>
    </row>
    <row r="60" spans="1:25" s="8" customFormat="1">
      <c r="A60" s="1"/>
      <c r="B60" s="167">
        <v>15</v>
      </c>
      <c r="C60" s="139" t="s">
        <v>265</v>
      </c>
      <c r="D60" s="145" t="s">
        <v>74</v>
      </c>
      <c r="E60" s="128">
        <f>E59</f>
        <v>1757.9520000000002</v>
      </c>
      <c r="F60" s="1092">
        <v>0</v>
      </c>
      <c r="G60" s="142">
        <f t="shared" si="2"/>
        <v>0</v>
      </c>
      <c r="I60" s="1"/>
      <c r="J60" s="1"/>
      <c r="K60" s="1"/>
      <c r="L60" s="1"/>
      <c r="M60" s="1"/>
      <c r="N60" s="1"/>
      <c r="O60" s="1"/>
      <c r="P60" s="1"/>
      <c r="Q60" s="1"/>
      <c r="R60" s="1"/>
      <c r="S60" s="1"/>
      <c r="T60" s="1"/>
      <c r="U60" s="1"/>
      <c r="V60" s="1"/>
      <c r="W60" s="1"/>
      <c r="X60" s="1"/>
      <c r="Y60" s="1"/>
    </row>
    <row r="61" spans="1:25" s="8" customFormat="1" ht="24">
      <c r="A61" s="1"/>
      <c r="B61" s="717">
        <v>16</v>
      </c>
      <c r="C61" s="126" t="s">
        <v>95</v>
      </c>
      <c r="D61" s="140" t="s">
        <v>74</v>
      </c>
      <c r="E61" s="1094">
        <f>E26*0.75*0.1</f>
        <v>196.20000000000002</v>
      </c>
      <c r="F61" s="1092">
        <v>0</v>
      </c>
      <c r="G61" s="1083">
        <f t="shared" si="2"/>
        <v>0</v>
      </c>
      <c r="I61" s="1"/>
      <c r="J61" s="1"/>
      <c r="K61" s="1"/>
      <c r="L61" s="1"/>
      <c r="M61" s="1"/>
      <c r="N61" s="1"/>
      <c r="O61" s="1"/>
      <c r="P61" s="1"/>
      <c r="Q61" s="1"/>
      <c r="R61" s="1"/>
      <c r="S61" s="1"/>
      <c r="T61" s="1"/>
      <c r="U61" s="1"/>
      <c r="V61" s="1"/>
      <c r="W61" s="1"/>
      <c r="X61" s="1"/>
      <c r="Y61" s="1"/>
    </row>
    <row r="62" spans="1:25" s="8" customFormat="1" ht="48">
      <c r="A62" s="1"/>
      <c r="B62" s="167">
        <v>17</v>
      </c>
      <c r="C62" s="1096" t="s">
        <v>1393</v>
      </c>
      <c r="D62" s="182" t="s">
        <v>74</v>
      </c>
      <c r="E62" s="1097">
        <v>15</v>
      </c>
      <c r="F62" s="1092">
        <v>0</v>
      </c>
      <c r="G62" s="1083">
        <f t="shared" si="2"/>
        <v>0</v>
      </c>
      <c r="I62" s="1"/>
      <c r="J62" s="1"/>
      <c r="K62" s="1"/>
      <c r="L62" s="1"/>
      <c r="M62" s="1"/>
      <c r="N62" s="1"/>
      <c r="O62" s="1"/>
      <c r="P62" s="1"/>
      <c r="Q62" s="1"/>
      <c r="R62" s="1"/>
      <c r="S62" s="1"/>
      <c r="T62" s="1"/>
      <c r="U62" s="1"/>
      <c r="V62" s="1"/>
      <c r="W62" s="1"/>
      <c r="X62" s="1"/>
      <c r="Y62" s="1"/>
    </row>
    <row r="63" spans="1:25" s="8" customFormat="1" ht="39" customHeight="1">
      <c r="A63" s="1"/>
      <c r="B63" s="717">
        <v>18</v>
      </c>
      <c r="C63" s="1096" t="s">
        <v>270</v>
      </c>
      <c r="D63" s="182" t="s">
        <v>66</v>
      </c>
      <c r="E63" s="1097">
        <v>52</v>
      </c>
      <c r="F63" s="1092">
        <v>0</v>
      </c>
      <c r="G63" s="1083">
        <f t="shared" si="2"/>
        <v>0</v>
      </c>
      <c r="I63" s="1"/>
      <c r="J63" s="1"/>
      <c r="K63" s="1"/>
      <c r="L63" s="1"/>
      <c r="M63" s="1"/>
      <c r="N63" s="1"/>
      <c r="O63" s="1"/>
      <c r="P63" s="1"/>
      <c r="Q63" s="1"/>
      <c r="R63" s="1"/>
      <c r="S63" s="1"/>
      <c r="T63" s="1"/>
      <c r="U63" s="1"/>
      <c r="V63" s="1"/>
      <c r="W63" s="1"/>
      <c r="X63" s="1"/>
      <c r="Y63" s="1"/>
    </row>
    <row r="64" spans="1:25" s="8" customFormat="1" ht="36">
      <c r="A64" s="1"/>
      <c r="B64" s="167">
        <v>19</v>
      </c>
      <c r="C64" s="1096" t="s">
        <v>99</v>
      </c>
      <c r="D64" s="182" t="s">
        <v>74</v>
      </c>
      <c r="E64" s="1097">
        <v>5</v>
      </c>
      <c r="F64" s="1092">
        <v>0</v>
      </c>
      <c r="G64" s="1083">
        <f t="shared" si="2"/>
        <v>0</v>
      </c>
      <c r="I64" s="1"/>
      <c r="J64" s="1"/>
      <c r="K64" s="1"/>
      <c r="L64" s="1"/>
      <c r="M64" s="1"/>
      <c r="N64" s="1"/>
      <c r="O64" s="1"/>
      <c r="P64" s="1"/>
      <c r="Q64" s="1"/>
      <c r="R64" s="1"/>
      <c r="S64" s="1"/>
      <c r="T64" s="1"/>
      <c r="U64" s="1"/>
      <c r="V64" s="1"/>
      <c r="W64" s="1"/>
      <c r="X64" s="1"/>
      <c r="Y64" s="1"/>
    </row>
    <row r="65" spans="1:25" s="8" customFormat="1" ht="27.75" customHeight="1">
      <c r="A65" s="1"/>
      <c r="B65" s="717">
        <v>20</v>
      </c>
      <c r="C65" s="1096" t="s">
        <v>100</v>
      </c>
      <c r="D65" s="182" t="s">
        <v>65</v>
      </c>
      <c r="E65" s="1097">
        <v>40</v>
      </c>
      <c r="F65" s="1092">
        <v>0</v>
      </c>
      <c r="G65" s="1083">
        <f t="shared" si="2"/>
        <v>0</v>
      </c>
      <c r="I65" s="1"/>
      <c r="J65" s="1"/>
      <c r="K65" s="1"/>
      <c r="L65" s="1"/>
      <c r="M65" s="1"/>
      <c r="N65" s="1"/>
      <c r="O65" s="1"/>
      <c r="P65" s="1"/>
      <c r="Q65" s="1"/>
      <c r="R65" s="1"/>
      <c r="S65" s="1"/>
      <c r="T65" s="1"/>
      <c r="U65" s="1"/>
      <c r="V65" s="1"/>
      <c r="W65" s="1"/>
      <c r="X65" s="1"/>
      <c r="Y65" s="1"/>
    </row>
    <row r="66" spans="1:25" s="8" customFormat="1" ht="48">
      <c r="A66" s="1"/>
      <c r="B66" s="167">
        <v>21</v>
      </c>
      <c r="C66" s="139" t="s">
        <v>1394</v>
      </c>
      <c r="D66" s="140" t="s">
        <v>78</v>
      </c>
      <c r="E66" s="1091">
        <f>(E26/2)*1</f>
        <v>1308</v>
      </c>
      <c r="F66" s="1092">
        <v>0</v>
      </c>
      <c r="G66" s="1093">
        <f t="shared" si="2"/>
        <v>0</v>
      </c>
      <c r="I66" s="1"/>
      <c r="J66" s="1"/>
      <c r="K66" s="1"/>
      <c r="L66" s="1"/>
      <c r="M66" s="1"/>
      <c r="N66" s="1"/>
      <c r="O66" s="1"/>
      <c r="P66" s="1"/>
      <c r="Q66" s="1"/>
      <c r="R66" s="1"/>
      <c r="S66" s="1"/>
      <c r="T66" s="1"/>
      <c r="U66" s="1"/>
      <c r="V66" s="1"/>
      <c r="W66" s="1"/>
      <c r="X66" s="1"/>
      <c r="Y66" s="1"/>
    </row>
    <row r="67" spans="1:25" s="8" customFormat="1">
      <c r="A67" s="1"/>
      <c r="B67" s="167"/>
      <c r="C67" s="1098"/>
      <c r="D67" s="1099"/>
      <c r="E67" s="1100"/>
      <c r="F67" s="1101"/>
      <c r="G67" s="1102"/>
      <c r="I67" s="1"/>
      <c r="J67" s="1"/>
      <c r="K67" s="1"/>
      <c r="L67" s="1"/>
      <c r="M67" s="1"/>
      <c r="N67" s="1"/>
      <c r="O67" s="1"/>
      <c r="P67" s="1"/>
      <c r="Q67" s="1"/>
      <c r="R67" s="1"/>
      <c r="S67" s="1"/>
      <c r="T67" s="1"/>
      <c r="U67" s="1"/>
      <c r="V67" s="1"/>
      <c r="W67" s="1"/>
      <c r="X67" s="1"/>
      <c r="Y67" s="1"/>
    </row>
    <row r="68" spans="1:25" s="8" customFormat="1">
      <c r="A68" s="1"/>
      <c r="B68" s="151" t="s">
        <v>45</v>
      </c>
      <c r="C68" s="1086" t="s">
        <v>101</v>
      </c>
      <c r="D68" s="1103"/>
      <c r="E68" s="1088"/>
      <c r="F68" s="1089"/>
      <c r="G68" s="263">
        <f>SUM(G46:G66)</f>
        <v>0</v>
      </c>
      <c r="I68" s="1"/>
      <c r="J68" s="1"/>
      <c r="K68" s="1"/>
      <c r="L68" s="1"/>
      <c r="M68" s="1"/>
      <c r="N68" s="1"/>
      <c r="O68" s="1"/>
      <c r="P68" s="1"/>
      <c r="Q68" s="1"/>
      <c r="R68" s="1"/>
      <c r="S68" s="1"/>
      <c r="T68" s="1"/>
      <c r="U68" s="1"/>
      <c r="V68" s="1"/>
      <c r="W68" s="1"/>
      <c r="X68" s="1"/>
      <c r="Y68" s="1"/>
    </row>
    <row r="69" spans="1:25" s="8" customFormat="1">
      <c r="A69" s="1"/>
      <c r="B69" s="67"/>
      <c r="C69" s="68"/>
      <c r="D69" s="69"/>
      <c r="E69" s="1104"/>
      <c r="F69" s="1105"/>
      <c r="G69" s="1106"/>
      <c r="I69" s="1"/>
      <c r="J69" s="1"/>
      <c r="K69" s="1"/>
      <c r="L69" s="1"/>
      <c r="M69" s="1"/>
      <c r="N69" s="1"/>
      <c r="O69" s="1"/>
      <c r="P69" s="1"/>
      <c r="Q69" s="1"/>
      <c r="R69" s="1"/>
      <c r="S69" s="1"/>
      <c r="T69" s="1"/>
      <c r="U69" s="1"/>
      <c r="V69" s="1"/>
      <c r="W69" s="1"/>
      <c r="X69" s="1"/>
      <c r="Y69" s="1"/>
    </row>
    <row r="70" spans="1:25" s="8" customFormat="1" ht="24">
      <c r="A70" s="1"/>
      <c r="B70" s="119" t="s">
        <v>50</v>
      </c>
      <c r="C70" s="120" t="s">
        <v>51</v>
      </c>
      <c r="D70" s="121" t="s">
        <v>52</v>
      </c>
      <c r="E70" s="122" t="s">
        <v>53</v>
      </c>
      <c r="F70" s="123" t="s">
        <v>54</v>
      </c>
      <c r="G70" s="124" t="s">
        <v>55</v>
      </c>
      <c r="I70" s="1"/>
      <c r="J70" s="1"/>
      <c r="K70" s="1"/>
      <c r="L70" s="1"/>
      <c r="M70" s="1"/>
      <c r="N70" s="1"/>
      <c r="O70" s="1"/>
      <c r="P70" s="1"/>
      <c r="Q70" s="1"/>
      <c r="R70" s="1"/>
      <c r="S70" s="1"/>
      <c r="T70" s="1"/>
      <c r="U70" s="1"/>
      <c r="V70" s="1"/>
      <c r="W70" s="1"/>
      <c r="X70" s="1"/>
      <c r="Y70" s="1"/>
    </row>
    <row r="71" spans="1:25" s="8" customFormat="1">
      <c r="A71" s="1"/>
      <c r="B71" s="125"/>
      <c r="C71" s="126"/>
      <c r="D71" s="127"/>
      <c r="E71" s="719"/>
      <c r="F71" s="1107"/>
      <c r="G71" s="731"/>
      <c r="I71" s="1"/>
      <c r="J71" s="1"/>
      <c r="K71" s="1"/>
      <c r="L71" s="1"/>
      <c r="M71" s="1"/>
      <c r="N71" s="1"/>
      <c r="O71" s="1"/>
      <c r="P71" s="1"/>
      <c r="Q71" s="1"/>
      <c r="R71" s="1"/>
      <c r="S71" s="1"/>
      <c r="T71" s="1"/>
      <c r="U71" s="1"/>
      <c r="V71" s="1"/>
      <c r="W71" s="1"/>
      <c r="X71" s="1"/>
      <c r="Y71" s="1"/>
    </row>
    <row r="72" spans="1:25"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row>
    <row r="73" spans="1:25" s="8" customFormat="1">
      <c r="A73" s="1"/>
      <c r="B73" s="1108" t="s">
        <v>38</v>
      </c>
      <c r="C73" s="1109"/>
      <c r="D73" s="1110"/>
      <c r="E73" s="1109"/>
      <c r="F73" s="1109"/>
      <c r="G73" s="1110"/>
      <c r="I73" s="1"/>
      <c r="J73" s="1"/>
      <c r="K73" s="1"/>
      <c r="L73" s="1"/>
      <c r="M73" s="1"/>
      <c r="N73" s="1"/>
      <c r="O73" s="1"/>
      <c r="P73" s="1"/>
      <c r="Q73" s="1"/>
      <c r="R73" s="1"/>
      <c r="S73" s="1"/>
      <c r="T73" s="1"/>
      <c r="U73" s="1"/>
      <c r="V73" s="1"/>
      <c r="W73" s="1"/>
      <c r="X73" s="1"/>
      <c r="Y73" s="1"/>
    </row>
    <row r="74" spans="1:25" s="8" customFormat="1">
      <c r="A74" s="1"/>
      <c r="B74" s="1111" t="s">
        <v>39</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1108" t="s">
        <v>4</v>
      </c>
      <c r="C75" s="1109"/>
      <c r="D75" s="1114"/>
      <c r="E75" s="1109"/>
      <c r="F75" s="1109"/>
      <c r="G75" s="1110"/>
      <c r="I75" s="1"/>
      <c r="J75" s="1"/>
      <c r="K75" s="1"/>
      <c r="L75" s="1"/>
      <c r="M75" s="1"/>
      <c r="N75" s="1"/>
      <c r="O75" s="1"/>
      <c r="P75" s="1"/>
      <c r="Q75" s="1"/>
      <c r="R75" s="1"/>
      <c r="S75" s="1"/>
      <c r="T75" s="1"/>
      <c r="U75" s="1"/>
      <c r="V75" s="1"/>
      <c r="W75" s="1"/>
      <c r="X75" s="1"/>
      <c r="Y75" s="1"/>
    </row>
    <row r="76" spans="1:25" s="8" customFormat="1">
      <c r="A76" s="1"/>
      <c r="B76" s="1111" t="s">
        <v>5</v>
      </c>
      <c r="C76" s="1112"/>
      <c r="D76" s="1112"/>
      <c r="E76" s="1112"/>
      <c r="F76" s="1112"/>
      <c r="G76" s="1113"/>
      <c r="I76" s="1"/>
      <c r="J76" s="1"/>
      <c r="K76" s="1"/>
      <c r="L76" s="1"/>
      <c r="M76" s="1"/>
      <c r="N76" s="1"/>
      <c r="O76" s="1"/>
      <c r="P76" s="1"/>
      <c r="Q76" s="1"/>
      <c r="R76" s="1"/>
      <c r="S76" s="1"/>
      <c r="T76" s="1"/>
      <c r="U76" s="1"/>
      <c r="V76" s="1"/>
      <c r="W76" s="1"/>
      <c r="X76" s="1"/>
      <c r="Y76" s="1"/>
    </row>
    <row r="77" spans="1:25" s="8" customFormat="1">
      <c r="A77" s="1"/>
      <c r="B77" s="2399" t="s">
        <v>271</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2399" t="s">
        <v>104</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2399" t="s">
        <v>105</v>
      </c>
      <c r="C79" s="2400"/>
      <c r="D79" s="2400"/>
      <c r="E79" s="2400"/>
      <c r="F79" s="2400"/>
      <c r="G79" s="2401"/>
      <c r="I79" s="1"/>
      <c r="J79" s="1"/>
      <c r="K79" s="1"/>
      <c r="L79" s="1"/>
      <c r="M79" s="1"/>
      <c r="N79" s="1"/>
      <c r="O79" s="1"/>
      <c r="P79" s="1"/>
      <c r="Q79" s="1"/>
      <c r="R79" s="1"/>
      <c r="S79" s="1"/>
      <c r="T79" s="1"/>
      <c r="U79" s="1"/>
      <c r="V79" s="1"/>
      <c r="W79" s="1"/>
      <c r="X79" s="1"/>
      <c r="Y79" s="1"/>
    </row>
    <row r="80" spans="1:25" s="8" customFormat="1" ht="21" customHeight="1">
      <c r="A80" s="1"/>
      <c r="B80" s="2604" t="s">
        <v>1407</v>
      </c>
      <c r="C80" s="2605"/>
      <c r="D80" s="2605"/>
      <c r="E80" s="2605"/>
      <c r="F80" s="2605"/>
      <c r="G80" s="2606"/>
      <c r="I80" s="1"/>
      <c r="J80" s="1"/>
      <c r="K80" s="1"/>
      <c r="L80" s="1"/>
      <c r="M80" s="1"/>
      <c r="N80" s="1"/>
      <c r="O80" s="1"/>
      <c r="P80" s="1"/>
      <c r="Q80" s="1"/>
      <c r="R80" s="1"/>
      <c r="S80" s="1"/>
      <c r="T80" s="1"/>
      <c r="U80" s="1"/>
      <c r="V80" s="1"/>
      <c r="W80" s="1"/>
      <c r="X80" s="1"/>
      <c r="Y80" s="1"/>
    </row>
    <row r="81" spans="2:10" ht="24">
      <c r="B81" s="188">
        <v>1</v>
      </c>
      <c r="C81" s="189" t="s">
        <v>106</v>
      </c>
      <c r="D81" s="190"/>
      <c r="E81" s="719"/>
      <c r="F81" s="1107"/>
      <c r="G81" s="731"/>
    </row>
    <row r="82" spans="2:10">
      <c r="B82" s="191"/>
      <c r="C82" s="271" t="s">
        <v>179</v>
      </c>
      <c r="D82" s="190" t="s">
        <v>57</v>
      </c>
      <c r="E82" s="719">
        <f>1641*0.9</f>
        <v>1476.9</v>
      </c>
      <c r="F82" s="1092">
        <v>0</v>
      </c>
      <c r="G82" s="1093">
        <f>E82*F82</f>
        <v>0</v>
      </c>
    </row>
    <row r="83" spans="2:10">
      <c r="B83" s="191"/>
      <c r="C83" s="271" t="s">
        <v>180</v>
      </c>
      <c r="D83" s="190" t="s">
        <v>57</v>
      </c>
      <c r="E83" s="719">
        <f>1641*0.1</f>
        <v>164.10000000000002</v>
      </c>
      <c r="F83" s="1092">
        <v>0</v>
      </c>
      <c r="G83" s="1093">
        <f>E83*F83</f>
        <v>0</v>
      </c>
    </row>
    <row r="84" spans="2:10">
      <c r="B84" s="191"/>
      <c r="C84" s="192" t="s">
        <v>107</v>
      </c>
      <c r="D84" s="190" t="s">
        <v>57</v>
      </c>
      <c r="E84" s="719">
        <f>15*0.9</f>
        <v>13.5</v>
      </c>
      <c r="F84" s="1092">
        <v>0</v>
      </c>
      <c r="G84" s="1093">
        <f>E84*F84</f>
        <v>0</v>
      </c>
    </row>
    <row r="85" spans="2:10" ht="24">
      <c r="B85" s="191"/>
      <c r="C85" s="192" t="s">
        <v>884</v>
      </c>
      <c r="D85" s="190" t="s">
        <v>57</v>
      </c>
      <c r="E85" s="719">
        <f>15*0.1</f>
        <v>1.5</v>
      </c>
      <c r="F85" s="1092">
        <v>0</v>
      </c>
      <c r="G85" s="1093">
        <f>E85*F85</f>
        <v>0</v>
      </c>
      <c r="J85" s="1118"/>
    </row>
    <row r="86" spans="2:10">
      <c r="B86" s="191"/>
      <c r="C86" s="192" t="s">
        <v>226</v>
      </c>
      <c r="D86" s="190" t="s">
        <v>57</v>
      </c>
      <c r="E86" s="719">
        <f>960*0.9</f>
        <v>864</v>
      </c>
      <c r="F86" s="1092">
        <v>0</v>
      </c>
      <c r="G86" s="1093">
        <f t="shared" ref="G86:G89" si="3">E86*F86</f>
        <v>0</v>
      </c>
      <c r="J86" s="1118"/>
    </row>
    <row r="87" spans="2:10" ht="24">
      <c r="B87" s="191"/>
      <c r="C87" s="192" t="s">
        <v>227</v>
      </c>
      <c r="D87" s="190" t="s">
        <v>57</v>
      </c>
      <c r="E87" s="719">
        <f>960*0.1</f>
        <v>96</v>
      </c>
      <c r="F87" s="1092">
        <v>0</v>
      </c>
      <c r="G87" s="1093">
        <f t="shared" si="3"/>
        <v>0</v>
      </c>
      <c r="J87" s="1119"/>
    </row>
    <row r="88" spans="2:10">
      <c r="B88" s="191"/>
      <c r="C88" s="192" t="s">
        <v>109</v>
      </c>
      <c r="D88" s="190" t="s">
        <v>57</v>
      </c>
      <c r="E88" s="719">
        <f>973*0.9</f>
        <v>875.7</v>
      </c>
      <c r="F88" s="1092">
        <v>0</v>
      </c>
      <c r="G88" s="1093">
        <f t="shared" si="3"/>
        <v>0</v>
      </c>
    </row>
    <row r="89" spans="2:10" ht="24">
      <c r="B89" s="191"/>
      <c r="C89" s="192" t="s">
        <v>110</v>
      </c>
      <c r="D89" s="190" t="s">
        <v>57</v>
      </c>
      <c r="E89" s="719">
        <f>973*0.1</f>
        <v>97.300000000000011</v>
      </c>
      <c r="F89" s="1092">
        <v>0</v>
      </c>
      <c r="G89" s="1093">
        <f t="shared" si="3"/>
        <v>0</v>
      </c>
    </row>
    <row r="90" spans="2:10" ht="36">
      <c r="B90" s="2404" t="s">
        <v>111</v>
      </c>
      <c r="C90" s="193" t="s">
        <v>112</v>
      </c>
      <c r="D90" s="194"/>
      <c r="E90" s="719"/>
      <c r="F90" s="1092"/>
      <c r="G90" s="1093"/>
    </row>
    <row r="91" spans="2:10">
      <c r="B91" s="2405"/>
      <c r="C91" s="195" t="s">
        <v>113</v>
      </c>
      <c r="D91" s="194" t="s">
        <v>57</v>
      </c>
      <c r="E91" s="719">
        <v>40</v>
      </c>
      <c r="F91" s="1092">
        <v>0</v>
      </c>
      <c r="G91" s="1093">
        <f>E91*F91</f>
        <v>0</v>
      </c>
    </row>
    <row r="92" spans="2:10">
      <c r="B92" s="2405"/>
      <c r="C92" s="195" t="s">
        <v>274</v>
      </c>
      <c r="D92" s="194" t="s">
        <v>57</v>
      </c>
      <c r="E92" s="719">
        <v>125</v>
      </c>
      <c r="F92" s="1092">
        <v>0</v>
      </c>
      <c r="G92" s="1093">
        <f>E92*F92</f>
        <v>0</v>
      </c>
    </row>
    <row r="93" spans="2:10">
      <c r="B93" s="2413"/>
      <c r="C93" s="195" t="s">
        <v>275</v>
      </c>
      <c r="D93" s="194" t="s">
        <v>57</v>
      </c>
      <c r="E93" s="719">
        <v>108</v>
      </c>
      <c r="F93" s="1092">
        <v>0</v>
      </c>
      <c r="G93" s="1093">
        <f>E93*F93</f>
        <v>0</v>
      </c>
    </row>
    <row r="94" spans="2:10" ht="36">
      <c r="B94" s="196">
        <v>2</v>
      </c>
      <c r="C94" s="197" t="s">
        <v>114</v>
      </c>
      <c r="D94" s="145" t="s">
        <v>57</v>
      </c>
      <c r="E94" s="732">
        <f>E26</f>
        <v>2616</v>
      </c>
      <c r="F94" s="1092">
        <v>0</v>
      </c>
      <c r="G94" s="1093">
        <f t="shared" ref="G94" si="4">E94*F94</f>
        <v>0</v>
      </c>
    </row>
    <row r="95" spans="2:10" ht="36">
      <c r="B95" s="199" t="s">
        <v>115</v>
      </c>
      <c r="C95" s="197" t="s">
        <v>116</v>
      </c>
      <c r="D95" s="145" t="s">
        <v>57</v>
      </c>
      <c r="E95" s="732">
        <f>E26</f>
        <v>2616</v>
      </c>
      <c r="F95" s="1092">
        <v>0</v>
      </c>
      <c r="G95" s="1093">
        <f>E95*F95</f>
        <v>0</v>
      </c>
    </row>
    <row r="96" spans="2:10" ht="24">
      <c r="B96" s="199" t="s">
        <v>117</v>
      </c>
      <c r="C96" s="197" t="s">
        <v>118</v>
      </c>
      <c r="D96" s="145" t="s">
        <v>57</v>
      </c>
      <c r="E96" s="732">
        <f>E26</f>
        <v>2616</v>
      </c>
      <c r="F96" s="1092">
        <v>0</v>
      </c>
      <c r="G96" s="1093">
        <f>E96*F96</f>
        <v>0</v>
      </c>
    </row>
    <row r="97" spans="2:9" ht="36">
      <c r="B97" s="199" t="s">
        <v>119</v>
      </c>
      <c r="C97" s="197" t="s">
        <v>120</v>
      </c>
      <c r="D97" s="145" t="s">
        <v>57</v>
      </c>
      <c r="E97" s="732">
        <f>E26</f>
        <v>2616</v>
      </c>
      <c r="F97" s="1092">
        <v>0</v>
      </c>
      <c r="G97" s="1093">
        <f>E97*F97</f>
        <v>0</v>
      </c>
    </row>
    <row r="98" spans="2:9" ht="24">
      <c r="B98" s="188">
        <v>3</v>
      </c>
      <c r="C98" s="200" t="s">
        <v>121</v>
      </c>
      <c r="D98" s="127"/>
      <c r="E98" s="719"/>
      <c r="F98" s="1092">
        <v>0</v>
      </c>
      <c r="G98" s="731"/>
    </row>
    <row r="99" spans="2:9">
      <c r="B99" s="201" t="s">
        <v>122</v>
      </c>
      <c r="C99" s="202" t="s">
        <v>123</v>
      </c>
      <c r="D99" s="203"/>
      <c r="E99" s="204"/>
      <c r="F99" s="205"/>
      <c r="G99" s="206"/>
    </row>
    <row r="100" spans="2:9">
      <c r="B100" s="125"/>
      <c r="C100" s="202" t="s">
        <v>210</v>
      </c>
      <c r="D100" s="203"/>
      <c r="E100" s="204"/>
      <c r="F100" s="205"/>
      <c r="G100" s="206"/>
    </row>
    <row r="101" spans="2:9">
      <c r="B101" s="125"/>
      <c r="C101" s="280" t="s">
        <v>211</v>
      </c>
      <c r="D101" s="209" t="s">
        <v>66</v>
      </c>
      <c r="E101" s="204">
        <v>30</v>
      </c>
      <c r="F101" s="210">
        <v>0</v>
      </c>
      <c r="G101" s="211">
        <f>E101*F101</f>
        <v>0</v>
      </c>
      <c r="I101" s="1119"/>
    </row>
    <row r="102" spans="2:9">
      <c r="B102" s="125"/>
      <c r="C102" s="280" t="s">
        <v>212</v>
      </c>
      <c r="D102" s="209" t="s">
        <v>66</v>
      </c>
      <c r="E102" s="204">
        <v>8</v>
      </c>
      <c r="F102" s="210">
        <v>0</v>
      </c>
      <c r="G102" s="211">
        <f>E102*F102</f>
        <v>0</v>
      </c>
    </row>
    <row r="103" spans="2:9">
      <c r="B103" s="125"/>
      <c r="C103" s="280" t="s">
        <v>885</v>
      </c>
      <c r="D103" s="209" t="s">
        <v>66</v>
      </c>
      <c r="E103" s="204">
        <v>2</v>
      </c>
      <c r="F103" s="210">
        <v>0</v>
      </c>
      <c r="G103" s="211">
        <f>E103*F103</f>
        <v>0</v>
      </c>
    </row>
    <row r="104" spans="2:9">
      <c r="B104" s="125"/>
      <c r="C104" s="280" t="s">
        <v>213</v>
      </c>
      <c r="D104" s="209" t="s">
        <v>66</v>
      </c>
      <c r="E104" s="204">
        <v>2</v>
      </c>
      <c r="F104" s="210">
        <v>0</v>
      </c>
      <c r="G104" s="211">
        <f>E104*F104</f>
        <v>0</v>
      </c>
    </row>
    <row r="105" spans="2:9">
      <c r="B105" s="207"/>
      <c r="C105" s="208" t="s">
        <v>214</v>
      </c>
      <c r="D105" s="209" t="s">
        <v>66</v>
      </c>
      <c r="E105" s="204">
        <v>84</v>
      </c>
      <c r="F105" s="210">
        <v>0</v>
      </c>
      <c r="G105" s="211">
        <f>E105*F105</f>
        <v>0</v>
      </c>
    </row>
    <row r="106" spans="2:9">
      <c r="B106" s="125"/>
      <c r="C106" s="202" t="s">
        <v>124</v>
      </c>
      <c r="D106" s="203"/>
      <c r="E106" s="204"/>
      <c r="F106" s="205"/>
      <c r="G106" s="206"/>
    </row>
    <row r="107" spans="2:9">
      <c r="B107" s="207"/>
      <c r="C107" s="208" t="s">
        <v>199</v>
      </c>
      <c r="D107" s="209" t="s">
        <v>66</v>
      </c>
      <c r="E107" s="204">
        <v>2</v>
      </c>
      <c r="F107" s="210">
        <v>0</v>
      </c>
      <c r="G107" s="211">
        <f>E107*F107</f>
        <v>0</v>
      </c>
    </row>
    <row r="108" spans="2:9">
      <c r="B108" s="207"/>
      <c r="C108" s="208" t="s">
        <v>125</v>
      </c>
      <c r="D108" s="209" t="s">
        <v>66</v>
      </c>
      <c r="E108" s="204">
        <v>2</v>
      </c>
      <c r="F108" s="210">
        <v>0</v>
      </c>
      <c r="G108" s="211">
        <f>E108*F108</f>
        <v>0</v>
      </c>
    </row>
    <row r="109" spans="2:9">
      <c r="B109" s="125"/>
      <c r="C109" s="202" t="s">
        <v>311</v>
      </c>
      <c r="D109" s="203"/>
      <c r="E109" s="204"/>
      <c r="F109" s="205"/>
      <c r="G109" s="206"/>
    </row>
    <row r="110" spans="2:9">
      <c r="B110" s="207"/>
      <c r="C110" s="208" t="s">
        <v>312</v>
      </c>
      <c r="D110" s="209" t="s">
        <v>66</v>
      </c>
      <c r="E110" s="204">
        <v>4</v>
      </c>
      <c r="F110" s="210">
        <v>0</v>
      </c>
      <c r="G110" s="211">
        <f>E110*F110</f>
        <v>0</v>
      </c>
    </row>
    <row r="111" spans="2:9">
      <c r="B111" s="207"/>
      <c r="C111" s="208" t="s">
        <v>313</v>
      </c>
      <c r="D111" s="209" t="s">
        <v>66</v>
      </c>
      <c r="E111" s="204">
        <v>2</v>
      </c>
      <c r="F111" s="210">
        <v>0</v>
      </c>
      <c r="G111" s="211">
        <f>E111*F111</f>
        <v>0</v>
      </c>
    </row>
    <row r="112" spans="2:9">
      <c r="B112" s="201" t="s">
        <v>126</v>
      </c>
      <c r="C112" s="212" t="s">
        <v>127</v>
      </c>
      <c r="D112" s="213"/>
      <c r="E112" s="214"/>
      <c r="F112" s="215">
        <v>0</v>
      </c>
      <c r="G112" s="216"/>
    </row>
    <row r="113" spans="2:7">
      <c r="B113" s="218"/>
      <c r="C113" s="212" t="s">
        <v>181</v>
      </c>
      <c r="D113" s="735"/>
      <c r="E113" s="736"/>
      <c r="F113" s="1601"/>
      <c r="G113" s="1121"/>
    </row>
    <row r="114" spans="2:7">
      <c r="B114" s="218"/>
      <c r="C114" s="219" t="s">
        <v>182</v>
      </c>
      <c r="D114" s="213" t="s">
        <v>66</v>
      </c>
      <c r="E114" s="214">
        <v>2</v>
      </c>
      <c r="F114" s="1601">
        <v>0</v>
      </c>
      <c r="G114" s="1121">
        <f t="shared" ref="G114:G140" si="5">E114*F114</f>
        <v>0</v>
      </c>
    </row>
    <row r="115" spans="2:7" ht="36">
      <c r="B115" s="218"/>
      <c r="C115" s="222" t="s">
        <v>130</v>
      </c>
      <c r="D115" s="213" t="s">
        <v>66</v>
      </c>
      <c r="E115" s="214">
        <v>2</v>
      </c>
      <c r="F115" s="1601">
        <v>0</v>
      </c>
      <c r="G115" s="1121">
        <f t="shared" si="5"/>
        <v>0</v>
      </c>
    </row>
    <row r="116" spans="2:7">
      <c r="B116" s="218"/>
      <c r="C116" s="222" t="s">
        <v>183</v>
      </c>
      <c r="D116" s="213" t="s">
        <v>66</v>
      </c>
      <c r="E116" s="214">
        <v>2</v>
      </c>
      <c r="F116" s="1601">
        <v>0</v>
      </c>
      <c r="G116" s="1121">
        <f t="shared" si="5"/>
        <v>0</v>
      </c>
    </row>
    <row r="117" spans="2:7">
      <c r="B117" s="218"/>
      <c r="C117" s="222" t="s">
        <v>131</v>
      </c>
      <c r="D117" s="213" t="s">
        <v>66</v>
      </c>
      <c r="E117" s="214">
        <v>2</v>
      </c>
      <c r="F117" s="1601">
        <v>0</v>
      </c>
      <c r="G117" s="1121">
        <f t="shared" si="5"/>
        <v>0</v>
      </c>
    </row>
    <row r="118" spans="2:7">
      <c r="B118" s="218"/>
      <c r="C118" s="234" t="s">
        <v>184</v>
      </c>
      <c r="D118" s="213" t="s">
        <v>66</v>
      </c>
      <c r="E118" s="214">
        <v>4</v>
      </c>
      <c r="F118" s="1601">
        <v>0</v>
      </c>
      <c r="G118" s="1121">
        <f t="shared" si="5"/>
        <v>0</v>
      </c>
    </row>
    <row r="119" spans="2:7">
      <c r="B119" s="218"/>
      <c r="C119" s="234" t="s">
        <v>134</v>
      </c>
      <c r="D119" s="213" t="s">
        <v>66</v>
      </c>
      <c r="E119" s="214">
        <v>2</v>
      </c>
      <c r="F119" s="1601">
        <v>0</v>
      </c>
      <c r="G119" s="1121">
        <f t="shared" si="5"/>
        <v>0</v>
      </c>
    </row>
    <row r="120" spans="2:7">
      <c r="B120" s="218"/>
      <c r="C120" s="235" t="s">
        <v>135</v>
      </c>
      <c r="D120" s="213" t="s">
        <v>66</v>
      </c>
      <c r="E120" s="214">
        <v>2</v>
      </c>
      <c r="F120" s="1601">
        <v>0</v>
      </c>
      <c r="G120" s="1121">
        <f t="shared" si="5"/>
        <v>0</v>
      </c>
    </row>
    <row r="121" spans="2:7">
      <c r="B121" s="218"/>
      <c r="C121" s="212" t="s">
        <v>128</v>
      </c>
      <c r="D121" s="735"/>
      <c r="E121" s="736"/>
      <c r="F121" s="1601"/>
      <c r="G121" s="1121"/>
    </row>
    <row r="122" spans="2:7">
      <c r="B122" s="218"/>
      <c r="C122" s="219" t="s">
        <v>129</v>
      </c>
      <c r="D122" s="213" t="s">
        <v>66</v>
      </c>
      <c r="E122" s="214">
        <v>1</v>
      </c>
      <c r="F122" s="1601">
        <v>0</v>
      </c>
      <c r="G122" s="1121">
        <f t="shared" si="5"/>
        <v>0</v>
      </c>
    </row>
    <row r="123" spans="2:7" ht="36">
      <c r="B123" s="218"/>
      <c r="C123" s="222" t="s">
        <v>130</v>
      </c>
      <c r="D123" s="213" t="s">
        <v>66</v>
      </c>
      <c r="E123" s="214">
        <v>1</v>
      </c>
      <c r="F123" s="1601">
        <v>0</v>
      </c>
      <c r="G123" s="1121">
        <f t="shared" si="5"/>
        <v>0</v>
      </c>
    </row>
    <row r="124" spans="2:7">
      <c r="B124" s="218"/>
      <c r="C124" s="222" t="s">
        <v>183</v>
      </c>
      <c r="D124" s="213" t="s">
        <v>66</v>
      </c>
      <c r="E124" s="214">
        <v>1</v>
      </c>
      <c r="F124" s="1601">
        <v>0</v>
      </c>
      <c r="G124" s="1121">
        <f t="shared" si="5"/>
        <v>0</v>
      </c>
    </row>
    <row r="125" spans="2:7">
      <c r="B125" s="218"/>
      <c r="C125" s="222" t="s">
        <v>131</v>
      </c>
      <c r="D125" s="213" t="s">
        <v>66</v>
      </c>
      <c r="E125" s="214">
        <v>1</v>
      </c>
      <c r="F125" s="1601">
        <v>0</v>
      </c>
      <c r="G125" s="1121">
        <f t="shared" si="5"/>
        <v>0</v>
      </c>
    </row>
    <row r="126" spans="2:7">
      <c r="B126" s="218"/>
      <c r="C126" s="222" t="s">
        <v>132</v>
      </c>
      <c r="D126" s="213" t="s">
        <v>66</v>
      </c>
      <c r="E126" s="214">
        <v>2</v>
      </c>
      <c r="F126" s="1601">
        <v>0</v>
      </c>
      <c r="G126" s="1121">
        <f t="shared" si="5"/>
        <v>0</v>
      </c>
    </row>
    <row r="127" spans="2:7">
      <c r="B127" s="218"/>
      <c r="C127" s="222" t="s">
        <v>133</v>
      </c>
      <c r="D127" s="213" t="s">
        <v>66</v>
      </c>
      <c r="E127" s="214">
        <v>2</v>
      </c>
      <c r="F127" s="1601">
        <v>0</v>
      </c>
      <c r="G127" s="1121">
        <f t="shared" si="5"/>
        <v>0</v>
      </c>
    </row>
    <row r="128" spans="2:7">
      <c r="B128" s="218"/>
      <c r="C128" s="222" t="s">
        <v>134</v>
      </c>
      <c r="D128" s="213" t="s">
        <v>66</v>
      </c>
      <c r="E128" s="214">
        <v>1</v>
      </c>
      <c r="F128" s="1601">
        <v>0</v>
      </c>
      <c r="G128" s="1121">
        <f t="shared" si="5"/>
        <v>0</v>
      </c>
    </row>
    <row r="129" spans="2:7">
      <c r="B129" s="218"/>
      <c r="C129" s="222" t="s">
        <v>135</v>
      </c>
      <c r="D129" s="213" t="s">
        <v>66</v>
      </c>
      <c r="E129" s="214">
        <v>1</v>
      </c>
      <c r="F129" s="1601">
        <v>0</v>
      </c>
      <c r="G129" s="1121">
        <f t="shared" si="5"/>
        <v>0</v>
      </c>
    </row>
    <row r="130" spans="2:7">
      <c r="B130" s="218"/>
      <c r="C130" s="212" t="s">
        <v>318</v>
      </c>
      <c r="D130" s="735"/>
      <c r="E130" s="736"/>
      <c r="F130" s="1601"/>
      <c r="G130" s="1121"/>
    </row>
    <row r="131" spans="2:7">
      <c r="B131" s="218"/>
      <c r="C131" s="219" t="s">
        <v>319</v>
      </c>
      <c r="D131" s="213" t="s">
        <v>66</v>
      </c>
      <c r="E131" s="214">
        <v>2</v>
      </c>
      <c r="F131" s="1601">
        <v>0</v>
      </c>
      <c r="G131" s="1121">
        <f t="shared" si="5"/>
        <v>0</v>
      </c>
    </row>
    <row r="132" spans="2:7" ht="36">
      <c r="B132" s="218"/>
      <c r="C132" s="222" t="s">
        <v>283</v>
      </c>
      <c r="D132" s="213" t="s">
        <v>66</v>
      </c>
      <c r="E132" s="214">
        <v>2</v>
      </c>
      <c r="F132" s="1601">
        <v>0</v>
      </c>
      <c r="G132" s="1121">
        <f t="shared" si="5"/>
        <v>0</v>
      </c>
    </row>
    <row r="133" spans="2:7">
      <c r="B133" s="218"/>
      <c r="C133" s="222" t="s">
        <v>183</v>
      </c>
      <c r="D133" s="213" t="s">
        <v>66</v>
      </c>
      <c r="E133" s="214">
        <v>2</v>
      </c>
      <c r="F133" s="1601">
        <v>0</v>
      </c>
      <c r="G133" s="1121">
        <f t="shared" si="5"/>
        <v>0</v>
      </c>
    </row>
    <row r="134" spans="2:7">
      <c r="B134" s="218"/>
      <c r="C134" s="222" t="s">
        <v>131</v>
      </c>
      <c r="D134" s="213" t="s">
        <v>66</v>
      </c>
      <c r="E134" s="214">
        <v>2</v>
      </c>
      <c r="F134" s="1601">
        <v>0</v>
      </c>
      <c r="G134" s="1121">
        <f t="shared" si="5"/>
        <v>0</v>
      </c>
    </row>
    <row r="135" spans="2:7">
      <c r="B135" s="218"/>
      <c r="C135" s="1133" t="s">
        <v>166</v>
      </c>
      <c r="D135" s="213" t="s">
        <v>66</v>
      </c>
      <c r="E135" s="214">
        <v>4</v>
      </c>
      <c r="F135" s="1601">
        <v>0</v>
      </c>
      <c r="G135" s="1121">
        <f t="shared" si="5"/>
        <v>0</v>
      </c>
    </row>
    <row r="136" spans="2:7">
      <c r="B136" s="218"/>
      <c r="C136" s="1133" t="s">
        <v>167</v>
      </c>
      <c r="D136" s="213" t="s">
        <v>66</v>
      </c>
      <c r="E136" s="214">
        <v>4</v>
      </c>
      <c r="F136" s="1601">
        <v>0</v>
      </c>
      <c r="G136" s="1121">
        <f t="shared" si="5"/>
        <v>0</v>
      </c>
    </row>
    <row r="137" spans="2:7">
      <c r="B137" s="218"/>
      <c r="C137" s="1133" t="s">
        <v>229</v>
      </c>
      <c r="D137" s="213" t="s">
        <v>66</v>
      </c>
      <c r="E137" s="214">
        <v>4</v>
      </c>
      <c r="F137" s="1601">
        <v>0</v>
      </c>
      <c r="G137" s="1121">
        <f t="shared" si="5"/>
        <v>0</v>
      </c>
    </row>
    <row r="138" spans="2:7">
      <c r="B138" s="218"/>
      <c r="C138" s="1133" t="s">
        <v>230</v>
      </c>
      <c r="D138" s="213" t="s">
        <v>66</v>
      </c>
      <c r="E138" s="214">
        <v>4</v>
      </c>
      <c r="F138" s="1601">
        <v>0</v>
      </c>
      <c r="G138" s="1121">
        <f t="shared" si="5"/>
        <v>0</v>
      </c>
    </row>
    <row r="139" spans="2:7">
      <c r="B139" s="218"/>
      <c r="C139" s="1133" t="s">
        <v>134</v>
      </c>
      <c r="D139" s="213" t="s">
        <v>66</v>
      </c>
      <c r="E139" s="214">
        <v>2</v>
      </c>
      <c r="F139" s="1601">
        <v>0</v>
      </c>
      <c r="G139" s="1121">
        <f t="shared" si="5"/>
        <v>0</v>
      </c>
    </row>
    <row r="140" spans="2:7">
      <c r="B140" s="218"/>
      <c r="C140" s="1134" t="s">
        <v>135</v>
      </c>
      <c r="D140" s="213" t="s">
        <v>66</v>
      </c>
      <c r="E140" s="214">
        <v>2</v>
      </c>
      <c r="F140" s="1601">
        <v>0</v>
      </c>
      <c r="G140" s="1121">
        <f t="shared" si="5"/>
        <v>0</v>
      </c>
    </row>
    <row r="141" spans="2:7">
      <c r="B141" s="201" t="s">
        <v>136</v>
      </c>
      <c r="C141" s="238" t="s">
        <v>320</v>
      </c>
      <c r="D141" s="239"/>
      <c r="E141" s="240"/>
      <c r="F141" s="241"/>
      <c r="G141" s="242"/>
    </row>
    <row r="142" spans="2:7">
      <c r="B142" s="218"/>
      <c r="C142" s="238" t="s">
        <v>326</v>
      </c>
      <c r="D142" s="153"/>
      <c r="E142" s="741"/>
      <c r="F142" s="1611"/>
      <c r="G142" s="263"/>
    </row>
    <row r="143" spans="2:7" ht="27.75" customHeight="1">
      <c r="B143" s="218"/>
      <c r="C143" s="1123" t="s">
        <v>322</v>
      </c>
      <c r="D143" s="239" t="s">
        <v>66</v>
      </c>
      <c r="E143" s="240">
        <v>6</v>
      </c>
      <c r="F143" s="1609">
        <v>0</v>
      </c>
      <c r="G143" s="245">
        <f t="shared" ref="G143:G145" si="6">E143*F143</f>
        <v>0</v>
      </c>
    </row>
    <row r="144" spans="2:7">
      <c r="B144" s="218"/>
      <c r="C144" s="246" t="s">
        <v>325</v>
      </c>
      <c r="D144" s="239" t="s">
        <v>66</v>
      </c>
      <c r="E144" s="240">
        <v>6</v>
      </c>
      <c r="F144" s="1609">
        <v>0</v>
      </c>
      <c r="G144" s="245">
        <f t="shared" si="6"/>
        <v>0</v>
      </c>
    </row>
    <row r="145" spans="2:7">
      <c r="B145" s="218"/>
      <c r="C145" s="247" t="s">
        <v>135</v>
      </c>
      <c r="D145" s="239" t="s">
        <v>66</v>
      </c>
      <c r="E145" s="240">
        <v>6</v>
      </c>
      <c r="F145" s="1609">
        <v>0</v>
      </c>
      <c r="G145" s="245">
        <f t="shared" si="6"/>
        <v>0</v>
      </c>
    </row>
    <row r="146" spans="2:7">
      <c r="B146" s="201" t="s">
        <v>151</v>
      </c>
      <c r="C146" s="223" t="s">
        <v>137</v>
      </c>
      <c r="D146" s="224"/>
      <c r="E146" s="225"/>
      <c r="F146" s="226"/>
      <c r="G146" s="227"/>
    </row>
    <row r="147" spans="2:7">
      <c r="B147" s="218"/>
      <c r="C147" s="223" t="s">
        <v>185</v>
      </c>
      <c r="D147" s="737"/>
      <c r="E147" s="738"/>
      <c r="F147" s="1605"/>
      <c r="G147" s="1125"/>
    </row>
    <row r="148" spans="2:7">
      <c r="B148" s="218"/>
      <c r="C148" s="228" t="s">
        <v>186</v>
      </c>
      <c r="D148" s="224" t="s">
        <v>66</v>
      </c>
      <c r="E148" s="225">
        <v>2</v>
      </c>
      <c r="F148" s="1603">
        <v>0</v>
      </c>
      <c r="G148" s="230">
        <f t="shared" ref="G148:G179" si="7">E148*F148</f>
        <v>0</v>
      </c>
    </row>
    <row r="149" spans="2:7">
      <c r="B149" s="218"/>
      <c r="C149" s="228" t="s">
        <v>187</v>
      </c>
      <c r="D149" s="224" t="s">
        <v>66</v>
      </c>
      <c r="E149" s="225">
        <v>4</v>
      </c>
      <c r="F149" s="1603">
        <v>0</v>
      </c>
      <c r="G149" s="230">
        <f t="shared" si="7"/>
        <v>0</v>
      </c>
    </row>
    <row r="150" spans="2:7">
      <c r="B150" s="218"/>
      <c r="C150" s="231" t="s">
        <v>140</v>
      </c>
      <c r="D150" s="224" t="s">
        <v>66</v>
      </c>
      <c r="E150" s="225">
        <v>2</v>
      </c>
      <c r="F150" s="1603">
        <v>0</v>
      </c>
      <c r="G150" s="230">
        <f t="shared" si="7"/>
        <v>0</v>
      </c>
    </row>
    <row r="151" spans="2:7">
      <c r="B151" s="218"/>
      <c r="C151" s="231" t="s">
        <v>141</v>
      </c>
      <c r="D151" s="224" t="s">
        <v>66</v>
      </c>
      <c r="E151" s="225">
        <v>2</v>
      </c>
      <c r="F151" s="1603">
        <v>0</v>
      </c>
      <c r="G151" s="230">
        <f t="shared" si="7"/>
        <v>0</v>
      </c>
    </row>
    <row r="152" spans="2:7">
      <c r="B152" s="218"/>
      <c r="C152" s="231" t="s">
        <v>142</v>
      </c>
      <c r="D152" s="224" t="s">
        <v>66</v>
      </c>
      <c r="E152" s="225">
        <v>2</v>
      </c>
      <c r="F152" s="1603">
        <v>0</v>
      </c>
      <c r="G152" s="230">
        <f t="shared" si="7"/>
        <v>0</v>
      </c>
    </row>
    <row r="153" spans="2:7">
      <c r="B153" s="218"/>
      <c r="C153" s="231" t="s">
        <v>143</v>
      </c>
      <c r="D153" s="224" t="s">
        <v>66</v>
      </c>
      <c r="E153" s="225">
        <v>2</v>
      </c>
      <c r="F153" s="1603">
        <v>0</v>
      </c>
      <c r="G153" s="230">
        <f t="shared" si="7"/>
        <v>0</v>
      </c>
    </row>
    <row r="154" spans="2:7">
      <c r="B154" s="218"/>
      <c r="C154" s="231" t="s">
        <v>2250</v>
      </c>
      <c r="D154" s="224" t="s">
        <v>66</v>
      </c>
      <c r="E154" s="225">
        <v>2</v>
      </c>
      <c r="F154" s="1603">
        <v>0</v>
      </c>
      <c r="G154" s="230">
        <f t="shared" si="7"/>
        <v>0</v>
      </c>
    </row>
    <row r="155" spans="2:7">
      <c r="B155" s="218"/>
      <c r="C155" s="231" t="s">
        <v>145</v>
      </c>
      <c r="D155" s="224" t="s">
        <v>66</v>
      </c>
      <c r="E155" s="225">
        <v>2</v>
      </c>
      <c r="F155" s="1603">
        <v>0</v>
      </c>
      <c r="G155" s="230">
        <f t="shared" si="7"/>
        <v>0</v>
      </c>
    </row>
    <row r="156" spans="2:7">
      <c r="B156" s="218"/>
      <c r="C156" s="231" t="s">
        <v>146</v>
      </c>
      <c r="D156" s="224" t="s">
        <v>66</v>
      </c>
      <c r="E156" s="225">
        <v>2</v>
      </c>
      <c r="F156" s="1603">
        <v>0</v>
      </c>
      <c r="G156" s="230">
        <f t="shared" si="7"/>
        <v>0</v>
      </c>
    </row>
    <row r="157" spans="2:7">
      <c r="B157" s="218"/>
      <c r="C157" s="232" t="s">
        <v>147</v>
      </c>
      <c r="D157" s="224" t="s">
        <v>66</v>
      </c>
      <c r="E157" s="225">
        <v>2</v>
      </c>
      <c r="F157" s="1603">
        <v>0</v>
      </c>
      <c r="G157" s="230">
        <f t="shared" si="7"/>
        <v>0</v>
      </c>
    </row>
    <row r="158" spans="2:7">
      <c r="B158" s="218"/>
      <c r="C158" s="232" t="s">
        <v>188</v>
      </c>
      <c r="D158" s="224" t="s">
        <v>66</v>
      </c>
      <c r="E158" s="225">
        <v>2</v>
      </c>
      <c r="F158" s="1603">
        <v>0</v>
      </c>
      <c r="G158" s="230">
        <f t="shared" si="7"/>
        <v>0</v>
      </c>
    </row>
    <row r="159" spans="2:7">
      <c r="B159" s="218"/>
      <c r="C159" s="232" t="s">
        <v>184</v>
      </c>
      <c r="D159" s="224" t="s">
        <v>66</v>
      </c>
      <c r="E159" s="225">
        <v>4</v>
      </c>
      <c r="F159" s="1603">
        <v>0</v>
      </c>
      <c r="G159" s="230">
        <f t="shared" si="7"/>
        <v>0</v>
      </c>
    </row>
    <row r="160" spans="2:7">
      <c r="B160" s="218"/>
      <c r="C160" s="232" t="s">
        <v>149</v>
      </c>
      <c r="D160" s="224" t="s">
        <v>66</v>
      </c>
      <c r="E160" s="225">
        <v>2</v>
      </c>
      <c r="F160" s="1603">
        <v>0</v>
      </c>
      <c r="G160" s="230">
        <f t="shared" si="7"/>
        <v>0</v>
      </c>
    </row>
    <row r="161" spans="2:7">
      <c r="B161" s="218"/>
      <c r="C161" s="232" t="s">
        <v>150</v>
      </c>
      <c r="D161" s="224" t="s">
        <v>66</v>
      </c>
      <c r="E161" s="225">
        <v>6</v>
      </c>
      <c r="F161" s="1603">
        <v>0</v>
      </c>
      <c r="G161" s="230">
        <f t="shared" si="7"/>
        <v>0</v>
      </c>
    </row>
    <row r="162" spans="2:7">
      <c r="B162" s="218"/>
      <c r="C162" s="233" t="s">
        <v>135</v>
      </c>
      <c r="D162" s="224" t="s">
        <v>66</v>
      </c>
      <c r="E162" s="225">
        <v>2</v>
      </c>
      <c r="F162" s="1603">
        <v>0</v>
      </c>
      <c r="G162" s="230">
        <f t="shared" si="7"/>
        <v>0</v>
      </c>
    </row>
    <row r="163" spans="2:7">
      <c r="B163" s="218"/>
      <c r="C163" s="223" t="s">
        <v>138</v>
      </c>
      <c r="D163" s="737"/>
      <c r="E163" s="738"/>
      <c r="F163" s="1603"/>
      <c r="G163" s="230"/>
    </row>
    <row r="164" spans="2:7">
      <c r="B164" s="218"/>
      <c r="C164" s="228" t="s">
        <v>129</v>
      </c>
      <c r="D164" s="224" t="s">
        <v>66</v>
      </c>
      <c r="E164" s="225">
        <v>1</v>
      </c>
      <c r="F164" s="1603">
        <v>0</v>
      </c>
      <c r="G164" s="230">
        <f t="shared" si="7"/>
        <v>0</v>
      </c>
    </row>
    <row r="165" spans="2:7">
      <c r="B165" s="218"/>
      <c r="C165" s="228" t="s">
        <v>139</v>
      </c>
      <c r="D165" s="224" t="s">
        <v>66</v>
      </c>
      <c r="E165" s="225">
        <v>2</v>
      </c>
      <c r="F165" s="1603">
        <v>0</v>
      </c>
      <c r="G165" s="230">
        <f t="shared" si="7"/>
        <v>0</v>
      </c>
    </row>
    <row r="166" spans="2:7">
      <c r="B166" s="218"/>
      <c r="C166" s="231" t="s">
        <v>140</v>
      </c>
      <c r="D166" s="224" t="s">
        <v>66</v>
      </c>
      <c r="E166" s="225">
        <v>1</v>
      </c>
      <c r="F166" s="1603">
        <v>0</v>
      </c>
      <c r="G166" s="230">
        <f t="shared" si="7"/>
        <v>0</v>
      </c>
    </row>
    <row r="167" spans="2:7">
      <c r="B167" s="218"/>
      <c r="C167" s="231" t="s">
        <v>141</v>
      </c>
      <c r="D167" s="224" t="s">
        <v>66</v>
      </c>
      <c r="E167" s="225">
        <v>1</v>
      </c>
      <c r="F167" s="1603">
        <v>0</v>
      </c>
      <c r="G167" s="230">
        <f t="shared" si="7"/>
        <v>0</v>
      </c>
    </row>
    <row r="168" spans="2:7">
      <c r="B168" s="218"/>
      <c r="C168" s="231" t="s">
        <v>142</v>
      </c>
      <c r="D168" s="224" t="s">
        <v>66</v>
      </c>
      <c r="E168" s="225">
        <v>1</v>
      </c>
      <c r="F168" s="1603">
        <v>0</v>
      </c>
      <c r="G168" s="230">
        <f t="shared" si="7"/>
        <v>0</v>
      </c>
    </row>
    <row r="169" spans="2:7">
      <c r="B169" s="218"/>
      <c r="C169" s="231" t="s">
        <v>143</v>
      </c>
      <c r="D169" s="224" t="s">
        <v>66</v>
      </c>
      <c r="E169" s="225">
        <v>1</v>
      </c>
      <c r="F169" s="1603">
        <v>0</v>
      </c>
      <c r="G169" s="230">
        <f t="shared" si="7"/>
        <v>0</v>
      </c>
    </row>
    <row r="170" spans="2:7">
      <c r="B170" s="218"/>
      <c r="C170" s="231" t="s">
        <v>2250</v>
      </c>
      <c r="D170" s="224" t="s">
        <v>66</v>
      </c>
      <c r="E170" s="225">
        <v>1</v>
      </c>
      <c r="F170" s="1603">
        <v>0</v>
      </c>
      <c r="G170" s="230">
        <f t="shared" si="7"/>
        <v>0</v>
      </c>
    </row>
    <row r="171" spans="2:7">
      <c r="B171" s="218"/>
      <c r="C171" s="231" t="s">
        <v>145</v>
      </c>
      <c r="D171" s="224" t="s">
        <v>66</v>
      </c>
      <c r="E171" s="225">
        <v>1</v>
      </c>
      <c r="F171" s="1603">
        <v>0</v>
      </c>
      <c r="G171" s="230">
        <f t="shared" si="7"/>
        <v>0</v>
      </c>
    </row>
    <row r="172" spans="2:7">
      <c r="B172" s="218"/>
      <c r="C172" s="231" t="s">
        <v>146</v>
      </c>
      <c r="D172" s="224" t="s">
        <v>66</v>
      </c>
      <c r="E172" s="225">
        <v>1</v>
      </c>
      <c r="F172" s="1603">
        <v>0</v>
      </c>
      <c r="G172" s="230">
        <f t="shared" si="7"/>
        <v>0</v>
      </c>
    </row>
    <row r="173" spans="2:7">
      <c r="B173" s="218"/>
      <c r="C173" s="739" t="s">
        <v>147</v>
      </c>
      <c r="D173" s="224" t="s">
        <v>66</v>
      </c>
      <c r="E173" s="225">
        <v>1</v>
      </c>
      <c r="F173" s="1603">
        <v>0</v>
      </c>
      <c r="G173" s="230">
        <f t="shared" si="7"/>
        <v>0</v>
      </c>
    </row>
    <row r="174" spans="2:7">
      <c r="B174" s="218"/>
      <c r="C174" s="739" t="s">
        <v>188</v>
      </c>
      <c r="D174" s="224" t="s">
        <v>66</v>
      </c>
      <c r="E174" s="225">
        <v>1</v>
      </c>
      <c r="F174" s="1603">
        <v>0</v>
      </c>
      <c r="G174" s="230">
        <f t="shared" si="7"/>
        <v>0</v>
      </c>
    </row>
    <row r="175" spans="2:7">
      <c r="B175" s="218"/>
      <c r="C175" s="739" t="s">
        <v>132</v>
      </c>
      <c r="D175" s="224" t="s">
        <v>66</v>
      </c>
      <c r="E175" s="225">
        <v>2</v>
      </c>
      <c r="F175" s="1603">
        <v>0</v>
      </c>
      <c r="G175" s="230">
        <f t="shared" si="7"/>
        <v>0</v>
      </c>
    </row>
    <row r="176" spans="2:7">
      <c r="B176" s="218"/>
      <c r="C176" s="739" t="s">
        <v>148</v>
      </c>
      <c r="D176" s="224" t="s">
        <v>66</v>
      </c>
      <c r="E176" s="225">
        <v>2</v>
      </c>
      <c r="F176" s="1603">
        <v>0</v>
      </c>
      <c r="G176" s="230">
        <f t="shared" si="7"/>
        <v>0</v>
      </c>
    </row>
    <row r="177" spans="2:7">
      <c r="B177" s="218"/>
      <c r="C177" s="739" t="s">
        <v>149</v>
      </c>
      <c r="D177" s="224" t="s">
        <v>66</v>
      </c>
      <c r="E177" s="225">
        <v>1</v>
      </c>
      <c r="F177" s="1603">
        <v>0</v>
      </c>
      <c r="G177" s="230">
        <f t="shared" si="7"/>
        <v>0</v>
      </c>
    </row>
    <row r="178" spans="2:7">
      <c r="B178" s="218"/>
      <c r="C178" s="739" t="s">
        <v>150</v>
      </c>
      <c r="D178" s="224" t="s">
        <v>66</v>
      </c>
      <c r="E178" s="225">
        <v>3</v>
      </c>
      <c r="F178" s="1603">
        <v>0</v>
      </c>
      <c r="G178" s="230">
        <f t="shared" si="7"/>
        <v>0</v>
      </c>
    </row>
    <row r="179" spans="2:7">
      <c r="B179" s="218"/>
      <c r="C179" s="740" t="s">
        <v>135</v>
      </c>
      <c r="D179" s="224" t="s">
        <v>66</v>
      </c>
      <c r="E179" s="225">
        <v>1</v>
      </c>
      <c r="F179" s="1603">
        <v>0</v>
      </c>
      <c r="G179" s="230">
        <f t="shared" si="7"/>
        <v>0</v>
      </c>
    </row>
    <row r="180" spans="2:7">
      <c r="B180" s="201" t="s">
        <v>159</v>
      </c>
      <c r="C180" s="212" t="s">
        <v>152</v>
      </c>
      <c r="D180" s="213"/>
      <c r="E180" s="214"/>
      <c r="F180" s="215"/>
      <c r="G180" s="216"/>
    </row>
    <row r="181" spans="2:7">
      <c r="B181" s="218"/>
      <c r="C181" s="212" t="s">
        <v>189</v>
      </c>
      <c r="D181" s="735"/>
      <c r="E181" s="736"/>
      <c r="F181" s="1601"/>
      <c r="G181" s="1121"/>
    </row>
    <row r="182" spans="2:7">
      <c r="B182" s="218"/>
      <c r="C182" s="219" t="s">
        <v>186</v>
      </c>
      <c r="D182" s="213" t="s">
        <v>66</v>
      </c>
      <c r="E182" s="214">
        <v>10</v>
      </c>
      <c r="F182" s="1599">
        <v>0</v>
      </c>
      <c r="G182" s="221">
        <f t="shared" ref="G182:G203" si="8">E182*F182</f>
        <v>0</v>
      </c>
    </row>
    <row r="183" spans="2:7" ht="24">
      <c r="B183" s="218"/>
      <c r="C183" s="222" t="s">
        <v>154</v>
      </c>
      <c r="D183" s="213" t="s">
        <v>66</v>
      </c>
      <c r="E183" s="214">
        <v>10</v>
      </c>
      <c r="F183" s="1599">
        <v>0</v>
      </c>
      <c r="G183" s="221">
        <f t="shared" si="8"/>
        <v>0</v>
      </c>
    </row>
    <row r="184" spans="2:7">
      <c r="B184" s="218"/>
      <c r="C184" s="222" t="s">
        <v>155</v>
      </c>
      <c r="D184" s="213" t="s">
        <v>66</v>
      </c>
      <c r="E184" s="214">
        <v>10</v>
      </c>
      <c r="F184" s="1599">
        <v>0</v>
      </c>
      <c r="G184" s="221">
        <f t="shared" si="8"/>
        <v>0</v>
      </c>
    </row>
    <row r="185" spans="2:7">
      <c r="B185" s="218"/>
      <c r="C185" s="222" t="s">
        <v>330</v>
      </c>
      <c r="D185" s="213" t="s">
        <v>66</v>
      </c>
      <c r="E185" s="214">
        <v>10</v>
      </c>
      <c r="F185" s="1599">
        <v>0</v>
      </c>
      <c r="G185" s="221">
        <f t="shared" si="8"/>
        <v>0</v>
      </c>
    </row>
    <row r="186" spans="2:7">
      <c r="B186" s="218"/>
      <c r="C186" s="222" t="s">
        <v>157</v>
      </c>
      <c r="D186" s="213" t="s">
        <v>66</v>
      </c>
      <c r="E186" s="214">
        <v>10</v>
      </c>
      <c r="F186" s="1599">
        <v>0</v>
      </c>
      <c r="G186" s="221">
        <f t="shared" si="8"/>
        <v>0</v>
      </c>
    </row>
    <row r="187" spans="2:7">
      <c r="B187" s="218"/>
      <c r="C187" s="234" t="s">
        <v>158</v>
      </c>
      <c r="D187" s="213" t="s">
        <v>66</v>
      </c>
      <c r="E187" s="214">
        <v>10</v>
      </c>
      <c r="F187" s="1599">
        <v>0</v>
      </c>
      <c r="G187" s="221">
        <f t="shared" si="8"/>
        <v>0</v>
      </c>
    </row>
    <row r="188" spans="2:7">
      <c r="B188" s="218"/>
      <c r="C188" s="234" t="s">
        <v>190</v>
      </c>
      <c r="D188" s="213" t="s">
        <v>66</v>
      </c>
      <c r="E188" s="214">
        <v>10</v>
      </c>
      <c r="F188" s="1599">
        <v>0</v>
      </c>
      <c r="G188" s="221">
        <f t="shared" si="8"/>
        <v>0</v>
      </c>
    </row>
    <row r="189" spans="2:7">
      <c r="B189" s="218"/>
      <c r="C189" s="234" t="s">
        <v>184</v>
      </c>
      <c r="D189" s="213" t="s">
        <v>66</v>
      </c>
      <c r="E189" s="214">
        <v>20</v>
      </c>
      <c r="F189" s="1599">
        <v>0</v>
      </c>
      <c r="G189" s="221">
        <f t="shared" si="8"/>
        <v>0</v>
      </c>
    </row>
    <row r="190" spans="2:7">
      <c r="B190" s="218"/>
      <c r="C190" s="234" t="s">
        <v>150</v>
      </c>
      <c r="D190" s="213" t="s">
        <v>66</v>
      </c>
      <c r="E190" s="214">
        <v>10</v>
      </c>
      <c r="F190" s="1599">
        <v>0</v>
      </c>
      <c r="G190" s="221">
        <f t="shared" si="8"/>
        <v>0</v>
      </c>
    </row>
    <row r="191" spans="2:7">
      <c r="B191" s="218"/>
      <c r="C191" s="235" t="s">
        <v>135</v>
      </c>
      <c r="D191" s="213" t="s">
        <v>66</v>
      </c>
      <c r="E191" s="214">
        <v>10</v>
      </c>
      <c r="F191" s="1599">
        <v>0</v>
      </c>
      <c r="G191" s="221">
        <f t="shared" si="8"/>
        <v>0</v>
      </c>
    </row>
    <row r="192" spans="2:7">
      <c r="B192" s="218"/>
      <c r="C192" s="212" t="s">
        <v>153</v>
      </c>
      <c r="D192" s="735"/>
      <c r="E192" s="736"/>
      <c r="F192" s="1599"/>
      <c r="G192" s="221"/>
    </row>
    <row r="193" spans="2:7">
      <c r="B193" s="218"/>
      <c r="C193" s="219" t="s">
        <v>129</v>
      </c>
      <c r="D193" s="213" t="s">
        <v>66</v>
      </c>
      <c r="E193" s="214">
        <v>1</v>
      </c>
      <c r="F193" s="1599">
        <v>0</v>
      </c>
      <c r="G193" s="221">
        <f t="shared" si="8"/>
        <v>0</v>
      </c>
    </row>
    <row r="194" spans="2:7" ht="24">
      <c r="B194" s="218"/>
      <c r="C194" s="222" t="s">
        <v>154</v>
      </c>
      <c r="D194" s="213" t="s">
        <v>66</v>
      </c>
      <c r="E194" s="214">
        <v>1</v>
      </c>
      <c r="F194" s="1599">
        <v>0</v>
      </c>
      <c r="G194" s="221">
        <f t="shared" si="8"/>
        <v>0</v>
      </c>
    </row>
    <row r="195" spans="2:7">
      <c r="B195" s="218"/>
      <c r="C195" s="222" t="s">
        <v>155</v>
      </c>
      <c r="D195" s="213" t="s">
        <v>66</v>
      </c>
      <c r="E195" s="214">
        <v>1</v>
      </c>
      <c r="F195" s="1599">
        <v>0</v>
      </c>
      <c r="G195" s="221">
        <f t="shared" si="8"/>
        <v>0</v>
      </c>
    </row>
    <row r="196" spans="2:7">
      <c r="B196" s="218"/>
      <c r="C196" s="222" t="s">
        <v>330</v>
      </c>
      <c r="D196" s="213" t="s">
        <v>66</v>
      </c>
      <c r="E196" s="214">
        <v>1</v>
      </c>
      <c r="F196" s="1599">
        <v>0</v>
      </c>
      <c r="G196" s="221">
        <f t="shared" si="8"/>
        <v>0</v>
      </c>
    </row>
    <row r="197" spans="2:7">
      <c r="B197" s="218"/>
      <c r="C197" s="222" t="s">
        <v>157</v>
      </c>
      <c r="D197" s="213" t="s">
        <v>66</v>
      </c>
      <c r="E197" s="214">
        <v>1</v>
      </c>
      <c r="F197" s="1599">
        <v>0</v>
      </c>
      <c r="G197" s="221">
        <f t="shared" si="8"/>
        <v>0</v>
      </c>
    </row>
    <row r="198" spans="2:7">
      <c r="B198" s="218"/>
      <c r="C198" s="234" t="s">
        <v>158</v>
      </c>
      <c r="D198" s="213" t="s">
        <v>66</v>
      </c>
      <c r="E198" s="214">
        <v>1</v>
      </c>
      <c r="F198" s="1599">
        <v>0</v>
      </c>
      <c r="G198" s="221">
        <f t="shared" si="8"/>
        <v>0</v>
      </c>
    </row>
    <row r="199" spans="2:7">
      <c r="B199" s="218"/>
      <c r="C199" s="234" t="s">
        <v>190</v>
      </c>
      <c r="D199" s="213" t="s">
        <v>66</v>
      </c>
      <c r="E199" s="214">
        <v>1</v>
      </c>
      <c r="F199" s="1599">
        <v>0</v>
      </c>
      <c r="G199" s="221">
        <f t="shared" si="8"/>
        <v>0</v>
      </c>
    </row>
    <row r="200" spans="2:7">
      <c r="B200" s="218"/>
      <c r="C200" s="234" t="s">
        <v>132</v>
      </c>
      <c r="D200" s="213" t="s">
        <v>66</v>
      </c>
      <c r="E200" s="214">
        <v>2</v>
      </c>
      <c r="F200" s="1599">
        <v>0</v>
      </c>
      <c r="G200" s="221">
        <f t="shared" si="8"/>
        <v>0</v>
      </c>
    </row>
    <row r="201" spans="2:7">
      <c r="B201" s="218"/>
      <c r="C201" s="234" t="s">
        <v>148</v>
      </c>
      <c r="D201" s="213" t="s">
        <v>66</v>
      </c>
      <c r="E201" s="214">
        <v>2</v>
      </c>
      <c r="F201" s="1599">
        <v>0</v>
      </c>
      <c r="G201" s="221">
        <f t="shared" si="8"/>
        <v>0</v>
      </c>
    </row>
    <row r="202" spans="2:7">
      <c r="B202" s="218"/>
      <c r="C202" s="234" t="s">
        <v>150</v>
      </c>
      <c r="D202" s="213" t="s">
        <v>66</v>
      </c>
      <c r="E202" s="214">
        <v>1</v>
      </c>
      <c r="F202" s="1599">
        <v>0</v>
      </c>
      <c r="G202" s="221">
        <f t="shared" si="8"/>
        <v>0</v>
      </c>
    </row>
    <row r="203" spans="2:7">
      <c r="B203" s="218"/>
      <c r="C203" s="235" t="s">
        <v>135</v>
      </c>
      <c r="D203" s="213" t="s">
        <v>66</v>
      </c>
      <c r="E203" s="214">
        <v>1</v>
      </c>
      <c r="F203" s="1599">
        <v>0</v>
      </c>
      <c r="G203" s="221">
        <f t="shared" si="8"/>
        <v>0</v>
      </c>
    </row>
    <row r="204" spans="2:7" ht="24">
      <c r="B204" s="199" t="s">
        <v>331</v>
      </c>
      <c r="C204" s="212" t="s">
        <v>332</v>
      </c>
      <c r="D204" s="735" t="s">
        <v>66</v>
      </c>
      <c r="E204" s="736">
        <v>11</v>
      </c>
      <c r="F204" s="1126">
        <v>0</v>
      </c>
      <c r="G204" s="1121">
        <f>E204*F204</f>
        <v>0</v>
      </c>
    </row>
    <row r="205" spans="2:7">
      <c r="B205" s="201" t="s">
        <v>168</v>
      </c>
      <c r="C205" s="223" t="s">
        <v>886</v>
      </c>
      <c r="D205" s="224"/>
      <c r="E205" s="225"/>
      <c r="F205" s="226"/>
      <c r="G205" s="227"/>
    </row>
    <row r="206" spans="2:7">
      <c r="B206" s="218"/>
      <c r="C206" s="223" t="s">
        <v>215</v>
      </c>
      <c r="D206" s="737"/>
      <c r="E206" s="738"/>
      <c r="F206" s="1605"/>
      <c r="G206" s="1608"/>
    </row>
    <row r="207" spans="2:7" ht="24">
      <c r="B207" s="218"/>
      <c r="C207" s="228" t="s">
        <v>2254</v>
      </c>
      <c r="D207" s="224" t="s">
        <v>66</v>
      </c>
      <c r="E207" s="225">
        <v>1</v>
      </c>
      <c r="F207" s="1768">
        <v>0</v>
      </c>
      <c r="G207" s="1714">
        <f t="shared" ref="G207:G237" si="9">E207*F207</f>
        <v>0</v>
      </c>
    </row>
    <row r="208" spans="2:7">
      <c r="B208" s="218"/>
      <c r="C208" s="232" t="s">
        <v>216</v>
      </c>
      <c r="D208" s="224" t="s">
        <v>66</v>
      </c>
      <c r="E208" s="225">
        <v>2</v>
      </c>
      <c r="F208" s="1768">
        <v>0</v>
      </c>
      <c r="G208" s="1714">
        <f t="shared" si="9"/>
        <v>0</v>
      </c>
    </row>
    <row r="209" spans="2:7">
      <c r="B209" s="218"/>
      <c r="C209" s="232" t="s">
        <v>184</v>
      </c>
      <c r="D209" s="224" t="s">
        <v>66</v>
      </c>
      <c r="E209" s="225">
        <v>1</v>
      </c>
      <c r="F209" s="1768">
        <v>0</v>
      </c>
      <c r="G209" s="1714">
        <f t="shared" si="9"/>
        <v>0</v>
      </c>
    </row>
    <row r="210" spans="2:7">
      <c r="B210" s="218"/>
      <c r="C210" s="232" t="s">
        <v>150</v>
      </c>
      <c r="D210" s="224" t="s">
        <v>66</v>
      </c>
      <c r="E210" s="225">
        <v>1</v>
      </c>
      <c r="F210" s="1768">
        <v>0</v>
      </c>
      <c r="G210" s="1714">
        <f t="shared" si="9"/>
        <v>0</v>
      </c>
    </row>
    <row r="211" spans="2:7">
      <c r="B211" s="218"/>
      <c r="C211" s="233" t="s">
        <v>135</v>
      </c>
      <c r="D211" s="224" t="s">
        <v>66</v>
      </c>
      <c r="E211" s="225">
        <v>1</v>
      </c>
      <c r="F211" s="1768">
        <v>0</v>
      </c>
      <c r="G211" s="1714">
        <f t="shared" si="9"/>
        <v>0</v>
      </c>
    </row>
    <row r="212" spans="2:7">
      <c r="B212" s="218"/>
      <c r="C212" s="223" t="s">
        <v>887</v>
      </c>
      <c r="D212" s="737"/>
      <c r="E212" s="738"/>
      <c r="F212" s="1768"/>
      <c r="G212" s="1714"/>
    </row>
    <row r="213" spans="2:7" ht="24">
      <c r="B213" s="218"/>
      <c r="C213" s="228" t="s">
        <v>2253</v>
      </c>
      <c r="D213" s="224" t="s">
        <v>66</v>
      </c>
      <c r="E213" s="225">
        <v>2</v>
      </c>
      <c r="F213" s="1768">
        <v>0</v>
      </c>
      <c r="G213" s="1714">
        <f t="shared" si="9"/>
        <v>0</v>
      </c>
    </row>
    <row r="214" spans="2:7">
      <c r="B214" s="218"/>
      <c r="C214" s="232" t="s">
        <v>184</v>
      </c>
      <c r="D214" s="224" t="s">
        <v>66</v>
      </c>
      <c r="E214" s="225">
        <v>4</v>
      </c>
      <c r="F214" s="1768">
        <v>0</v>
      </c>
      <c r="G214" s="1714">
        <f t="shared" si="9"/>
        <v>0</v>
      </c>
    </row>
    <row r="215" spans="2:7">
      <c r="B215" s="218"/>
      <c r="C215" s="232" t="s">
        <v>150</v>
      </c>
      <c r="D215" s="224" t="s">
        <v>66</v>
      </c>
      <c r="E215" s="225">
        <v>2</v>
      </c>
      <c r="F215" s="1768">
        <v>0</v>
      </c>
      <c r="G215" s="1714">
        <f t="shared" si="9"/>
        <v>0</v>
      </c>
    </row>
    <row r="216" spans="2:7">
      <c r="B216" s="218"/>
      <c r="C216" s="233" t="s">
        <v>135</v>
      </c>
      <c r="D216" s="224" t="s">
        <v>66</v>
      </c>
      <c r="E216" s="225">
        <v>2</v>
      </c>
      <c r="F216" s="1768">
        <v>0</v>
      </c>
      <c r="G216" s="1714">
        <f t="shared" si="9"/>
        <v>0</v>
      </c>
    </row>
    <row r="217" spans="2:7">
      <c r="B217" s="218"/>
      <c r="C217" s="223" t="s">
        <v>1408</v>
      </c>
      <c r="D217" s="737"/>
      <c r="E217" s="738"/>
      <c r="F217" s="1768"/>
      <c r="G217" s="1714"/>
    </row>
    <row r="218" spans="2:7" ht="24">
      <c r="B218" s="218"/>
      <c r="C218" s="228" t="s">
        <v>2252</v>
      </c>
      <c r="D218" s="224" t="s">
        <v>66</v>
      </c>
      <c r="E218" s="225">
        <v>1</v>
      </c>
      <c r="F218" s="1768">
        <v>0</v>
      </c>
      <c r="G218" s="1714">
        <f t="shared" si="9"/>
        <v>0</v>
      </c>
    </row>
    <row r="219" spans="2:7">
      <c r="B219" s="218"/>
      <c r="C219" s="739" t="s">
        <v>216</v>
      </c>
      <c r="D219" s="224" t="s">
        <v>66</v>
      </c>
      <c r="E219" s="225">
        <v>2</v>
      </c>
      <c r="F219" s="1768">
        <v>0</v>
      </c>
      <c r="G219" s="1714">
        <f t="shared" si="9"/>
        <v>0</v>
      </c>
    </row>
    <row r="220" spans="2:7">
      <c r="B220" s="218"/>
      <c r="C220" s="739" t="s">
        <v>132</v>
      </c>
      <c r="D220" s="224" t="s">
        <v>66</v>
      </c>
      <c r="E220" s="225">
        <v>1</v>
      </c>
      <c r="F220" s="1768">
        <v>0</v>
      </c>
      <c r="G220" s="1714">
        <f t="shared" si="9"/>
        <v>0</v>
      </c>
    </row>
    <row r="221" spans="2:7">
      <c r="B221" s="218"/>
      <c r="C221" s="739" t="s">
        <v>150</v>
      </c>
      <c r="D221" s="224" t="s">
        <v>66</v>
      </c>
      <c r="E221" s="225">
        <v>1</v>
      </c>
      <c r="F221" s="1768">
        <v>0</v>
      </c>
      <c r="G221" s="1714">
        <f t="shared" si="9"/>
        <v>0</v>
      </c>
    </row>
    <row r="222" spans="2:7">
      <c r="B222" s="218"/>
      <c r="C222" s="740" t="s">
        <v>135</v>
      </c>
      <c r="D222" s="224" t="s">
        <v>66</v>
      </c>
      <c r="E222" s="225">
        <v>1</v>
      </c>
      <c r="F222" s="1768">
        <v>0</v>
      </c>
      <c r="G222" s="1714">
        <f t="shared" si="9"/>
        <v>0</v>
      </c>
    </row>
    <row r="223" spans="2:7">
      <c r="B223" s="218"/>
      <c r="C223" s="223" t="s">
        <v>220</v>
      </c>
      <c r="D223" s="737"/>
      <c r="E223" s="738"/>
      <c r="F223" s="1768"/>
      <c r="G223" s="1714"/>
    </row>
    <row r="224" spans="2:7" ht="24">
      <c r="B224" s="218"/>
      <c r="C224" s="228" t="s">
        <v>2249</v>
      </c>
      <c r="D224" s="224" t="s">
        <v>66</v>
      </c>
      <c r="E224" s="225">
        <v>3</v>
      </c>
      <c r="F224" s="1768">
        <v>0</v>
      </c>
      <c r="G224" s="1714">
        <f t="shared" si="9"/>
        <v>0</v>
      </c>
    </row>
    <row r="225" spans="2:8">
      <c r="B225" s="218"/>
      <c r="C225" s="739" t="s">
        <v>184</v>
      </c>
      <c r="D225" s="224" t="s">
        <v>66</v>
      </c>
      <c r="E225" s="225">
        <v>6</v>
      </c>
      <c r="F225" s="1768">
        <v>0</v>
      </c>
      <c r="G225" s="1714">
        <f t="shared" si="9"/>
        <v>0</v>
      </c>
    </row>
    <row r="226" spans="2:8">
      <c r="B226" s="218"/>
      <c r="C226" s="739" t="s">
        <v>132</v>
      </c>
      <c r="D226" s="224" t="s">
        <v>66</v>
      </c>
      <c r="E226" s="225">
        <v>3</v>
      </c>
      <c r="F226" s="1768">
        <v>0</v>
      </c>
      <c r="G226" s="1714">
        <f t="shared" si="9"/>
        <v>0</v>
      </c>
    </row>
    <row r="227" spans="2:8">
      <c r="B227" s="218"/>
      <c r="C227" s="739" t="s">
        <v>150</v>
      </c>
      <c r="D227" s="224" t="s">
        <v>66</v>
      </c>
      <c r="E227" s="225">
        <v>3</v>
      </c>
      <c r="F227" s="1768">
        <v>0</v>
      </c>
      <c r="G227" s="1714">
        <f t="shared" si="9"/>
        <v>0</v>
      </c>
    </row>
    <row r="228" spans="2:8">
      <c r="B228" s="218"/>
      <c r="C228" s="740" t="s">
        <v>135</v>
      </c>
      <c r="D228" s="224" t="s">
        <v>66</v>
      </c>
      <c r="E228" s="225">
        <v>3</v>
      </c>
      <c r="F228" s="1768">
        <v>0</v>
      </c>
      <c r="G228" s="1714">
        <f t="shared" si="9"/>
        <v>0</v>
      </c>
    </row>
    <row r="229" spans="2:8">
      <c r="B229" s="218"/>
      <c r="C229" s="223" t="s">
        <v>888</v>
      </c>
      <c r="D229" s="737"/>
      <c r="E229" s="738"/>
      <c r="F229" s="1768"/>
      <c r="G229" s="1714"/>
    </row>
    <row r="230" spans="2:8" ht="24">
      <c r="B230" s="218"/>
      <c r="C230" s="228" t="s">
        <v>2251</v>
      </c>
      <c r="D230" s="224" t="s">
        <v>66</v>
      </c>
      <c r="E230" s="225">
        <v>8</v>
      </c>
      <c r="F230" s="1768">
        <v>0</v>
      </c>
      <c r="G230" s="1714">
        <f t="shared" si="9"/>
        <v>0</v>
      </c>
    </row>
    <row r="231" spans="2:8">
      <c r="B231" s="218"/>
      <c r="C231" s="232" t="s">
        <v>184</v>
      </c>
      <c r="D231" s="224" t="s">
        <v>66</v>
      </c>
      <c r="E231" s="225">
        <v>16</v>
      </c>
      <c r="F231" s="1768">
        <v>0</v>
      </c>
      <c r="G231" s="1714">
        <f t="shared" si="9"/>
        <v>0</v>
      </c>
    </row>
    <row r="232" spans="2:8">
      <c r="B232" s="218"/>
      <c r="C232" s="232" t="s">
        <v>166</v>
      </c>
      <c r="D232" s="224" t="s">
        <v>66</v>
      </c>
      <c r="E232" s="225">
        <v>8</v>
      </c>
      <c r="F232" s="1768">
        <v>0</v>
      </c>
      <c r="G232" s="1714">
        <f t="shared" si="9"/>
        <v>0</v>
      </c>
    </row>
    <row r="233" spans="2:8">
      <c r="B233" s="218"/>
      <c r="C233" s="232" t="s">
        <v>167</v>
      </c>
      <c r="D233" s="224" t="s">
        <v>66</v>
      </c>
      <c r="E233" s="225">
        <v>8</v>
      </c>
      <c r="F233" s="1768">
        <v>0</v>
      </c>
      <c r="G233" s="1714">
        <f t="shared" si="9"/>
        <v>0</v>
      </c>
    </row>
    <row r="234" spans="2:8">
      <c r="B234" s="218"/>
      <c r="C234" s="232" t="s">
        <v>229</v>
      </c>
      <c r="D234" s="224" t="s">
        <v>66</v>
      </c>
      <c r="E234" s="225">
        <v>8</v>
      </c>
      <c r="F234" s="1768">
        <v>0</v>
      </c>
      <c r="G234" s="1714">
        <f t="shared" si="9"/>
        <v>0</v>
      </c>
    </row>
    <row r="235" spans="2:8">
      <c r="B235" s="218"/>
      <c r="C235" s="232" t="s">
        <v>230</v>
      </c>
      <c r="D235" s="224" t="s">
        <v>66</v>
      </c>
      <c r="E235" s="225">
        <v>8</v>
      </c>
      <c r="F235" s="1768">
        <v>0</v>
      </c>
      <c r="G235" s="1714">
        <f t="shared" si="9"/>
        <v>0</v>
      </c>
    </row>
    <row r="236" spans="2:8">
      <c r="B236" s="218"/>
      <c r="C236" s="232" t="s">
        <v>150</v>
      </c>
      <c r="D236" s="224" t="s">
        <v>66</v>
      </c>
      <c r="E236" s="225">
        <v>8</v>
      </c>
      <c r="F236" s="1768">
        <v>0</v>
      </c>
      <c r="G236" s="1714">
        <f t="shared" si="9"/>
        <v>0</v>
      </c>
    </row>
    <row r="237" spans="2:8">
      <c r="B237" s="218"/>
      <c r="C237" s="233" t="s">
        <v>135</v>
      </c>
      <c r="D237" s="224" t="s">
        <v>66</v>
      </c>
      <c r="E237" s="225">
        <v>8</v>
      </c>
      <c r="F237" s="1768">
        <v>0</v>
      </c>
      <c r="G237" s="1714">
        <f t="shared" si="9"/>
        <v>0</v>
      </c>
    </row>
    <row r="238" spans="2:8">
      <c r="B238" s="218"/>
      <c r="C238" s="223" t="s">
        <v>1395</v>
      </c>
      <c r="D238" s="737"/>
      <c r="E238" s="738"/>
      <c r="F238" s="1605"/>
      <c r="G238" s="1646"/>
    </row>
    <row r="239" spans="2:8" s="217" customFormat="1">
      <c r="B239" s="218"/>
      <c r="C239" s="1655" t="s">
        <v>230</v>
      </c>
      <c r="D239" s="224" t="s">
        <v>66</v>
      </c>
      <c r="E239" s="225">
        <v>1</v>
      </c>
      <c r="F239" s="1768">
        <v>0</v>
      </c>
      <c r="G239" s="1714">
        <f t="shared" ref="G239:G241" si="10">E239*F239</f>
        <v>0</v>
      </c>
      <c r="H239" s="1703"/>
    </row>
    <row r="240" spans="2:8" s="217" customFormat="1">
      <c r="B240" s="218"/>
      <c r="C240" s="1655" t="s">
        <v>2255</v>
      </c>
      <c r="D240" s="224" t="s">
        <v>66</v>
      </c>
      <c r="E240" s="225">
        <v>1</v>
      </c>
      <c r="F240" s="1768">
        <v>0</v>
      </c>
      <c r="G240" s="1714">
        <f t="shared" si="10"/>
        <v>0</v>
      </c>
      <c r="H240" s="1703"/>
    </row>
    <row r="241" spans="2:8" s="217" customFormat="1">
      <c r="B241" s="218"/>
      <c r="C241" s="1655" t="s">
        <v>1444</v>
      </c>
      <c r="D241" s="224" t="s">
        <v>66</v>
      </c>
      <c r="E241" s="225">
        <v>1</v>
      </c>
      <c r="F241" s="1768">
        <v>0</v>
      </c>
      <c r="G241" s="1714">
        <f t="shared" si="10"/>
        <v>0</v>
      </c>
      <c r="H241" s="1703"/>
    </row>
    <row r="242" spans="2:8">
      <c r="B242" s="201" t="s">
        <v>172</v>
      </c>
      <c r="C242" s="238" t="s">
        <v>169</v>
      </c>
      <c r="D242" s="239"/>
      <c r="E242" s="240"/>
      <c r="F242" s="241"/>
      <c r="G242" s="242"/>
    </row>
    <row r="243" spans="2:8">
      <c r="B243" s="218"/>
      <c r="C243" s="238" t="s">
        <v>198</v>
      </c>
      <c r="D243" s="153"/>
      <c r="E243" s="741"/>
      <c r="F243" s="1611"/>
      <c r="G243" s="263"/>
    </row>
    <row r="244" spans="2:8" ht="36">
      <c r="B244" s="218"/>
      <c r="C244" s="243" t="s">
        <v>2239</v>
      </c>
      <c r="D244" s="239" t="s">
        <v>66</v>
      </c>
      <c r="E244" s="240">
        <v>83</v>
      </c>
      <c r="F244" s="1609">
        <v>0</v>
      </c>
      <c r="G244" s="245">
        <f t="shared" ref="G244:G247" si="11">E244*F244</f>
        <v>0</v>
      </c>
    </row>
    <row r="245" spans="2:8">
      <c r="B245" s="218"/>
      <c r="C245" s="246" t="s">
        <v>171</v>
      </c>
      <c r="D245" s="239" t="s">
        <v>66</v>
      </c>
      <c r="E245" s="240">
        <v>83</v>
      </c>
      <c r="F245" s="1609">
        <v>0</v>
      </c>
      <c r="G245" s="245">
        <f t="shared" si="11"/>
        <v>0</v>
      </c>
    </row>
    <row r="246" spans="2:8">
      <c r="B246" s="218"/>
      <c r="C246" s="247" t="s">
        <v>135</v>
      </c>
      <c r="D246" s="239" t="s">
        <v>66</v>
      </c>
      <c r="E246" s="240">
        <v>83</v>
      </c>
      <c r="F246" s="1609">
        <v>0</v>
      </c>
      <c r="G246" s="245">
        <f t="shared" si="11"/>
        <v>0</v>
      </c>
    </row>
    <row r="247" spans="2:8">
      <c r="B247" s="218"/>
      <c r="C247" s="247" t="s">
        <v>891</v>
      </c>
      <c r="D247" s="239" t="s">
        <v>66</v>
      </c>
      <c r="E247" s="240">
        <v>83</v>
      </c>
      <c r="F247" s="1609">
        <v>0</v>
      </c>
      <c r="G247" s="245">
        <f t="shared" si="11"/>
        <v>0</v>
      </c>
    </row>
    <row r="248" spans="2:8">
      <c r="B248" s="218"/>
      <c r="C248" s="238" t="s">
        <v>170</v>
      </c>
      <c r="D248" s="153"/>
      <c r="E248" s="741"/>
      <c r="F248" s="1611"/>
      <c r="G248" s="263"/>
    </row>
    <row r="249" spans="2:8" ht="36">
      <c r="B249" s="218"/>
      <c r="C249" s="243" t="s">
        <v>2246</v>
      </c>
      <c r="D249" s="239" t="s">
        <v>66</v>
      </c>
      <c r="E249" s="240">
        <v>1</v>
      </c>
      <c r="F249" s="1609">
        <v>0</v>
      </c>
      <c r="G249" s="245">
        <f t="shared" ref="G249:G252" si="12">E249*F249</f>
        <v>0</v>
      </c>
    </row>
    <row r="250" spans="2:8">
      <c r="B250" s="218"/>
      <c r="C250" s="1129" t="s">
        <v>171</v>
      </c>
      <c r="D250" s="239" t="s">
        <v>66</v>
      </c>
      <c r="E250" s="240">
        <v>1</v>
      </c>
      <c r="F250" s="1609">
        <v>0</v>
      </c>
      <c r="G250" s="245">
        <f t="shared" si="12"/>
        <v>0</v>
      </c>
    </row>
    <row r="251" spans="2:8">
      <c r="B251" s="218"/>
      <c r="C251" s="1130" t="s">
        <v>135</v>
      </c>
      <c r="D251" s="239" t="s">
        <v>66</v>
      </c>
      <c r="E251" s="240">
        <v>1</v>
      </c>
      <c r="F251" s="1609">
        <v>0</v>
      </c>
      <c r="G251" s="245">
        <f t="shared" si="12"/>
        <v>0</v>
      </c>
    </row>
    <row r="252" spans="2:8">
      <c r="B252" s="218"/>
      <c r="C252" s="247" t="s">
        <v>891</v>
      </c>
      <c r="D252" s="239" t="s">
        <v>66</v>
      </c>
      <c r="E252" s="240">
        <v>1</v>
      </c>
      <c r="F252" s="1609">
        <v>0</v>
      </c>
      <c r="G252" s="245">
        <f t="shared" si="12"/>
        <v>0</v>
      </c>
    </row>
    <row r="253" spans="2:8">
      <c r="B253" s="218"/>
      <c r="C253" s="238" t="s">
        <v>234</v>
      </c>
      <c r="D253" s="153"/>
      <c r="E253" s="741"/>
      <c r="F253" s="1611"/>
      <c r="G253" s="263"/>
    </row>
    <row r="254" spans="2:8" ht="36">
      <c r="B254" s="218"/>
      <c r="C254" s="243" t="s">
        <v>2245</v>
      </c>
      <c r="D254" s="239" t="s">
        <v>66</v>
      </c>
      <c r="E254" s="240">
        <v>40</v>
      </c>
      <c r="F254" s="1609">
        <v>0</v>
      </c>
      <c r="G254" s="245">
        <f t="shared" ref="G254:G257" si="13">E254*F254</f>
        <v>0</v>
      </c>
    </row>
    <row r="255" spans="2:8">
      <c r="B255" s="218"/>
      <c r="C255" s="246" t="s">
        <v>171</v>
      </c>
      <c r="D255" s="239" t="s">
        <v>66</v>
      </c>
      <c r="E255" s="240">
        <v>40</v>
      </c>
      <c r="F255" s="1609">
        <v>0</v>
      </c>
      <c r="G255" s="245">
        <f t="shared" si="13"/>
        <v>0</v>
      </c>
    </row>
    <row r="256" spans="2:8">
      <c r="B256" s="218"/>
      <c r="C256" s="247" t="s">
        <v>135</v>
      </c>
      <c r="D256" s="239" t="s">
        <v>66</v>
      </c>
      <c r="E256" s="240">
        <v>40</v>
      </c>
      <c r="F256" s="1609">
        <v>0</v>
      </c>
      <c r="G256" s="245">
        <f t="shared" si="13"/>
        <v>0</v>
      </c>
    </row>
    <row r="257" spans="2:7">
      <c r="B257" s="218"/>
      <c r="C257" s="247" t="s">
        <v>891</v>
      </c>
      <c r="D257" s="239" t="s">
        <v>66</v>
      </c>
      <c r="E257" s="240">
        <v>40</v>
      </c>
      <c r="F257" s="1609">
        <v>0</v>
      </c>
      <c r="G257" s="245">
        <f t="shared" si="13"/>
        <v>0</v>
      </c>
    </row>
    <row r="258" spans="2:7">
      <c r="B258" s="201" t="s">
        <v>340</v>
      </c>
      <c r="C258" s="742" t="s">
        <v>173</v>
      </c>
      <c r="D258" s="743"/>
      <c r="E258" s="744"/>
      <c r="F258" s="1131"/>
      <c r="G258" s="1132"/>
    </row>
    <row r="259" spans="2:7" ht="60">
      <c r="B259" s="218"/>
      <c r="C259" s="745" t="s">
        <v>174</v>
      </c>
      <c r="D259" s="746" t="s">
        <v>66</v>
      </c>
      <c r="E259" s="747">
        <v>1</v>
      </c>
      <c r="F259" s="1617">
        <v>0</v>
      </c>
      <c r="G259" s="1132">
        <f>E259*F259</f>
        <v>0</v>
      </c>
    </row>
    <row r="260" spans="2:7">
      <c r="B260" s="258" t="s">
        <v>47</v>
      </c>
      <c r="C260" s="259" t="s">
        <v>1396</v>
      </c>
      <c r="D260" s="260"/>
      <c r="E260" s="261"/>
      <c r="F260" s="262"/>
      <c r="G260" s="263">
        <f>SUM(G82:G259)</f>
        <v>0</v>
      </c>
    </row>
  </sheetData>
  <mergeCells count="6">
    <mergeCell ref="B90:B93"/>
    <mergeCell ref="B45:G45"/>
    <mergeCell ref="B77:G77"/>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44B1-A503-4E6C-9F62-8B5DA26FCF52}">
  <sheetPr>
    <tabColor rgb="FF00B0F0"/>
  </sheetPr>
  <dimension ref="A2:Y194"/>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1409</v>
      </c>
      <c r="D4" s="76"/>
      <c r="E4" s="77"/>
      <c r="F4" s="674"/>
      <c r="G4" s="79"/>
      <c r="H4" s="37"/>
    </row>
    <row r="5" spans="1:25" s="73" customFormat="1" ht="12" customHeight="1">
      <c r="B5" s="80"/>
      <c r="C5" s="81"/>
      <c r="D5" s="82"/>
      <c r="E5" s="83"/>
      <c r="F5" s="675"/>
      <c r="G5" s="85"/>
      <c r="H5" s="37"/>
    </row>
    <row r="6" spans="1:25" s="86" customFormat="1" ht="21" customHeight="1">
      <c r="B6" s="676" t="s">
        <v>37</v>
      </c>
      <c r="C6" s="677" t="s">
        <v>1410</v>
      </c>
      <c r="D6" s="678"/>
      <c r="E6" s="679"/>
      <c r="F6" s="680"/>
      <c r="G6" s="681"/>
      <c r="H6" s="27"/>
    </row>
    <row r="7" spans="1:25" s="86" customFormat="1" ht="21" customHeight="1">
      <c r="B7" s="80"/>
      <c r="C7" s="81"/>
      <c r="D7" s="82"/>
      <c r="E7" s="83"/>
      <c r="F7" s="675"/>
      <c r="G7" s="88"/>
      <c r="H7" s="27"/>
    </row>
    <row r="8" spans="1:25" s="86" customFormat="1" ht="14.25">
      <c r="B8" s="682" t="s">
        <v>551</v>
      </c>
      <c r="C8" s="683" t="s">
        <v>1411</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G194</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2373"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1235</v>
      </c>
      <c r="F26" s="1082">
        <v>0</v>
      </c>
      <c r="G26" s="1083">
        <f t="shared" ref="G26" si="0">E26*F26</f>
        <v>0</v>
      </c>
    </row>
    <row r="27" spans="2:25">
      <c r="B27" s="125">
        <v>2</v>
      </c>
      <c r="C27" s="144" t="s">
        <v>58</v>
      </c>
      <c r="D27" s="140" t="s">
        <v>57</v>
      </c>
      <c r="E27" s="1081">
        <f>E26</f>
        <v>1235</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24">
      <c r="B31" s="125">
        <v>6</v>
      </c>
      <c r="C31" s="1084" t="s">
        <v>63</v>
      </c>
      <c r="D31" s="140" t="s">
        <v>57</v>
      </c>
      <c r="E31" s="1081">
        <f>E26</f>
        <v>1235</v>
      </c>
      <c r="F31" s="1082">
        <v>0</v>
      </c>
      <c r="G31" s="1083">
        <f t="shared" si="1"/>
        <v>0</v>
      </c>
    </row>
    <row r="32" spans="2:25" ht="48">
      <c r="B32" s="125">
        <v>7</v>
      </c>
      <c r="C32" s="1084" t="s">
        <v>64</v>
      </c>
      <c r="D32" s="146" t="s">
        <v>60</v>
      </c>
      <c r="E32" s="1081">
        <v>1</v>
      </c>
      <c r="F32" s="1082">
        <v>0</v>
      </c>
      <c r="G32" s="1083">
        <f t="shared" si="1"/>
        <v>0</v>
      </c>
    </row>
    <row r="33" spans="1:25" ht="54.75" customHeight="1">
      <c r="B33" s="125">
        <v>8</v>
      </c>
      <c r="C33" s="1080" t="s">
        <v>2292</v>
      </c>
      <c r="D33" s="146" t="s">
        <v>66</v>
      </c>
      <c r="E33" s="1081">
        <v>43</v>
      </c>
      <c r="F33" s="1082">
        <v>0</v>
      </c>
      <c r="G33" s="1083">
        <f t="shared" si="1"/>
        <v>0</v>
      </c>
    </row>
    <row r="34" spans="1:25" ht="36">
      <c r="B34" s="125">
        <v>9</v>
      </c>
      <c r="C34" s="1080" t="s">
        <v>2295</v>
      </c>
      <c r="D34" s="146" t="s">
        <v>57</v>
      </c>
      <c r="E34" s="1081">
        <f>E26+E84+E85</f>
        <v>1434</v>
      </c>
      <c r="F34" s="1082">
        <v>0</v>
      </c>
      <c r="G34" s="1083">
        <f t="shared" si="1"/>
        <v>0</v>
      </c>
    </row>
    <row r="35" spans="1:25" ht="24">
      <c r="B35" s="125">
        <v>10</v>
      </c>
      <c r="C35" s="1080" t="s">
        <v>2293</v>
      </c>
      <c r="D35" s="146" t="s">
        <v>57</v>
      </c>
      <c r="E35" s="1081">
        <f>E26+E84+E85</f>
        <v>1434</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70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333.45</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1889.55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1852.5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1235</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1482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741</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1391</v>
      </c>
      <c r="D54" s="140" t="s">
        <v>78</v>
      </c>
      <c r="E54" s="1094">
        <f>E26*1.2</f>
        <v>1482</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829.92000000000007</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829.92000000000007</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92.625</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14</v>
      </c>
      <c r="C59" s="177" t="s">
        <v>96</v>
      </c>
      <c r="D59" s="140" t="s">
        <v>57</v>
      </c>
      <c r="E59" s="128">
        <v>17</v>
      </c>
      <c r="F59" s="1092">
        <v>0</v>
      </c>
      <c r="G59" s="142">
        <f t="shared" si="2"/>
        <v>0</v>
      </c>
      <c r="I59" s="1"/>
      <c r="J59" s="1"/>
      <c r="K59" s="1"/>
      <c r="L59" s="1"/>
      <c r="M59" s="1"/>
      <c r="N59" s="1"/>
      <c r="O59" s="1"/>
      <c r="P59" s="1"/>
      <c r="Q59" s="1"/>
      <c r="R59" s="1"/>
      <c r="S59" s="1"/>
      <c r="T59" s="1"/>
      <c r="U59" s="1"/>
      <c r="V59" s="1"/>
      <c r="W59" s="1"/>
      <c r="X59" s="1"/>
      <c r="Y59" s="1"/>
    </row>
    <row r="60" spans="1:25" s="8" customFormat="1" ht="48">
      <c r="A60" s="1"/>
      <c r="B60" s="167">
        <v>15</v>
      </c>
      <c r="C60" s="1096" t="s">
        <v>1393</v>
      </c>
      <c r="D60" s="182" t="s">
        <v>74</v>
      </c>
      <c r="E60" s="1097">
        <v>7</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16</v>
      </c>
      <c r="C61" s="1096" t="s">
        <v>270</v>
      </c>
      <c r="D61" s="182" t="s">
        <v>66</v>
      </c>
      <c r="E61" s="1097">
        <v>31</v>
      </c>
      <c r="F61" s="1092">
        <v>0</v>
      </c>
      <c r="G61" s="1083">
        <f t="shared" si="2"/>
        <v>0</v>
      </c>
      <c r="I61" s="1"/>
      <c r="J61" s="1"/>
      <c r="K61" s="1"/>
      <c r="L61" s="1"/>
      <c r="M61" s="1"/>
      <c r="N61" s="1"/>
      <c r="O61" s="1"/>
      <c r="P61" s="1"/>
      <c r="Q61" s="1"/>
      <c r="R61" s="1"/>
      <c r="S61" s="1"/>
      <c r="T61" s="1"/>
      <c r="U61" s="1"/>
      <c r="V61" s="1"/>
      <c r="W61" s="1"/>
      <c r="X61" s="1"/>
      <c r="Y61" s="1"/>
    </row>
    <row r="62" spans="1:25" s="8" customFormat="1" ht="36">
      <c r="A62" s="1"/>
      <c r="B62" s="167">
        <v>17</v>
      </c>
      <c r="C62" s="1096" t="s">
        <v>99</v>
      </c>
      <c r="D62" s="182" t="s">
        <v>74</v>
      </c>
      <c r="E62" s="1097">
        <v>4</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18</v>
      </c>
      <c r="C63" s="1096" t="s">
        <v>100</v>
      </c>
      <c r="D63" s="182" t="s">
        <v>65</v>
      </c>
      <c r="E63" s="1097">
        <v>35</v>
      </c>
      <c r="F63" s="1092">
        <v>0</v>
      </c>
      <c r="G63" s="1083">
        <f t="shared" si="2"/>
        <v>0</v>
      </c>
      <c r="I63" s="1"/>
      <c r="J63" s="1"/>
      <c r="K63" s="1"/>
      <c r="L63" s="1"/>
      <c r="M63" s="1"/>
      <c r="N63" s="1"/>
      <c r="O63" s="1"/>
      <c r="P63" s="1"/>
      <c r="Q63" s="1"/>
      <c r="R63" s="1"/>
      <c r="S63" s="1"/>
      <c r="T63" s="1"/>
      <c r="U63" s="1"/>
      <c r="V63" s="1"/>
      <c r="W63" s="1"/>
      <c r="X63" s="1"/>
      <c r="Y63" s="1"/>
    </row>
    <row r="64" spans="1:25" s="8" customFormat="1" ht="48">
      <c r="A64" s="1"/>
      <c r="B64" s="167">
        <v>19</v>
      </c>
      <c r="C64" s="139" t="s">
        <v>1394</v>
      </c>
      <c r="D64" s="140" t="s">
        <v>78</v>
      </c>
      <c r="E64" s="1091">
        <f>E26*1</f>
        <v>1235</v>
      </c>
      <c r="F64" s="1092">
        <v>0</v>
      </c>
      <c r="G64" s="109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9" t="s">
        <v>271</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104</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105</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787*0.9</f>
        <v>708.30000000000007</v>
      </c>
      <c r="F80" s="1092">
        <v>0</v>
      </c>
      <c r="G80" s="1093">
        <f>E80*F80</f>
        <v>0</v>
      </c>
    </row>
    <row r="81" spans="2:7" ht="24">
      <c r="B81" s="191"/>
      <c r="C81" s="192" t="s">
        <v>884</v>
      </c>
      <c r="D81" s="190" t="s">
        <v>57</v>
      </c>
      <c r="E81" s="719">
        <f>787*0.1</f>
        <v>78.7</v>
      </c>
      <c r="F81" s="1092">
        <v>0</v>
      </c>
      <c r="G81" s="1093">
        <f>E81*F81</f>
        <v>0</v>
      </c>
    </row>
    <row r="82" spans="2:7">
      <c r="B82" s="191"/>
      <c r="C82" s="192" t="s">
        <v>226</v>
      </c>
      <c r="D82" s="190" t="s">
        <v>57</v>
      </c>
      <c r="E82" s="719">
        <f>448*0.9</f>
        <v>403.2</v>
      </c>
      <c r="F82" s="1092">
        <v>0</v>
      </c>
      <c r="G82" s="1093">
        <f t="shared" ref="G82:G90" si="3">E82*F82</f>
        <v>0</v>
      </c>
    </row>
    <row r="83" spans="2:7" ht="24">
      <c r="B83" s="191"/>
      <c r="C83" s="192" t="s">
        <v>227</v>
      </c>
      <c r="D83" s="190" t="s">
        <v>57</v>
      </c>
      <c r="E83" s="719">
        <f>448*0.1</f>
        <v>44.800000000000004</v>
      </c>
      <c r="F83" s="1092">
        <v>0</v>
      </c>
      <c r="G83" s="1093">
        <f t="shared" si="3"/>
        <v>0</v>
      </c>
    </row>
    <row r="84" spans="2:7">
      <c r="B84" s="191"/>
      <c r="C84" s="192" t="s">
        <v>109</v>
      </c>
      <c r="D84" s="190" t="s">
        <v>57</v>
      </c>
      <c r="E84" s="719">
        <f>199*0.9</f>
        <v>179.1</v>
      </c>
      <c r="F84" s="1092">
        <v>0</v>
      </c>
      <c r="G84" s="1093">
        <f t="shared" si="3"/>
        <v>0</v>
      </c>
    </row>
    <row r="85" spans="2:7" ht="24">
      <c r="B85" s="191"/>
      <c r="C85" s="192" t="s">
        <v>110</v>
      </c>
      <c r="D85" s="190" t="s">
        <v>57</v>
      </c>
      <c r="E85" s="719">
        <f>199*0.1</f>
        <v>19.900000000000002</v>
      </c>
      <c r="F85" s="1092">
        <v>0</v>
      </c>
      <c r="G85" s="1093">
        <f t="shared" si="3"/>
        <v>0</v>
      </c>
    </row>
    <row r="86" spans="2:7" ht="36">
      <c r="B86" s="2404" t="s">
        <v>111</v>
      </c>
      <c r="C86" s="193" t="s">
        <v>112</v>
      </c>
      <c r="D86" s="194"/>
      <c r="E86" s="719"/>
      <c r="F86" s="1092"/>
      <c r="G86" s="1093"/>
    </row>
    <row r="87" spans="2:7">
      <c r="B87" s="2405"/>
      <c r="C87" s="195" t="s">
        <v>113</v>
      </c>
      <c r="D87" s="194" t="s">
        <v>57</v>
      </c>
      <c r="E87" s="719">
        <v>120</v>
      </c>
      <c r="F87" s="1092">
        <v>0</v>
      </c>
      <c r="G87" s="1093">
        <f>E87*F87</f>
        <v>0</v>
      </c>
    </row>
    <row r="88" spans="2:7">
      <c r="B88" s="2405"/>
      <c r="C88" s="195" t="s">
        <v>274</v>
      </c>
      <c r="D88" s="194" t="s">
        <v>57</v>
      </c>
      <c r="E88" s="719">
        <v>68</v>
      </c>
      <c r="F88" s="1092">
        <v>0</v>
      </c>
      <c r="G88" s="1093">
        <f>E88*F88</f>
        <v>0</v>
      </c>
    </row>
    <row r="89" spans="2:7">
      <c r="B89" s="2413"/>
      <c r="C89" s="195" t="s">
        <v>275</v>
      </c>
      <c r="D89" s="194" t="s">
        <v>57</v>
      </c>
      <c r="E89" s="719">
        <v>30</v>
      </c>
      <c r="F89" s="1092">
        <v>0</v>
      </c>
      <c r="G89" s="1093">
        <f>E89*F89</f>
        <v>0</v>
      </c>
    </row>
    <row r="90" spans="2:7" ht="36">
      <c r="B90" s="196">
        <v>2</v>
      </c>
      <c r="C90" s="197" t="s">
        <v>114</v>
      </c>
      <c r="D90" s="145" t="s">
        <v>57</v>
      </c>
      <c r="E90" s="732">
        <f>SUM(E80:E85)</f>
        <v>1434</v>
      </c>
      <c r="F90" s="1092">
        <v>0</v>
      </c>
      <c r="G90" s="1093">
        <f t="shared" si="3"/>
        <v>0</v>
      </c>
    </row>
    <row r="91" spans="2:7" ht="36">
      <c r="B91" s="199" t="s">
        <v>115</v>
      </c>
      <c r="C91" s="197" t="s">
        <v>116</v>
      </c>
      <c r="D91" s="145" t="s">
        <v>57</v>
      </c>
      <c r="E91" s="732">
        <f>E90</f>
        <v>1434</v>
      </c>
      <c r="F91" s="1092">
        <v>0</v>
      </c>
      <c r="G91" s="1093">
        <f>E91*F91</f>
        <v>0</v>
      </c>
    </row>
    <row r="92" spans="2:7" ht="24">
      <c r="B92" s="199" t="s">
        <v>117</v>
      </c>
      <c r="C92" s="197" t="s">
        <v>118</v>
      </c>
      <c r="D92" s="145" t="s">
        <v>57</v>
      </c>
      <c r="E92" s="732">
        <f>E90</f>
        <v>1434</v>
      </c>
      <c r="F92" s="1092">
        <v>0</v>
      </c>
      <c r="G92" s="1093">
        <f>E92*F92</f>
        <v>0</v>
      </c>
    </row>
    <row r="93" spans="2:7" ht="36">
      <c r="B93" s="199" t="s">
        <v>119</v>
      </c>
      <c r="C93" s="197" t="s">
        <v>120</v>
      </c>
      <c r="D93" s="145" t="s">
        <v>57</v>
      </c>
      <c r="E93" s="732">
        <f>E90</f>
        <v>1434</v>
      </c>
      <c r="F93" s="1092">
        <v>0</v>
      </c>
      <c r="G93" s="1093">
        <f>E93*F93</f>
        <v>0</v>
      </c>
    </row>
    <row r="94" spans="2:7" ht="24">
      <c r="B94" s="188">
        <v>3</v>
      </c>
      <c r="C94" s="200" t="s">
        <v>121</v>
      </c>
      <c r="D94" s="127"/>
      <c r="E94" s="719"/>
      <c r="F94" s="719"/>
      <c r="G94" s="731"/>
    </row>
    <row r="95" spans="2:7">
      <c r="B95" s="201" t="s">
        <v>122</v>
      </c>
      <c r="C95" s="202" t="s">
        <v>123</v>
      </c>
      <c r="D95" s="203"/>
      <c r="E95" s="204"/>
      <c r="F95" s="205"/>
      <c r="G95" s="206"/>
    </row>
    <row r="96" spans="2:7">
      <c r="B96" s="125"/>
      <c r="C96" s="202" t="s">
        <v>124</v>
      </c>
      <c r="D96" s="203"/>
      <c r="E96" s="204"/>
      <c r="F96" s="205"/>
      <c r="G96" s="206"/>
    </row>
    <row r="97" spans="2:7">
      <c r="B97" s="207"/>
      <c r="C97" s="208" t="s">
        <v>199</v>
      </c>
      <c r="D97" s="209" t="s">
        <v>66</v>
      </c>
      <c r="E97" s="204">
        <v>4</v>
      </c>
      <c r="F97" s="210">
        <v>0</v>
      </c>
      <c r="G97" s="211">
        <f>E97*F97</f>
        <v>0</v>
      </c>
    </row>
    <row r="98" spans="2:7">
      <c r="B98" s="207"/>
      <c r="C98" s="208" t="s">
        <v>125</v>
      </c>
      <c r="D98" s="209" t="s">
        <v>66</v>
      </c>
      <c r="E98" s="204">
        <v>2</v>
      </c>
      <c r="F98" s="210">
        <v>0</v>
      </c>
      <c r="G98" s="211">
        <f>E98*F98</f>
        <v>0</v>
      </c>
    </row>
    <row r="99" spans="2:7">
      <c r="B99" s="125"/>
      <c r="C99" s="202" t="s">
        <v>311</v>
      </c>
      <c r="D99" s="203"/>
      <c r="E99" s="204"/>
      <c r="F99" s="205"/>
      <c r="G99" s="206"/>
    </row>
    <row r="100" spans="2:7">
      <c r="B100" s="207"/>
      <c r="C100" s="208" t="s">
        <v>312</v>
      </c>
      <c r="D100" s="209" t="s">
        <v>66</v>
      </c>
      <c r="E100" s="204">
        <v>5</v>
      </c>
      <c r="F100" s="210">
        <v>0</v>
      </c>
      <c r="G100" s="211">
        <f>E100*F100</f>
        <v>0</v>
      </c>
    </row>
    <row r="101" spans="2:7">
      <c r="B101" s="207"/>
      <c r="C101" s="208" t="s">
        <v>313</v>
      </c>
      <c r="D101" s="209" t="s">
        <v>66</v>
      </c>
      <c r="E101" s="204">
        <v>3</v>
      </c>
      <c r="F101" s="210">
        <v>0</v>
      </c>
      <c r="G101" s="211">
        <f>E101*F101</f>
        <v>0</v>
      </c>
    </row>
    <row r="102" spans="2:7">
      <c r="B102" s="201" t="s">
        <v>126</v>
      </c>
      <c r="C102" s="212" t="s">
        <v>127</v>
      </c>
      <c r="D102" s="213"/>
      <c r="E102" s="214"/>
      <c r="F102" s="215">
        <v>0</v>
      </c>
      <c r="G102" s="216"/>
    </row>
    <row r="103" spans="2:7">
      <c r="B103" s="218"/>
      <c r="C103" s="212" t="s">
        <v>128</v>
      </c>
      <c r="D103" s="735"/>
      <c r="E103" s="736"/>
      <c r="F103" s="1601"/>
      <c r="G103" s="1121"/>
    </row>
    <row r="104" spans="2:7">
      <c r="B104" s="218"/>
      <c r="C104" s="219" t="s">
        <v>129</v>
      </c>
      <c r="D104" s="213" t="s">
        <v>66</v>
      </c>
      <c r="E104" s="214">
        <v>2</v>
      </c>
      <c r="F104" s="1599">
        <v>0</v>
      </c>
      <c r="G104" s="221">
        <f t="shared" ref="G104:G122" si="4">E104*F104</f>
        <v>0</v>
      </c>
    </row>
    <row r="105" spans="2:7" ht="36">
      <c r="B105" s="218"/>
      <c r="C105" s="222" t="s">
        <v>130</v>
      </c>
      <c r="D105" s="213" t="s">
        <v>66</v>
      </c>
      <c r="E105" s="214">
        <v>2</v>
      </c>
      <c r="F105" s="1599">
        <v>0</v>
      </c>
      <c r="G105" s="221">
        <f t="shared" si="4"/>
        <v>0</v>
      </c>
    </row>
    <row r="106" spans="2:7">
      <c r="B106" s="218"/>
      <c r="C106" s="222" t="s">
        <v>183</v>
      </c>
      <c r="D106" s="213" t="s">
        <v>66</v>
      </c>
      <c r="E106" s="214">
        <v>2</v>
      </c>
      <c r="F106" s="1599">
        <v>0</v>
      </c>
      <c r="G106" s="221">
        <f t="shared" si="4"/>
        <v>0</v>
      </c>
    </row>
    <row r="107" spans="2:7">
      <c r="B107" s="218"/>
      <c r="C107" s="222" t="s">
        <v>131</v>
      </c>
      <c r="D107" s="213" t="s">
        <v>66</v>
      </c>
      <c r="E107" s="214">
        <v>2</v>
      </c>
      <c r="F107" s="1599">
        <v>0</v>
      </c>
      <c r="G107" s="221">
        <f t="shared" si="4"/>
        <v>0</v>
      </c>
    </row>
    <row r="108" spans="2:7">
      <c r="B108" s="218"/>
      <c r="C108" s="222" t="s">
        <v>132</v>
      </c>
      <c r="D108" s="213" t="s">
        <v>66</v>
      </c>
      <c r="E108" s="214">
        <v>4</v>
      </c>
      <c r="F108" s="1599">
        <v>0</v>
      </c>
      <c r="G108" s="221">
        <f t="shared" si="4"/>
        <v>0</v>
      </c>
    </row>
    <row r="109" spans="2:7">
      <c r="B109" s="218"/>
      <c r="C109" s="222" t="s">
        <v>133</v>
      </c>
      <c r="D109" s="213" t="s">
        <v>66</v>
      </c>
      <c r="E109" s="214">
        <v>4</v>
      </c>
      <c r="F109" s="1599">
        <v>0</v>
      </c>
      <c r="G109" s="221">
        <f t="shared" si="4"/>
        <v>0</v>
      </c>
    </row>
    <row r="110" spans="2:7">
      <c r="B110" s="218"/>
      <c r="C110" s="222" t="s">
        <v>134</v>
      </c>
      <c r="D110" s="213" t="s">
        <v>66</v>
      </c>
      <c r="E110" s="214">
        <v>2</v>
      </c>
      <c r="F110" s="1599">
        <v>0</v>
      </c>
      <c r="G110" s="221">
        <f t="shared" si="4"/>
        <v>0</v>
      </c>
    </row>
    <row r="111" spans="2:7">
      <c r="B111" s="218"/>
      <c r="C111" s="222" t="s">
        <v>135</v>
      </c>
      <c r="D111" s="213" t="s">
        <v>66</v>
      </c>
      <c r="E111" s="214">
        <v>2</v>
      </c>
      <c r="F111" s="1599">
        <v>0</v>
      </c>
      <c r="G111" s="221">
        <f t="shared" si="4"/>
        <v>0</v>
      </c>
    </row>
    <row r="112" spans="2:7">
      <c r="B112" s="218"/>
      <c r="C112" s="212" t="s">
        <v>318</v>
      </c>
      <c r="D112" s="735"/>
      <c r="E112" s="736"/>
      <c r="F112" s="1599"/>
      <c r="G112" s="221"/>
    </row>
    <row r="113" spans="2:7">
      <c r="B113" s="218"/>
      <c r="C113" s="219" t="s">
        <v>319</v>
      </c>
      <c r="D113" s="213" t="s">
        <v>66</v>
      </c>
      <c r="E113" s="214">
        <v>2</v>
      </c>
      <c r="F113" s="1599">
        <v>0</v>
      </c>
      <c r="G113" s="221">
        <f t="shared" si="4"/>
        <v>0</v>
      </c>
    </row>
    <row r="114" spans="2:7" ht="36">
      <c r="B114" s="218"/>
      <c r="C114" s="222" t="s">
        <v>283</v>
      </c>
      <c r="D114" s="213" t="s">
        <v>66</v>
      </c>
      <c r="E114" s="214">
        <v>2</v>
      </c>
      <c r="F114" s="1599">
        <v>0</v>
      </c>
      <c r="G114" s="221">
        <f t="shared" si="4"/>
        <v>0</v>
      </c>
    </row>
    <row r="115" spans="2:7">
      <c r="B115" s="218"/>
      <c r="C115" s="222" t="s">
        <v>183</v>
      </c>
      <c r="D115" s="213" t="s">
        <v>66</v>
      </c>
      <c r="E115" s="214">
        <v>2</v>
      </c>
      <c r="F115" s="1599">
        <v>0</v>
      </c>
      <c r="G115" s="221">
        <f t="shared" si="4"/>
        <v>0</v>
      </c>
    </row>
    <row r="116" spans="2:7">
      <c r="B116" s="218"/>
      <c r="C116" s="222" t="s">
        <v>131</v>
      </c>
      <c r="D116" s="213" t="s">
        <v>66</v>
      </c>
      <c r="E116" s="214">
        <v>2</v>
      </c>
      <c r="F116" s="1599">
        <v>0</v>
      </c>
      <c r="G116" s="221">
        <f t="shared" si="4"/>
        <v>0</v>
      </c>
    </row>
    <row r="117" spans="2:7">
      <c r="B117" s="218"/>
      <c r="C117" s="1133" t="s">
        <v>166</v>
      </c>
      <c r="D117" s="213" t="s">
        <v>66</v>
      </c>
      <c r="E117" s="214">
        <v>4</v>
      </c>
      <c r="F117" s="1599">
        <v>0</v>
      </c>
      <c r="G117" s="221">
        <f t="shared" si="4"/>
        <v>0</v>
      </c>
    </row>
    <row r="118" spans="2:7">
      <c r="B118" s="218"/>
      <c r="C118" s="1133" t="s">
        <v>167</v>
      </c>
      <c r="D118" s="213" t="s">
        <v>66</v>
      </c>
      <c r="E118" s="214">
        <v>4</v>
      </c>
      <c r="F118" s="1599">
        <v>0</v>
      </c>
      <c r="G118" s="221">
        <f t="shared" si="4"/>
        <v>0</v>
      </c>
    </row>
    <row r="119" spans="2:7">
      <c r="B119" s="218"/>
      <c r="C119" s="1133" t="s">
        <v>229</v>
      </c>
      <c r="D119" s="213" t="s">
        <v>66</v>
      </c>
      <c r="E119" s="214">
        <v>4</v>
      </c>
      <c r="F119" s="1599">
        <v>0</v>
      </c>
      <c r="G119" s="221">
        <f t="shared" si="4"/>
        <v>0</v>
      </c>
    </row>
    <row r="120" spans="2:7">
      <c r="B120" s="218"/>
      <c r="C120" s="1133" t="s">
        <v>230</v>
      </c>
      <c r="D120" s="213" t="s">
        <v>66</v>
      </c>
      <c r="E120" s="214">
        <v>4</v>
      </c>
      <c r="F120" s="1599">
        <v>0</v>
      </c>
      <c r="G120" s="221">
        <f t="shared" si="4"/>
        <v>0</v>
      </c>
    </row>
    <row r="121" spans="2:7">
      <c r="B121" s="218"/>
      <c r="C121" s="1133" t="s">
        <v>134</v>
      </c>
      <c r="D121" s="213" t="s">
        <v>66</v>
      </c>
      <c r="E121" s="214">
        <v>2</v>
      </c>
      <c r="F121" s="1599">
        <v>0</v>
      </c>
      <c r="G121" s="221">
        <f t="shared" si="4"/>
        <v>0</v>
      </c>
    </row>
    <row r="122" spans="2:7">
      <c r="B122" s="218"/>
      <c r="C122" s="1134" t="s">
        <v>135</v>
      </c>
      <c r="D122" s="213" t="s">
        <v>66</v>
      </c>
      <c r="E122" s="214">
        <v>2</v>
      </c>
      <c r="F122" s="1599">
        <v>0</v>
      </c>
      <c r="G122" s="221">
        <f t="shared" si="4"/>
        <v>0</v>
      </c>
    </row>
    <row r="123" spans="2:7">
      <c r="B123" s="201" t="s">
        <v>136</v>
      </c>
      <c r="C123" s="238" t="s">
        <v>320</v>
      </c>
      <c r="D123" s="239"/>
      <c r="E123" s="240"/>
      <c r="F123" s="241"/>
      <c r="G123" s="242"/>
    </row>
    <row r="124" spans="2:7">
      <c r="B124" s="218"/>
      <c r="C124" s="238" t="s">
        <v>326</v>
      </c>
      <c r="D124" s="153"/>
      <c r="E124" s="741"/>
      <c r="F124" s="1611"/>
      <c r="G124" s="263"/>
    </row>
    <row r="125" spans="2:7" ht="27" customHeight="1">
      <c r="B125" s="218"/>
      <c r="C125" s="1123" t="s">
        <v>322</v>
      </c>
      <c r="D125" s="239" t="s">
        <v>66</v>
      </c>
      <c r="E125" s="240">
        <v>3</v>
      </c>
      <c r="F125" s="1609">
        <v>0</v>
      </c>
      <c r="G125" s="245">
        <f t="shared" ref="G125:G127" si="5">E125*F125</f>
        <v>0</v>
      </c>
    </row>
    <row r="126" spans="2:7">
      <c r="B126" s="218"/>
      <c r="C126" s="246" t="s">
        <v>325</v>
      </c>
      <c r="D126" s="239" t="s">
        <v>66</v>
      </c>
      <c r="E126" s="240">
        <v>3</v>
      </c>
      <c r="F126" s="1609">
        <v>0</v>
      </c>
      <c r="G126" s="245">
        <f t="shared" si="5"/>
        <v>0</v>
      </c>
    </row>
    <row r="127" spans="2:7">
      <c r="B127" s="218"/>
      <c r="C127" s="247" t="s">
        <v>135</v>
      </c>
      <c r="D127" s="239" t="s">
        <v>66</v>
      </c>
      <c r="E127" s="240">
        <v>3</v>
      </c>
      <c r="F127" s="1609">
        <v>0</v>
      </c>
      <c r="G127" s="245">
        <f t="shared" si="5"/>
        <v>0</v>
      </c>
    </row>
    <row r="128" spans="2:7">
      <c r="B128" s="201" t="s">
        <v>151</v>
      </c>
      <c r="C128" s="223" t="s">
        <v>137</v>
      </c>
      <c r="D128" s="224"/>
      <c r="E128" s="225"/>
      <c r="F128" s="226"/>
      <c r="G128" s="227"/>
    </row>
    <row r="129" spans="2:7">
      <c r="B129" s="218"/>
      <c r="C129" s="223" t="s">
        <v>138</v>
      </c>
      <c r="D129" s="737"/>
      <c r="E129" s="738"/>
      <c r="F129" s="1605"/>
      <c r="G129" s="1125"/>
    </row>
    <row r="130" spans="2:7">
      <c r="B130" s="218"/>
      <c r="C130" s="228" t="s">
        <v>129</v>
      </c>
      <c r="D130" s="224" t="s">
        <v>66</v>
      </c>
      <c r="E130" s="225">
        <v>1</v>
      </c>
      <c r="F130" s="1603">
        <v>0</v>
      </c>
      <c r="G130" s="230">
        <f t="shared" ref="G130:G145" si="6">E130*F130</f>
        <v>0</v>
      </c>
    </row>
    <row r="131" spans="2:7">
      <c r="B131" s="218"/>
      <c r="C131" s="228" t="s">
        <v>139</v>
      </c>
      <c r="D131" s="224" t="s">
        <v>66</v>
      </c>
      <c r="E131" s="225">
        <v>2</v>
      </c>
      <c r="F131" s="1603">
        <v>0</v>
      </c>
      <c r="G131" s="230">
        <f t="shared" si="6"/>
        <v>0</v>
      </c>
    </row>
    <row r="132" spans="2:7">
      <c r="B132" s="218"/>
      <c r="C132" s="231" t="s">
        <v>140</v>
      </c>
      <c r="D132" s="224" t="s">
        <v>66</v>
      </c>
      <c r="E132" s="225">
        <v>1</v>
      </c>
      <c r="F132" s="1603">
        <v>0</v>
      </c>
      <c r="G132" s="230">
        <f t="shared" si="6"/>
        <v>0</v>
      </c>
    </row>
    <row r="133" spans="2:7">
      <c r="B133" s="218"/>
      <c r="C133" s="231" t="s">
        <v>141</v>
      </c>
      <c r="D133" s="224" t="s">
        <v>66</v>
      </c>
      <c r="E133" s="225">
        <v>1</v>
      </c>
      <c r="F133" s="1603">
        <v>0</v>
      </c>
      <c r="G133" s="230">
        <f t="shared" si="6"/>
        <v>0</v>
      </c>
    </row>
    <row r="134" spans="2:7">
      <c r="B134" s="218"/>
      <c r="C134" s="231" t="s">
        <v>142</v>
      </c>
      <c r="D134" s="224" t="s">
        <v>66</v>
      </c>
      <c r="E134" s="225">
        <v>1</v>
      </c>
      <c r="F134" s="1603">
        <v>0</v>
      </c>
      <c r="G134" s="230">
        <f t="shared" si="6"/>
        <v>0</v>
      </c>
    </row>
    <row r="135" spans="2:7">
      <c r="B135" s="218"/>
      <c r="C135" s="231" t="s">
        <v>143</v>
      </c>
      <c r="D135" s="224" t="s">
        <v>66</v>
      </c>
      <c r="E135" s="225">
        <v>1</v>
      </c>
      <c r="F135" s="1603">
        <v>0</v>
      </c>
      <c r="G135" s="230">
        <f t="shared" si="6"/>
        <v>0</v>
      </c>
    </row>
    <row r="136" spans="2:7">
      <c r="B136" s="218"/>
      <c r="C136" s="231" t="s">
        <v>2250</v>
      </c>
      <c r="D136" s="224" t="s">
        <v>66</v>
      </c>
      <c r="E136" s="225">
        <v>1</v>
      </c>
      <c r="F136" s="1603">
        <v>0</v>
      </c>
      <c r="G136" s="230">
        <f t="shared" si="6"/>
        <v>0</v>
      </c>
    </row>
    <row r="137" spans="2:7">
      <c r="B137" s="218"/>
      <c r="C137" s="231" t="s">
        <v>145</v>
      </c>
      <c r="D137" s="224" t="s">
        <v>66</v>
      </c>
      <c r="E137" s="225">
        <v>1</v>
      </c>
      <c r="F137" s="1603">
        <v>0</v>
      </c>
      <c r="G137" s="230">
        <f t="shared" si="6"/>
        <v>0</v>
      </c>
    </row>
    <row r="138" spans="2:7">
      <c r="B138" s="218"/>
      <c r="C138" s="231" t="s">
        <v>146</v>
      </c>
      <c r="D138" s="224" t="s">
        <v>66</v>
      </c>
      <c r="E138" s="225">
        <v>1</v>
      </c>
      <c r="F138" s="1603">
        <v>0</v>
      </c>
      <c r="G138" s="230">
        <f t="shared" si="6"/>
        <v>0</v>
      </c>
    </row>
    <row r="139" spans="2:7">
      <c r="B139" s="218"/>
      <c r="C139" s="739" t="s">
        <v>147</v>
      </c>
      <c r="D139" s="224" t="s">
        <v>66</v>
      </c>
      <c r="E139" s="225">
        <v>1</v>
      </c>
      <c r="F139" s="1603">
        <v>0</v>
      </c>
      <c r="G139" s="230">
        <f t="shared" si="6"/>
        <v>0</v>
      </c>
    </row>
    <row r="140" spans="2:7">
      <c r="B140" s="218"/>
      <c r="C140" s="739" t="s">
        <v>188</v>
      </c>
      <c r="D140" s="224" t="s">
        <v>66</v>
      </c>
      <c r="E140" s="225">
        <v>1</v>
      </c>
      <c r="F140" s="1603">
        <v>0</v>
      </c>
      <c r="G140" s="230">
        <f t="shared" si="6"/>
        <v>0</v>
      </c>
    </row>
    <row r="141" spans="2:7">
      <c r="B141" s="218"/>
      <c r="C141" s="739" t="s">
        <v>132</v>
      </c>
      <c r="D141" s="224" t="s">
        <v>66</v>
      </c>
      <c r="E141" s="225">
        <v>2</v>
      </c>
      <c r="F141" s="1603">
        <v>0</v>
      </c>
      <c r="G141" s="230">
        <f t="shared" si="6"/>
        <v>0</v>
      </c>
    </row>
    <row r="142" spans="2:7">
      <c r="B142" s="218"/>
      <c r="C142" s="739" t="s">
        <v>148</v>
      </c>
      <c r="D142" s="224" t="s">
        <v>66</v>
      </c>
      <c r="E142" s="225">
        <v>2</v>
      </c>
      <c r="F142" s="1603">
        <v>0</v>
      </c>
      <c r="G142" s="230">
        <f t="shared" si="6"/>
        <v>0</v>
      </c>
    </row>
    <row r="143" spans="2:7">
      <c r="B143" s="218"/>
      <c r="C143" s="739" t="s">
        <v>149</v>
      </c>
      <c r="D143" s="224" t="s">
        <v>66</v>
      </c>
      <c r="E143" s="225">
        <v>1</v>
      </c>
      <c r="F143" s="1603">
        <v>0</v>
      </c>
      <c r="G143" s="230">
        <f t="shared" si="6"/>
        <v>0</v>
      </c>
    </row>
    <row r="144" spans="2:7">
      <c r="B144" s="218"/>
      <c r="C144" s="739" t="s">
        <v>150</v>
      </c>
      <c r="D144" s="224" t="s">
        <v>66</v>
      </c>
      <c r="E144" s="225">
        <v>3</v>
      </c>
      <c r="F144" s="1603">
        <v>0</v>
      </c>
      <c r="G144" s="230">
        <f t="shared" si="6"/>
        <v>0</v>
      </c>
    </row>
    <row r="145" spans="2:7">
      <c r="B145" s="218"/>
      <c r="C145" s="740" t="s">
        <v>135</v>
      </c>
      <c r="D145" s="224" t="s">
        <v>66</v>
      </c>
      <c r="E145" s="225">
        <v>1</v>
      </c>
      <c r="F145" s="1603">
        <v>0</v>
      </c>
      <c r="G145" s="230">
        <f t="shared" si="6"/>
        <v>0</v>
      </c>
    </row>
    <row r="146" spans="2:7">
      <c r="B146" s="201" t="s">
        <v>159</v>
      </c>
      <c r="C146" s="212" t="s">
        <v>152</v>
      </c>
      <c r="D146" s="213"/>
      <c r="E146" s="214"/>
      <c r="F146" s="215"/>
      <c r="G146" s="216"/>
    </row>
    <row r="147" spans="2:7">
      <c r="B147" s="218"/>
      <c r="C147" s="212" t="s">
        <v>153</v>
      </c>
      <c r="D147" s="735"/>
      <c r="E147" s="736"/>
      <c r="F147" s="1601"/>
      <c r="G147" s="1121"/>
    </row>
    <row r="148" spans="2:7">
      <c r="B148" s="218"/>
      <c r="C148" s="219" t="s">
        <v>129</v>
      </c>
      <c r="D148" s="213" t="s">
        <v>66</v>
      </c>
      <c r="E148" s="214">
        <v>5</v>
      </c>
      <c r="F148" s="1599">
        <v>0</v>
      </c>
      <c r="G148" s="221">
        <f t="shared" ref="G148:G158" si="7">E148*F148</f>
        <v>0</v>
      </c>
    </row>
    <row r="149" spans="2:7" ht="24">
      <c r="B149" s="218"/>
      <c r="C149" s="222" t="s">
        <v>154</v>
      </c>
      <c r="D149" s="213" t="s">
        <v>66</v>
      </c>
      <c r="E149" s="214">
        <v>5</v>
      </c>
      <c r="F149" s="1599">
        <v>0</v>
      </c>
      <c r="G149" s="221">
        <f t="shared" si="7"/>
        <v>0</v>
      </c>
    </row>
    <row r="150" spans="2:7">
      <c r="B150" s="218"/>
      <c r="C150" s="222" t="s">
        <v>155</v>
      </c>
      <c r="D150" s="213" t="s">
        <v>66</v>
      </c>
      <c r="E150" s="214">
        <v>5</v>
      </c>
      <c r="F150" s="1599">
        <v>0</v>
      </c>
      <c r="G150" s="221">
        <f t="shared" si="7"/>
        <v>0</v>
      </c>
    </row>
    <row r="151" spans="2:7">
      <c r="B151" s="218"/>
      <c r="C151" s="222" t="s">
        <v>330</v>
      </c>
      <c r="D151" s="213" t="s">
        <v>66</v>
      </c>
      <c r="E151" s="214">
        <v>5</v>
      </c>
      <c r="F151" s="1599">
        <v>0</v>
      </c>
      <c r="G151" s="221">
        <f t="shared" si="7"/>
        <v>0</v>
      </c>
    </row>
    <row r="152" spans="2:7">
      <c r="B152" s="218"/>
      <c r="C152" s="222" t="s">
        <v>157</v>
      </c>
      <c r="D152" s="213" t="s">
        <v>66</v>
      </c>
      <c r="E152" s="214">
        <v>5</v>
      </c>
      <c r="F152" s="1599">
        <v>0</v>
      </c>
      <c r="G152" s="221">
        <f t="shared" si="7"/>
        <v>0</v>
      </c>
    </row>
    <row r="153" spans="2:7">
      <c r="B153" s="218"/>
      <c r="C153" s="234" t="s">
        <v>158</v>
      </c>
      <c r="D153" s="213" t="s">
        <v>66</v>
      </c>
      <c r="E153" s="214">
        <v>5</v>
      </c>
      <c r="F153" s="1599">
        <v>0</v>
      </c>
      <c r="G153" s="221">
        <f t="shared" si="7"/>
        <v>0</v>
      </c>
    </row>
    <row r="154" spans="2:7">
      <c r="B154" s="218"/>
      <c r="C154" s="234" t="s">
        <v>190</v>
      </c>
      <c r="D154" s="213" t="s">
        <v>66</v>
      </c>
      <c r="E154" s="214">
        <v>5</v>
      </c>
      <c r="F154" s="1599">
        <v>0</v>
      </c>
      <c r="G154" s="221">
        <f t="shared" si="7"/>
        <v>0</v>
      </c>
    </row>
    <row r="155" spans="2:7">
      <c r="B155" s="218"/>
      <c r="C155" s="234" t="s">
        <v>132</v>
      </c>
      <c r="D155" s="213" t="s">
        <v>66</v>
      </c>
      <c r="E155" s="214">
        <v>10</v>
      </c>
      <c r="F155" s="1599">
        <v>0</v>
      </c>
      <c r="G155" s="221">
        <f t="shared" si="7"/>
        <v>0</v>
      </c>
    </row>
    <row r="156" spans="2:7">
      <c r="B156" s="218"/>
      <c r="C156" s="234" t="s">
        <v>148</v>
      </c>
      <c r="D156" s="213" t="s">
        <v>66</v>
      </c>
      <c r="E156" s="214">
        <v>10</v>
      </c>
      <c r="F156" s="1599">
        <v>0</v>
      </c>
      <c r="G156" s="221">
        <f t="shared" si="7"/>
        <v>0</v>
      </c>
    </row>
    <row r="157" spans="2:7">
      <c r="B157" s="218"/>
      <c r="C157" s="234" t="s">
        <v>150</v>
      </c>
      <c r="D157" s="213" t="s">
        <v>66</v>
      </c>
      <c r="E157" s="214">
        <v>5</v>
      </c>
      <c r="F157" s="1599">
        <v>0</v>
      </c>
      <c r="G157" s="221">
        <f t="shared" si="7"/>
        <v>0</v>
      </c>
    </row>
    <row r="158" spans="2:7">
      <c r="B158" s="218"/>
      <c r="C158" s="235" t="s">
        <v>135</v>
      </c>
      <c r="D158" s="213" t="s">
        <v>66</v>
      </c>
      <c r="E158" s="214">
        <v>5</v>
      </c>
      <c r="F158" s="1599">
        <v>0</v>
      </c>
      <c r="G158" s="221">
        <f t="shared" si="7"/>
        <v>0</v>
      </c>
    </row>
    <row r="159" spans="2:7" ht="24">
      <c r="B159" s="199" t="s">
        <v>331</v>
      </c>
      <c r="C159" s="212" t="s">
        <v>332</v>
      </c>
      <c r="D159" s="735" t="s">
        <v>66</v>
      </c>
      <c r="E159" s="736">
        <v>5</v>
      </c>
      <c r="F159" s="220">
        <v>0</v>
      </c>
      <c r="G159" s="221">
        <f>E159*F159</f>
        <v>0</v>
      </c>
    </row>
    <row r="160" spans="2:7">
      <c r="B160" s="201" t="s">
        <v>168</v>
      </c>
      <c r="C160" s="223" t="s">
        <v>886</v>
      </c>
      <c r="D160" s="224"/>
      <c r="E160" s="225"/>
      <c r="F160" s="226"/>
      <c r="G160" s="227"/>
    </row>
    <row r="161" spans="2:7">
      <c r="B161" s="218"/>
      <c r="C161" s="223" t="s">
        <v>220</v>
      </c>
      <c r="D161" s="737"/>
      <c r="E161" s="738"/>
      <c r="F161" s="1605"/>
      <c r="G161" s="1608"/>
    </row>
    <row r="162" spans="2:7" ht="24">
      <c r="B162" s="218"/>
      <c r="C162" s="228" t="s">
        <v>2249</v>
      </c>
      <c r="D162" s="224" t="s">
        <v>66</v>
      </c>
      <c r="E162" s="225">
        <v>2</v>
      </c>
      <c r="F162" s="1768">
        <v>0</v>
      </c>
      <c r="G162" s="1714">
        <f t="shared" ref="G162:G176" si="8">E162*F162</f>
        <v>0</v>
      </c>
    </row>
    <row r="163" spans="2:7">
      <c r="B163" s="218"/>
      <c r="C163" s="739" t="s">
        <v>184</v>
      </c>
      <c r="D163" s="224" t="s">
        <v>66</v>
      </c>
      <c r="E163" s="225">
        <v>4</v>
      </c>
      <c r="F163" s="1768">
        <v>0</v>
      </c>
      <c r="G163" s="1714">
        <f t="shared" si="8"/>
        <v>0</v>
      </c>
    </row>
    <row r="164" spans="2:7">
      <c r="B164" s="218"/>
      <c r="C164" s="739" t="s">
        <v>132</v>
      </c>
      <c r="D164" s="224" t="s">
        <v>66</v>
      </c>
      <c r="E164" s="225">
        <v>2</v>
      </c>
      <c r="F164" s="1768">
        <v>0</v>
      </c>
      <c r="G164" s="1714">
        <f t="shared" si="8"/>
        <v>0</v>
      </c>
    </row>
    <row r="165" spans="2:7">
      <c r="B165" s="218"/>
      <c r="C165" s="739" t="s">
        <v>150</v>
      </c>
      <c r="D165" s="224" t="s">
        <v>66</v>
      </c>
      <c r="E165" s="225">
        <v>2</v>
      </c>
      <c r="F165" s="1768">
        <v>0</v>
      </c>
      <c r="G165" s="1714">
        <f t="shared" si="8"/>
        <v>0</v>
      </c>
    </row>
    <row r="166" spans="2:7">
      <c r="B166" s="218"/>
      <c r="C166" s="740" t="s">
        <v>135</v>
      </c>
      <c r="D166" s="224" t="s">
        <v>66</v>
      </c>
      <c r="E166" s="225">
        <v>2</v>
      </c>
      <c r="F166" s="1768">
        <v>0</v>
      </c>
      <c r="G166" s="1714">
        <f t="shared" si="8"/>
        <v>0</v>
      </c>
    </row>
    <row r="167" spans="2:7">
      <c r="B167" s="218"/>
      <c r="C167" s="223" t="s">
        <v>228</v>
      </c>
      <c r="D167" s="737"/>
      <c r="E167" s="738"/>
      <c r="F167" s="1768"/>
      <c r="G167" s="1714"/>
    </row>
    <row r="168" spans="2:7" ht="24">
      <c r="B168" s="218"/>
      <c r="C168" s="228" t="s">
        <v>2247</v>
      </c>
      <c r="D168" s="224" t="s">
        <v>66</v>
      </c>
      <c r="E168" s="225">
        <v>5</v>
      </c>
      <c r="F168" s="1768">
        <v>0</v>
      </c>
      <c r="G168" s="1714">
        <f t="shared" si="8"/>
        <v>0</v>
      </c>
    </row>
    <row r="169" spans="2:7">
      <c r="B169" s="218"/>
      <c r="C169" s="739" t="s">
        <v>132</v>
      </c>
      <c r="D169" s="224" t="s">
        <v>66</v>
      </c>
      <c r="E169" s="225">
        <v>10</v>
      </c>
      <c r="F169" s="1768">
        <v>0</v>
      </c>
      <c r="G169" s="1714">
        <f t="shared" si="8"/>
        <v>0</v>
      </c>
    </row>
    <row r="170" spans="2:7">
      <c r="B170" s="218"/>
      <c r="C170" s="739" t="s">
        <v>166</v>
      </c>
      <c r="D170" s="224" t="s">
        <v>66</v>
      </c>
      <c r="E170" s="225">
        <v>5</v>
      </c>
      <c r="F170" s="1768">
        <v>0</v>
      </c>
      <c r="G170" s="1714">
        <f t="shared" si="8"/>
        <v>0</v>
      </c>
    </row>
    <row r="171" spans="2:7">
      <c r="B171" s="218"/>
      <c r="C171" s="739" t="s">
        <v>148</v>
      </c>
      <c r="D171" s="224" t="s">
        <v>66</v>
      </c>
      <c r="E171" s="225">
        <v>10</v>
      </c>
      <c r="F171" s="1768">
        <v>0</v>
      </c>
      <c r="G171" s="1714">
        <f t="shared" si="8"/>
        <v>0</v>
      </c>
    </row>
    <row r="172" spans="2:7">
      <c r="B172" s="218"/>
      <c r="C172" s="739" t="s">
        <v>167</v>
      </c>
      <c r="D172" s="224" t="s">
        <v>66</v>
      </c>
      <c r="E172" s="225">
        <v>5</v>
      </c>
      <c r="F172" s="1768">
        <v>0</v>
      </c>
      <c r="G172" s="1714">
        <f t="shared" si="8"/>
        <v>0</v>
      </c>
    </row>
    <row r="173" spans="2:7">
      <c r="B173" s="218"/>
      <c r="C173" s="739" t="s">
        <v>229</v>
      </c>
      <c r="D173" s="224" t="s">
        <v>66</v>
      </c>
      <c r="E173" s="225">
        <v>5</v>
      </c>
      <c r="F173" s="1768">
        <v>0</v>
      </c>
      <c r="G173" s="1714">
        <f t="shared" si="8"/>
        <v>0</v>
      </c>
    </row>
    <row r="174" spans="2:7">
      <c r="B174" s="218"/>
      <c r="C174" s="739" t="s">
        <v>230</v>
      </c>
      <c r="D174" s="224" t="s">
        <v>66</v>
      </c>
      <c r="E174" s="225">
        <v>5</v>
      </c>
      <c r="F174" s="1768">
        <v>0</v>
      </c>
      <c r="G174" s="1714">
        <f t="shared" si="8"/>
        <v>0</v>
      </c>
    </row>
    <row r="175" spans="2:7">
      <c r="B175" s="218"/>
      <c r="C175" s="739" t="s">
        <v>150</v>
      </c>
      <c r="D175" s="224" t="s">
        <v>66</v>
      </c>
      <c r="E175" s="225">
        <v>5</v>
      </c>
      <c r="F175" s="1768">
        <v>0</v>
      </c>
      <c r="G175" s="1714">
        <f t="shared" si="8"/>
        <v>0</v>
      </c>
    </row>
    <row r="176" spans="2:7">
      <c r="B176" s="218"/>
      <c r="C176" s="740" t="s">
        <v>135</v>
      </c>
      <c r="D176" s="224" t="s">
        <v>66</v>
      </c>
      <c r="E176" s="225">
        <v>5</v>
      </c>
      <c r="F176" s="1768">
        <v>0</v>
      </c>
      <c r="G176" s="1714">
        <f t="shared" si="8"/>
        <v>0</v>
      </c>
    </row>
    <row r="177" spans="2:8">
      <c r="B177" s="218"/>
      <c r="C177" s="223" t="s">
        <v>1395</v>
      </c>
      <c r="D177" s="737"/>
      <c r="E177" s="738"/>
      <c r="F177" s="1605"/>
      <c r="G177" s="1646"/>
    </row>
    <row r="178" spans="2:8" s="217" customFormat="1">
      <c r="B178" s="218"/>
      <c r="C178" s="1655" t="s">
        <v>230</v>
      </c>
      <c r="D178" s="224" t="s">
        <v>66</v>
      </c>
      <c r="E178" s="225">
        <v>1</v>
      </c>
      <c r="F178" s="1768">
        <v>0</v>
      </c>
      <c r="G178" s="1714">
        <f t="shared" ref="G178:G180" si="9">E178*F178</f>
        <v>0</v>
      </c>
      <c r="H178" s="1703"/>
    </row>
    <row r="179" spans="2:8" s="217" customFormat="1">
      <c r="B179" s="218"/>
      <c r="C179" s="1655" t="s">
        <v>2255</v>
      </c>
      <c r="D179" s="224" t="s">
        <v>66</v>
      </c>
      <c r="E179" s="225">
        <v>1</v>
      </c>
      <c r="F179" s="1768">
        <v>0</v>
      </c>
      <c r="G179" s="1714">
        <f t="shared" si="9"/>
        <v>0</v>
      </c>
      <c r="H179" s="1703"/>
    </row>
    <row r="180" spans="2:8" s="217" customFormat="1">
      <c r="B180" s="218"/>
      <c r="C180" s="1655" t="s">
        <v>1444</v>
      </c>
      <c r="D180" s="224" t="s">
        <v>66</v>
      </c>
      <c r="E180" s="225">
        <v>1</v>
      </c>
      <c r="F180" s="1768">
        <v>0</v>
      </c>
      <c r="G180" s="1714">
        <f t="shared" si="9"/>
        <v>0</v>
      </c>
      <c r="H180" s="1703"/>
    </row>
    <row r="181" spans="2:8">
      <c r="B181" s="201" t="s">
        <v>172</v>
      </c>
      <c r="C181" s="238" t="s">
        <v>169</v>
      </c>
      <c r="D181" s="239"/>
      <c r="E181" s="240"/>
      <c r="F181" s="241"/>
      <c r="G181" s="242"/>
    </row>
    <row r="182" spans="2:8">
      <c r="B182" s="218"/>
      <c r="C182" s="238" t="s">
        <v>170</v>
      </c>
      <c r="D182" s="153"/>
      <c r="E182" s="741"/>
      <c r="F182" s="1611"/>
      <c r="G182" s="263"/>
    </row>
    <row r="183" spans="2:8" ht="36">
      <c r="B183" s="218"/>
      <c r="C183" s="243" t="s">
        <v>2246</v>
      </c>
      <c r="D183" s="239" t="s">
        <v>66</v>
      </c>
      <c r="E183" s="240">
        <v>26</v>
      </c>
      <c r="F183" s="1609">
        <v>0</v>
      </c>
      <c r="G183" s="245">
        <f t="shared" ref="G183:G191" si="10">E183*F183</f>
        <v>0</v>
      </c>
    </row>
    <row r="184" spans="2:8">
      <c r="B184" s="218"/>
      <c r="C184" s="1129" t="s">
        <v>171</v>
      </c>
      <c r="D184" s="239" t="s">
        <v>66</v>
      </c>
      <c r="E184" s="240">
        <v>26</v>
      </c>
      <c r="F184" s="1609">
        <v>0</v>
      </c>
      <c r="G184" s="245">
        <f t="shared" si="10"/>
        <v>0</v>
      </c>
    </row>
    <row r="185" spans="2:8">
      <c r="B185" s="218"/>
      <c r="C185" s="1130" t="s">
        <v>135</v>
      </c>
      <c r="D185" s="239" t="s">
        <v>66</v>
      </c>
      <c r="E185" s="240">
        <v>26</v>
      </c>
      <c r="F185" s="1609">
        <v>0</v>
      </c>
      <c r="G185" s="245">
        <f t="shared" si="10"/>
        <v>0</v>
      </c>
    </row>
    <row r="186" spans="2:8">
      <c r="B186" s="218"/>
      <c r="C186" s="247" t="s">
        <v>891</v>
      </c>
      <c r="D186" s="239" t="s">
        <v>66</v>
      </c>
      <c r="E186" s="240">
        <v>26</v>
      </c>
      <c r="F186" s="1609">
        <v>0</v>
      </c>
      <c r="G186" s="245">
        <f t="shared" si="10"/>
        <v>0</v>
      </c>
    </row>
    <row r="187" spans="2:8">
      <c r="B187" s="218"/>
      <c r="C187" s="238" t="s">
        <v>234</v>
      </c>
      <c r="D187" s="153"/>
      <c r="E187" s="741"/>
      <c r="F187" s="1609"/>
      <c r="G187" s="245"/>
    </row>
    <row r="188" spans="2:8" ht="36">
      <c r="B188" s="218"/>
      <c r="C188" s="243" t="s">
        <v>2245</v>
      </c>
      <c r="D188" s="239" t="s">
        <v>66</v>
      </c>
      <c r="E188" s="240">
        <v>19</v>
      </c>
      <c r="F188" s="1609">
        <v>0</v>
      </c>
      <c r="G188" s="245">
        <f t="shared" si="10"/>
        <v>0</v>
      </c>
    </row>
    <row r="189" spans="2:8">
      <c r="B189" s="218"/>
      <c r="C189" s="246" t="s">
        <v>171</v>
      </c>
      <c r="D189" s="239" t="s">
        <v>66</v>
      </c>
      <c r="E189" s="240">
        <v>19</v>
      </c>
      <c r="F189" s="1609">
        <v>0</v>
      </c>
      <c r="G189" s="245">
        <f t="shared" si="10"/>
        <v>0</v>
      </c>
    </row>
    <row r="190" spans="2:8">
      <c r="B190" s="218"/>
      <c r="C190" s="247" t="s">
        <v>135</v>
      </c>
      <c r="D190" s="239" t="s">
        <v>66</v>
      </c>
      <c r="E190" s="240">
        <v>19</v>
      </c>
      <c r="F190" s="1609">
        <v>0</v>
      </c>
      <c r="G190" s="245">
        <f t="shared" si="10"/>
        <v>0</v>
      </c>
    </row>
    <row r="191" spans="2:8">
      <c r="B191" s="218"/>
      <c r="C191" s="247" t="s">
        <v>891</v>
      </c>
      <c r="D191" s="239" t="s">
        <v>66</v>
      </c>
      <c r="E191" s="240">
        <v>19</v>
      </c>
      <c r="F191" s="1609">
        <v>0</v>
      </c>
      <c r="G191" s="245">
        <f t="shared" si="10"/>
        <v>0</v>
      </c>
    </row>
    <row r="192" spans="2:8">
      <c r="B192" s="201" t="s">
        <v>340</v>
      </c>
      <c r="C192" s="742" t="s">
        <v>173</v>
      </c>
      <c r="D192" s="743"/>
      <c r="E192" s="744"/>
      <c r="F192" s="1131"/>
      <c r="G192" s="1132"/>
    </row>
    <row r="193" spans="2:7" ht="60">
      <c r="B193" s="218"/>
      <c r="C193" s="745" t="s">
        <v>174</v>
      </c>
      <c r="D193" s="746" t="s">
        <v>66</v>
      </c>
      <c r="E193" s="747">
        <v>1</v>
      </c>
      <c r="F193" s="1617">
        <v>0</v>
      </c>
      <c r="G193" s="1132">
        <f>E193*F193</f>
        <v>0</v>
      </c>
    </row>
    <row r="194" spans="2:7">
      <c r="B194" s="258" t="s">
        <v>47</v>
      </c>
      <c r="C194" s="259" t="s">
        <v>1396</v>
      </c>
      <c r="D194" s="260"/>
      <c r="E194" s="261"/>
      <c r="F194" s="262"/>
      <c r="G194" s="263">
        <f>SUM(G79:G193)</f>
        <v>0</v>
      </c>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6AD7-E5E7-4D97-871F-3DAD8F91AD34}">
  <sheetPr>
    <tabColor rgb="FF00B0F0"/>
  </sheetPr>
  <dimension ref="A2:Y122"/>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1409</v>
      </c>
      <c r="D4" s="76"/>
      <c r="E4" s="77"/>
      <c r="F4" s="674"/>
      <c r="G4" s="79"/>
      <c r="H4" s="37"/>
    </row>
    <row r="5" spans="1:25" s="73" customFormat="1" ht="12" customHeight="1">
      <c r="B5" s="80"/>
      <c r="C5" s="81"/>
      <c r="D5" s="82"/>
      <c r="E5" s="83"/>
      <c r="F5" s="675"/>
      <c r="G5" s="85"/>
      <c r="H5" s="37"/>
    </row>
    <row r="6" spans="1:25" s="86" customFormat="1" ht="21" customHeight="1">
      <c r="B6" s="676" t="s">
        <v>37</v>
      </c>
      <c r="C6" s="677" t="s">
        <v>1412</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G122</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424</v>
      </c>
      <c r="F24" s="1082">
        <v>0</v>
      </c>
      <c r="G24" s="1083">
        <f t="shared" ref="G24" si="0">E24*F24</f>
        <v>0</v>
      </c>
    </row>
    <row r="25" spans="2:25">
      <c r="B25" s="125">
        <v>2</v>
      </c>
      <c r="C25" s="144" t="s">
        <v>58</v>
      </c>
      <c r="D25" s="140" t="s">
        <v>57</v>
      </c>
      <c r="E25" s="1081">
        <f>E24</f>
        <v>424</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4</v>
      </c>
      <c r="F28" s="1082">
        <v>0</v>
      </c>
      <c r="G28" s="1083">
        <f t="shared" si="1"/>
        <v>0</v>
      </c>
    </row>
    <row r="29" spans="2:25" ht="24">
      <c r="B29" s="125">
        <v>6</v>
      </c>
      <c r="C29" s="1084" t="s">
        <v>63</v>
      </c>
      <c r="D29" s="140" t="s">
        <v>57</v>
      </c>
      <c r="E29" s="1081">
        <f>E24</f>
        <v>424</v>
      </c>
      <c r="F29" s="1082">
        <v>0</v>
      </c>
      <c r="G29" s="1083">
        <f t="shared" si="1"/>
        <v>0</v>
      </c>
    </row>
    <row r="30" spans="2:25" ht="48">
      <c r="B30" s="125">
        <v>7</v>
      </c>
      <c r="C30" s="1084" t="s">
        <v>64</v>
      </c>
      <c r="D30" s="146" t="s">
        <v>60</v>
      </c>
      <c r="E30" s="1081">
        <v>1</v>
      </c>
      <c r="F30" s="1082">
        <v>0</v>
      </c>
      <c r="G30" s="1083">
        <f t="shared" si="1"/>
        <v>0</v>
      </c>
    </row>
    <row r="31" spans="2:25" ht="56.25" customHeight="1">
      <c r="B31" s="125">
        <v>8</v>
      </c>
      <c r="C31" s="1080" t="s">
        <v>2292</v>
      </c>
      <c r="D31" s="146" t="s">
        <v>66</v>
      </c>
      <c r="E31" s="1081">
        <v>14</v>
      </c>
      <c r="F31" s="1082">
        <v>0</v>
      </c>
      <c r="G31" s="1083">
        <f t="shared" si="1"/>
        <v>0</v>
      </c>
    </row>
    <row r="32" spans="2:25" ht="36">
      <c r="B32" s="125">
        <v>9</v>
      </c>
      <c r="C32" s="1080" t="s">
        <v>2295</v>
      </c>
      <c r="D32" s="146" t="s">
        <v>57</v>
      </c>
      <c r="E32" s="1081">
        <f>E24+E77+E78</f>
        <v>508</v>
      </c>
      <c r="F32" s="1082">
        <v>0</v>
      </c>
      <c r="G32" s="1083">
        <f t="shared" si="1"/>
        <v>0</v>
      </c>
    </row>
    <row r="33" spans="1:25" ht="24">
      <c r="B33" s="125">
        <v>10</v>
      </c>
      <c r="C33" s="1080" t="s">
        <v>2293</v>
      </c>
      <c r="D33" s="146" t="s">
        <v>57</v>
      </c>
      <c r="E33" s="1081">
        <f>E24+E77+E78</f>
        <v>508</v>
      </c>
      <c r="F33" s="1082">
        <v>0</v>
      </c>
      <c r="G33" s="1083">
        <f t="shared" si="1"/>
        <v>0</v>
      </c>
    </row>
    <row r="34" spans="1:25">
      <c r="B34" s="125">
        <v>11</v>
      </c>
      <c r="C34" s="1084" t="s">
        <v>67</v>
      </c>
      <c r="D34" s="146" t="s">
        <v>60</v>
      </c>
      <c r="E34" s="1081">
        <v>1</v>
      </c>
      <c r="F34" s="1082">
        <v>0</v>
      </c>
      <c r="G34" s="1083">
        <f t="shared" si="1"/>
        <v>0</v>
      </c>
    </row>
    <row r="35" spans="1:25" ht="36">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30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114.47999999999999</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648.71999999999991</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636</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424</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508.79999999999995</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254.4</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20</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1391</v>
      </c>
      <c r="D52" s="140" t="s">
        <v>78</v>
      </c>
      <c r="E52" s="1094">
        <f>E24*1.2</f>
        <v>508.79999999999995</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284.928</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284.928</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31.8</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1393</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42</v>
      </c>
      <c r="F58" s="1092">
        <v>0</v>
      </c>
      <c r="G58" s="1083">
        <f t="shared" si="2"/>
        <v>0</v>
      </c>
      <c r="I58" s="1"/>
      <c r="J58" s="1"/>
      <c r="K58" s="1"/>
      <c r="L58" s="1"/>
      <c r="M58" s="1"/>
      <c r="N58" s="1"/>
      <c r="O58" s="1"/>
      <c r="P58" s="1"/>
      <c r="Q58" s="1"/>
      <c r="R58" s="1"/>
      <c r="S58" s="1"/>
      <c r="T58" s="1"/>
      <c r="U58" s="1"/>
      <c r="V58" s="1"/>
      <c r="W58" s="1"/>
      <c r="X58" s="1"/>
      <c r="Y58" s="1"/>
    </row>
    <row r="59" spans="1:25" s="8" customFormat="1" ht="24">
      <c r="A59" s="1"/>
      <c r="B59" s="717">
        <v>16</v>
      </c>
      <c r="C59" s="1096" t="s">
        <v>99</v>
      </c>
      <c r="D59" s="182" t="s">
        <v>74</v>
      </c>
      <c r="E59" s="1097">
        <v>2</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717">
        <v>17</v>
      </c>
      <c r="C60" s="1096" t="s">
        <v>100</v>
      </c>
      <c r="D60" s="182" t="s">
        <v>65</v>
      </c>
      <c r="E60" s="1097">
        <v>10</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9" t="s">
        <v>271</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104</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105</v>
      </c>
      <c r="C73" s="2400"/>
      <c r="D73" s="2400"/>
      <c r="E73" s="2400"/>
      <c r="F73" s="2400"/>
      <c r="G73" s="2401"/>
      <c r="I73" s="1"/>
      <c r="J73" s="1"/>
      <c r="K73" s="1"/>
      <c r="L73" s="1"/>
      <c r="M73" s="1"/>
      <c r="N73" s="1"/>
      <c r="O73" s="1"/>
      <c r="P73" s="1"/>
      <c r="Q73" s="1"/>
      <c r="R73" s="1"/>
      <c r="S73" s="1"/>
      <c r="T73" s="1"/>
      <c r="U73" s="1"/>
      <c r="V73" s="1"/>
      <c r="W73" s="1"/>
      <c r="X73" s="1"/>
      <c r="Y73" s="1"/>
    </row>
    <row r="74" spans="1:25" ht="24">
      <c r="B74" s="188">
        <v>1</v>
      </c>
      <c r="C74" s="189" t="s">
        <v>106</v>
      </c>
      <c r="D74" s="190"/>
      <c r="E74" s="719"/>
      <c r="F74" s="1107"/>
      <c r="G74" s="731"/>
    </row>
    <row r="75" spans="1:25">
      <c r="B75" s="191"/>
      <c r="C75" s="192" t="s">
        <v>226</v>
      </c>
      <c r="D75" s="190" t="s">
        <v>57</v>
      </c>
      <c r="E75" s="719">
        <f>424*0.9</f>
        <v>381.6</v>
      </c>
      <c r="F75" s="1092">
        <v>0</v>
      </c>
      <c r="G75" s="1093">
        <f t="shared" ref="G75:G82" si="3">E75*F75</f>
        <v>0</v>
      </c>
    </row>
    <row r="76" spans="1:25" ht="24">
      <c r="B76" s="191"/>
      <c r="C76" s="192" t="s">
        <v>227</v>
      </c>
      <c r="D76" s="190" t="s">
        <v>57</v>
      </c>
      <c r="E76" s="719">
        <f>424*0.1</f>
        <v>42.400000000000006</v>
      </c>
      <c r="F76" s="1092">
        <v>0</v>
      </c>
      <c r="G76" s="1093">
        <f t="shared" si="3"/>
        <v>0</v>
      </c>
    </row>
    <row r="77" spans="1:25">
      <c r="B77" s="191"/>
      <c r="C77" s="192" t="s">
        <v>109</v>
      </c>
      <c r="D77" s="190" t="s">
        <v>57</v>
      </c>
      <c r="E77" s="719">
        <f>84*0.9</f>
        <v>75.600000000000009</v>
      </c>
      <c r="F77" s="1092">
        <v>0</v>
      </c>
      <c r="G77" s="1093">
        <f t="shared" si="3"/>
        <v>0</v>
      </c>
    </row>
    <row r="78" spans="1:25" ht="24">
      <c r="B78" s="191"/>
      <c r="C78" s="192" t="s">
        <v>110</v>
      </c>
      <c r="D78" s="190" t="s">
        <v>57</v>
      </c>
      <c r="E78" s="719">
        <f>84*0.1</f>
        <v>8.4</v>
      </c>
      <c r="F78" s="1092">
        <v>0</v>
      </c>
      <c r="G78" s="1093">
        <f t="shared" si="3"/>
        <v>0</v>
      </c>
    </row>
    <row r="79" spans="1:25" ht="36">
      <c r="B79" s="2404" t="s">
        <v>111</v>
      </c>
      <c r="C79" s="193" t="s">
        <v>112</v>
      </c>
      <c r="D79" s="194"/>
      <c r="E79" s="719"/>
      <c r="F79" s="1092"/>
      <c r="G79" s="1093"/>
    </row>
    <row r="80" spans="1:25">
      <c r="B80" s="2405"/>
      <c r="C80" s="195" t="s">
        <v>274</v>
      </c>
      <c r="D80" s="194" t="s">
        <v>57</v>
      </c>
      <c r="E80" s="719">
        <v>64</v>
      </c>
      <c r="F80" s="1092">
        <v>0</v>
      </c>
      <c r="G80" s="1093">
        <f>E80*F80</f>
        <v>0</v>
      </c>
    </row>
    <row r="81" spans="2:7">
      <c r="B81" s="2413"/>
      <c r="C81" s="195" t="s">
        <v>275</v>
      </c>
      <c r="D81" s="194" t="s">
        <v>57</v>
      </c>
      <c r="E81" s="719">
        <v>13</v>
      </c>
      <c r="F81" s="1092">
        <v>0</v>
      </c>
      <c r="G81" s="1093">
        <f>E81*F81</f>
        <v>0</v>
      </c>
    </row>
    <row r="82" spans="2:7" ht="36">
      <c r="B82" s="196">
        <v>2</v>
      </c>
      <c r="C82" s="197" t="s">
        <v>114</v>
      </c>
      <c r="D82" s="145" t="s">
        <v>57</v>
      </c>
      <c r="E82" s="732">
        <f>E24</f>
        <v>424</v>
      </c>
      <c r="F82" s="1092">
        <v>0</v>
      </c>
      <c r="G82" s="1093">
        <f t="shared" si="3"/>
        <v>0</v>
      </c>
    </row>
    <row r="83" spans="2:7" ht="36">
      <c r="B83" s="199" t="s">
        <v>115</v>
      </c>
      <c r="C83" s="197" t="s">
        <v>116</v>
      </c>
      <c r="D83" s="145" t="s">
        <v>57</v>
      </c>
      <c r="E83" s="732">
        <f>E25</f>
        <v>424</v>
      </c>
      <c r="F83" s="1092">
        <v>0</v>
      </c>
      <c r="G83" s="1093">
        <f>E83*F83</f>
        <v>0</v>
      </c>
    </row>
    <row r="84" spans="2:7" ht="24">
      <c r="B84" s="199" t="s">
        <v>117</v>
      </c>
      <c r="C84" s="197" t="s">
        <v>118</v>
      </c>
      <c r="D84" s="145" t="s">
        <v>57</v>
      </c>
      <c r="E84" s="732">
        <f>E24</f>
        <v>424</v>
      </c>
      <c r="F84" s="1092">
        <v>0</v>
      </c>
      <c r="G84" s="1093">
        <f>E84*F84</f>
        <v>0</v>
      </c>
    </row>
    <row r="85" spans="2:7" ht="36">
      <c r="B85" s="199" t="s">
        <v>119</v>
      </c>
      <c r="C85" s="197" t="s">
        <v>120</v>
      </c>
      <c r="D85" s="145" t="s">
        <v>57</v>
      </c>
      <c r="E85" s="732">
        <f>E24</f>
        <v>424</v>
      </c>
      <c r="F85" s="1092">
        <v>0</v>
      </c>
      <c r="G85" s="1093">
        <f>E85*F85</f>
        <v>0</v>
      </c>
    </row>
    <row r="86" spans="2:7" ht="24">
      <c r="B86" s="188">
        <v>3</v>
      </c>
      <c r="C86" s="200" t="s">
        <v>121</v>
      </c>
      <c r="D86" s="127"/>
      <c r="E86" s="719"/>
      <c r="F86" s="1107">
        <v>0</v>
      </c>
      <c r="G86" s="731"/>
    </row>
    <row r="87" spans="2:7">
      <c r="B87" s="201" t="s">
        <v>122</v>
      </c>
      <c r="C87" s="212" t="s">
        <v>127</v>
      </c>
      <c r="D87" s="213"/>
      <c r="E87" s="214"/>
      <c r="F87" s="215">
        <v>0</v>
      </c>
      <c r="G87" s="216"/>
    </row>
    <row r="88" spans="2:7">
      <c r="B88" s="218"/>
      <c r="C88" s="212" t="s">
        <v>318</v>
      </c>
      <c r="D88" s="735"/>
      <c r="E88" s="736"/>
      <c r="F88" s="1601"/>
      <c r="G88" s="1121"/>
    </row>
    <row r="89" spans="2:7">
      <c r="B89" s="218"/>
      <c r="C89" s="219" t="s">
        <v>319</v>
      </c>
      <c r="D89" s="213" t="s">
        <v>66</v>
      </c>
      <c r="E89" s="214">
        <v>1</v>
      </c>
      <c r="F89" s="1599">
        <v>0</v>
      </c>
      <c r="G89" s="221">
        <f t="shared" ref="G89:G98" si="4">E89*F89</f>
        <v>0</v>
      </c>
    </row>
    <row r="90" spans="2:7" ht="36">
      <c r="B90" s="218"/>
      <c r="C90" s="222" t="s">
        <v>283</v>
      </c>
      <c r="D90" s="213" t="s">
        <v>66</v>
      </c>
      <c r="E90" s="214">
        <v>1</v>
      </c>
      <c r="F90" s="1599">
        <v>0</v>
      </c>
      <c r="G90" s="221">
        <f t="shared" si="4"/>
        <v>0</v>
      </c>
    </row>
    <row r="91" spans="2:7">
      <c r="B91" s="218"/>
      <c r="C91" s="222" t="s">
        <v>183</v>
      </c>
      <c r="D91" s="213" t="s">
        <v>66</v>
      </c>
      <c r="E91" s="214">
        <v>1</v>
      </c>
      <c r="F91" s="1599">
        <v>0</v>
      </c>
      <c r="G91" s="221">
        <f t="shared" si="4"/>
        <v>0</v>
      </c>
    </row>
    <row r="92" spans="2:7">
      <c r="B92" s="218"/>
      <c r="C92" s="222" t="s">
        <v>131</v>
      </c>
      <c r="D92" s="213" t="s">
        <v>66</v>
      </c>
      <c r="E92" s="214">
        <v>1</v>
      </c>
      <c r="F92" s="1599">
        <v>0</v>
      </c>
      <c r="G92" s="221">
        <f t="shared" si="4"/>
        <v>0</v>
      </c>
    </row>
    <row r="93" spans="2:7">
      <c r="B93" s="218"/>
      <c r="C93" s="1133" t="s">
        <v>166</v>
      </c>
      <c r="D93" s="213" t="s">
        <v>66</v>
      </c>
      <c r="E93" s="214">
        <v>2</v>
      </c>
      <c r="F93" s="1599">
        <v>0</v>
      </c>
      <c r="G93" s="221">
        <f t="shared" si="4"/>
        <v>0</v>
      </c>
    </row>
    <row r="94" spans="2:7">
      <c r="B94" s="218"/>
      <c r="C94" s="1133" t="s">
        <v>167</v>
      </c>
      <c r="D94" s="213" t="s">
        <v>66</v>
      </c>
      <c r="E94" s="214">
        <v>2</v>
      </c>
      <c r="F94" s="1599">
        <v>0</v>
      </c>
      <c r="G94" s="221">
        <f t="shared" si="4"/>
        <v>0</v>
      </c>
    </row>
    <row r="95" spans="2:7">
      <c r="B95" s="218"/>
      <c r="C95" s="1133" t="s">
        <v>229</v>
      </c>
      <c r="D95" s="213" t="s">
        <v>66</v>
      </c>
      <c r="E95" s="214">
        <v>2</v>
      </c>
      <c r="F95" s="1599">
        <v>0</v>
      </c>
      <c r="G95" s="221">
        <f t="shared" si="4"/>
        <v>0</v>
      </c>
    </row>
    <row r="96" spans="2:7">
      <c r="B96" s="218"/>
      <c r="C96" s="1133" t="s">
        <v>230</v>
      </c>
      <c r="D96" s="213" t="s">
        <v>66</v>
      </c>
      <c r="E96" s="214">
        <v>2</v>
      </c>
      <c r="F96" s="1599">
        <v>0</v>
      </c>
      <c r="G96" s="221">
        <f t="shared" si="4"/>
        <v>0</v>
      </c>
    </row>
    <row r="97" spans="2:7">
      <c r="B97" s="218"/>
      <c r="C97" s="1133" t="s">
        <v>134</v>
      </c>
      <c r="D97" s="213" t="s">
        <v>66</v>
      </c>
      <c r="E97" s="214">
        <v>1</v>
      </c>
      <c r="F97" s="1599">
        <v>0</v>
      </c>
      <c r="G97" s="221">
        <f t="shared" si="4"/>
        <v>0</v>
      </c>
    </row>
    <row r="98" spans="2:7">
      <c r="B98" s="218"/>
      <c r="C98" s="1134" t="s">
        <v>135</v>
      </c>
      <c r="D98" s="213" t="s">
        <v>66</v>
      </c>
      <c r="E98" s="214">
        <v>1</v>
      </c>
      <c r="F98" s="1599">
        <v>0</v>
      </c>
      <c r="G98" s="221">
        <f t="shared" si="4"/>
        <v>0</v>
      </c>
    </row>
    <row r="99" spans="2:7">
      <c r="B99" s="201" t="s">
        <v>126</v>
      </c>
      <c r="C99" s="238" t="s">
        <v>320</v>
      </c>
      <c r="D99" s="239"/>
      <c r="E99" s="240"/>
      <c r="F99" s="241"/>
      <c r="G99" s="242"/>
    </row>
    <row r="100" spans="2:7">
      <c r="B100" s="218"/>
      <c r="C100" s="238" t="s">
        <v>326</v>
      </c>
      <c r="D100" s="153"/>
      <c r="E100" s="741"/>
      <c r="F100" s="1611"/>
      <c r="G100" s="263"/>
    </row>
    <row r="101" spans="2:7" ht="28.5" customHeight="1">
      <c r="B101" s="218"/>
      <c r="C101" s="1123" t="s">
        <v>322</v>
      </c>
      <c r="D101" s="239" t="s">
        <v>66</v>
      </c>
      <c r="E101" s="240">
        <v>1</v>
      </c>
      <c r="F101" s="1609">
        <v>0</v>
      </c>
      <c r="G101" s="245">
        <f t="shared" ref="G101:G103" si="5">E101*F101</f>
        <v>0</v>
      </c>
    </row>
    <row r="102" spans="2:7">
      <c r="B102" s="218"/>
      <c r="C102" s="246" t="s">
        <v>325</v>
      </c>
      <c r="D102" s="239" t="s">
        <v>66</v>
      </c>
      <c r="E102" s="240">
        <v>1</v>
      </c>
      <c r="F102" s="1609">
        <v>0</v>
      </c>
      <c r="G102" s="245">
        <f t="shared" si="5"/>
        <v>0</v>
      </c>
    </row>
    <row r="103" spans="2:7">
      <c r="B103" s="218"/>
      <c r="C103" s="247" t="s">
        <v>135</v>
      </c>
      <c r="D103" s="239" t="s">
        <v>66</v>
      </c>
      <c r="E103" s="240">
        <v>1</v>
      </c>
      <c r="F103" s="1609">
        <v>0</v>
      </c>
      <c r="G103" s="245">
        <f t="shared" si="5"/>
        <v>0</v>
      </c>
    </row>
    <row r="104" spans="2:7">
      <c r="B104" s="201" t="s">
        <v>136</v>
      </c>
      <c r="C104" s="223" t="s">
        <v>886</v>
      </c>
      <c r="D104" s="224"/>
      <c r="E104" s="225"/>
      <c r="F104" s="226"/>
      <c r="G104" s="227"/>
    </row>
    <row r="105" spans="2:7">
      <c r="B105" s="218"/>
      <c r="C105" s="223" t="s">
        <v>888</v>
      </c>
      <c r="D105" s="737"/>
      <c r="E105" s="738"/>
      <c r="F105" s="1605"/>
      <c r="G105" s="1608"/>
    </row>
    <row r="106" spans="2:7" ht="24">
      <c r="B106" s="218"/>
      <c r="C106" s="228" t="s">
        <v>2251</v>
      </c>
      <c r="D106" s="224" t="s">
        <v>66</v>
      </c>
      <c r="E106" s="225">
        <v>2</v>
      </c>
      <c r="F106" s="1603">
        <v>0</v>
      </c>
      <c r="G106" s="2231">
        <f t="shared" ref="G106:G113" si="6">E106*F106</f>
        <v>0</v>
      </c>
    </row>
    <row r="107" spans="2:7">
      <c r="B107" s="218"/>
      <c r="C107" s="232" t="s">
        <v>184</v>
      </c>
      <c r="D107" s="224" t="s">
        <v>66</v>
      </c>
      <c r="E107" s="225">
        <v>4</v>
      </c>
      <c r="F107" s="1603">
        <v>0</v>
      </c>
      <c r="G107" s="2231">
        <f t="shared" si="6"/>
        <v>0</v>
      </c>
    </row>
    <row r="108" spans="2:7">
      <c r="B108" s="218"/>
      <c r="C108" s="232" t="s">
        <v>166</v>
      </c>
      <c r="D108" s="224" t="s">
        <v>66</v>
      </c>
      <c r="E108" s="225">
        <v>2</v>
      </c>
      <c r="F108" s="1603">
        <v>0</v>
      </c>
      <c r="G108" s="2231">
        <f t="shared" si="6"/>
        <v>0</v>
      </c>
    </row>
    <row r="109" spans="2:7">
      <c r="B109" s="218"/>
      <c r="C109" s="232" t="s">
        <v>167</v>
      </c>
      <c r="D109" s="224" t="s">
        <v>66</v>
      </c>
      <c r="E109" s="225">
        <v>2</v>
      </c>
      <c r="F109" s="1603">
        <v>0</v>
      </c>
      <c r="G109" s="2231">
        <f t="shared" si="6"/>
        <v>0</v>
      </c>
    </row>
    <row r="110" spans="2:7">
      <c r="B110" s="218"/>
      <c r="C110" s="232" t="s">
        <v>229</v>
      </c>
      <c r="D110" s="224" t="s">
        <v>66</v>
      </c>
      <c r="E110" s="225">
        <v>2</v>
      </c>
      <c r="F110" s="1603">
        <v>0</v>
      </c>
      <c r="G110" s="2231">
        <f t="shared" si="6"/>
        <v>0</v>
      </c>
    </row>
    <row r="111" spans="2:7">
      <c r="B111" s="218"/>
      <c r="C111" s="232" t="s">
        <v>230</v>
      </c>
      <c r="D111" s="224" t="s">
        <v>66</v>
      </c>
      <c r="E111" s="225">
        <v>2</v>
      </c>
      <c r="F111" s="1603">
        <v>0</v>
      </c>
      <c r="G111" s="2231">
        <f t="shared" si="6"/>
        <v>0</v>
      </c>
    </row>
    <row r="112" spans="2:7">
      <c r="B112" s="218"/>
      <c r="C112" s="232" t="s">
        <v>150</v>
      </c>
      <c r="D112" s="224" t="s">
        <v>66</v>
      </c>
      <c r="E112" s="225">
        <v>2</v>
      </c>
      <c r="F112" s="1603">
        <v>0</v>
      </c>
      <c r="G112" s="2231">
        <f t="shared" si="6"/>
        <v>0</v>
      </c>
    </row>
    <row r="113" spans="2:7">
      <c r="B113" s="218"/>
      <c r="C113" s="233" t="s">
        <v>135</v>
      </c>
      <c r="D113" s="224" t="s">
        <v>66</v>
      </c>
      <c r="E113" s="225">
        <v>2</v>
      </c>
      <c r="F113" s="1603">
        <v>0</v>
      </c>
      <c r="G113" s="2231">
        <f t="shared" si="6"/>
        <v>0</v>
      </c>
    </row>
    <row r="114" spans="2:7">
      <c r="B114" s="201" t="s">
        <v>151</v>
      </c>
      <c r="C114" s="238" t="s">
        <v>169</v>
      </c>
      <c r="D114" s="239"/>
      <c r="E114" s="240"/>
      <c r="F114" s="241"/>
      <c r="G114" s="242"/>
    </row>
    <row r="115" spans="2:7">
      <c r="B115" s="218"/>
      <c r="C115" s="238" t="s">
        <v>234</v>
      </c>
      <c r="D115" s="153"/>
      <c r="E115" s="741"/>
      <c r="F115" s="1611"/>
      <c r="G115" s="263"/>
    </row>
    <row r="116" spans="2:7" ht="36">
      <c r="B116" s="218"/>
      <c r="C116" s="243" t="s">
        <v>2245</v>
      </c>
      <c r="D116" s="239" t="s">
        <v>66</v>
      </c>
      <c r="E116" s="240">
        <v>18</v>
      </c>
      <c r="F116" s="1609">
        <v>0</v>
      </c>
      <c r="G116" s="245">
        <f t="shared" ref="G116:G119" si="7">E116*F116</f>
        <v>0</v>
      </c>
    </row>
    <row r="117" spans="2:7">
      <c r="B117" s="218"/>
      <c r="C117" s="246" t="s">
        <v>171</v>
      </c>
      <c r="D117" s="239" t="s">
        <v>66</v>
      </c>
      <c r="E117" s="240">
        <v>18</v>
      </c>
      <c r="F117" s="1609">
        <v>0</v>
      </c>
      <c r="G117" s="245">
        <f t="shared" si="7"/>
        <v>0</v>
      </c>
    </row>
    <row r="118" spans="2:7">
      <c r="B118" s="218"/>
      <c r="C118" s="247" t="s">
        <v>135</v>
      </c>
      <c r="D118" s="239" t="s">
        <v>66</v>
      </c>
      <c r="E118" s="240">
        <v>18</v>
      </c>
      <c r="F118" s="1609">
        <v>0</v>
      </c>
      <c r="G118" s="245">
        <f t="shared" si="7"/>
        <v>0</v>
      </c>
    </row>
    <row r="119" spans="2:7">
      <c r="B119" s="218"/>
      <c r="C119" s="247" t="s">
        <v>891</v>
      </c>
      <c r="D119" s="239" t="s">
        <v>66</v>
      </c>
      <c r="E119" s="240">
        <v>18</v>
      </c>
      <c r="F119" s="1609">
        <v>0</v>
      </c>
      <c r="G119" s="245">
        <f t="shared" si="7"/>
        <v>0</v>
      </c>
    </row>
    <row r="120" spans="2:7">
      <c r="B120" s="201" t="s">
        <v>159</v>
      </c>
      <c r="C120" s="248" t="s">
        <v>173</v>
      </c>
      <c r="D120" s="249"/>
      <c r="E120" s="250"/>
      <c r="F120" s="251"/>
      <c r="G120" s="252"/>
    </row>
    <row r="121" spans="2:7" ht="60">
      <c r="B121" s="218"/>
      <c r="C121" s="253" t="s">
        <v>174</v>
      </c>
      <c r="D121" s="1142" t="s">
        <v>66</v>
      </c>
      <c r="E121" s="1143">
        <v>1</v>
      </c>
      <c r="F121" s="1144">
        <v>0</v>
      </c>
      <c r="G121" s="252">
        <f>F121*E121</f>
        <v>0</v>
      </c>
    </row>
    <row r="122" spans="2:7">
      <c r="B122" s="258" t="s">
        <v>1413</v>
      </c>
      <c r="C122" s="259" t="s">
        <v>1396</v>
      </c>
      <c r="D122" s="260"/>
      <c r="E122" s="261"/>
      <c r="F122" s="262"/>
      <c r="G122" s="263">
        <f>SUM(G75:G121)</f>
        <v>0</v>
      </c>
    </row>
  </sheetData>
  <mergeCells count="5">
    <mergeCell ref="B43:G43"/>
    <mergeCell ref="B71:G71"/>
    <mergeCell ref="B72:G72"/>
    <mergeCell ref="B73:G73"/>
    <mergeCell ref="B79:B81"/>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AAE91-1AF3-4AAD-A3AB-3A7F8833BC77}">
  <sheetPr>
    <tabColor rgb="FF00B0F0"/>
  </sheetPr>
  <dimension ref="A2:Y183"/>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0.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1409</v>
      </c>
      <c r="D4" s="76"/>
      <c r="E4" s="77"/>
      <c r="F4" s="674"/>
      <c r="G4" s="79"/>
      <c r="H4" s="37"/>
    </row>
    <row r="5" spans="1:25" s="73" customFormat="1" ht="12" customHeight="1">
      <c r="B5" s="80"/>
      <c r="C5" s="81"/>
      <c r="D5" s="82"/>
      <c r="E5" s="83"/>
      <c r="F5" s="675"/>
      <c r="G5" s="85"/>
      <c r="H5" s="37"/>
    </row>
    <row r="6" spans="1:25" s="86" customFormat="1" ht="21" customHeight="1">
      <c r="B6" s="676" t="s">
        <v>37</v>
      </c>
      <c r="C6" s="677" t="s">
        <v>1414</v>
      </c>
      <c r="D6" s="678"/>
      <c r="E6" s="679"/>
      <c r="F6" s="680"/>
      <c r="G6" s="681"/>
      <c r="H6" s="27"/>
    </row>
    <row r="7" spans="1:25" s="86" customFormat="1" ht="21" customHeight="1">
      <c r="B7" s="80"/>
      <c r="C7" s="81"/>
      <c r="D7" s="82"/>
      <c r="E7" s="83"/>
      <c r="F7" s="675"/>
      <c r="G7" s="88"/>
      <c r="H7" s="27"/>
    </row>
    <row r="8" spans="1:25" s="86" customFormat="1" ht="14.25">
      <c r="B8" s="682" t="s">
        <v>551</v>
      </c>
      <c r="C8" s="683" t="s">
        <v>1415</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G183</f>
        <v>0</v>
      </c>
      <c r="H19" s="37"/>
      <c r="I19" s="73"/>
      <c r="J19" s="73"/>
      <c r="K19" s="73"/>
      <c r="L19" s="73"/>
      <c r="M19" s="73"/>
      <c r="N19" s="73"/>
      <c r="O19" s="73"/>
      <c r="P19" s="73"/>
      <c r="Q19" s="73"/>
      <c r="R19" s="73"/>
      <c r="S19" s="73"/>
      <c r="T19" s="73"/>
      <c r="U19" s="73"/>
      <c r="V19" s="73"/>
      <c r="W19" s="73"/>
      <c r="X19" s="73"/>
      <c r="Y19" s="73"/>
    </row>
    <row r="20" spans="2:25" s="101" customFormat="1" ht="18.75" customHeight="1">
      <c r="B20" s="2314"/>
      <c r="C20" s="2315" t="s">
        <v>49</v>
      </c>
      <c r="D20" s="2316"/>
      <c r="E20" s="2317"/>
      <c r="F20" s="2318"/>
      <c r="G20" s="2308">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202" t="s">
        <v>41</v>
      </c>
      <c r="C23" s="1203" t="s">
        <v>51</v>
      </c>
      <c r="D23" s="2263" t="s">
        <v>52</v>
      </c>
      <c r="E23" s="1204" t="s">
        <v>53</v>
      </c>
      <c r="F23" s="2319" t="s">
        <v>54</v>
      </c>
      <c r="G23" s="1206" t="s">
        <v>55</v>
      </c>
    </row>
    <row r="24" spans="2:25">
      <c r="B24" s="125"/>
      <c r="C24" s="126"/>
      <c r="D24" s="127"/>
      <c r="E24" s="128"/>
      <c r="F24" s="708"/>
      <c r="G24" s="130"/>
    </row>
    <row r="25" spans="2:25" s="138" customFormat="1" ht="20.25">
      <c r="B25" s="131" t="s">
        <v>43</v>
      </c>
      <c r="C25" s="132" t="s">
        <v>44</v>
      </c>
      <c r="D25" s="133"/>
      <c r="E25" s="134"/>
      <c r="F25" s="709"/>
      <c r="G25" s="136"/>
      <c r="H25" s="137"/>
    </row>
    <row r="26" spans="2:25" ht="36">
      <c r="B26" s="125">
        <v>1</v>
      </c>
      <c r="C26" s="144" t="s">
        <v>56</v>
      </c>
      <c r="D26" s="140" t="s">
        <v>57</v>
      </c>
      <c r="E26" s="1081">
        <v>379</v>
      </c>
      <c r="F26" s="1082">
        <v>0</v>
      </c>
      <c r="G26" s="1083">
        <f t="shared" ref="G26" si="0">E26*F26</f>
        <v>0</v>
      </c>
    </row>
    <row r="27" spans="2:25">
      <c r="B27" s="125">
        <v>2</v>
      </c>
      <c r="C27" s="144" t="s">
        <v>58</v>
      </c>
      <c r="D27" s="140" t="s">
        <v>57</v>
      </c>
      <c r="E27" s="1081">
        <f>E26</f>
        <v>379</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36">
      <c r="B31" s="125">
        <v>6</v>
      </c>
      <c r="C31" s="1084" t="s">
        <v>63</v>
      </c>
      <c r="D31" s="140" t="s">
        <v>57</v>
      </c>
      <c r="E31" s="1081">
        <f>E26</f>
        <v>379</v>
      </c>
      <c r="F31" s="1082">
        <v>0</v>
      </c>
      <c r="G31" s="1083">
        <f t="shared" si="1"/>
        <v>0</v>
      </c>
    </row>
    <row r="32" spans="2:25" ht="48">
      <c r="B32" s="125">
        <v>7</v>
      </c>
      <c r="C32" s="1084" t="s">
        <v>64</v>
      </c>
      <c r="D32" s="146" t="s">
        <v>60</v>
      </c>
      <c r="E32" s="1081">
        <v>1</v>
      </c>
      <c r="F32" s="1082">
        <v>0</v>
      </c>
      <c r="G32" s="1083">
        <f t="shared" si="1"/>
        <v>0</v>
      </c>
    </row>
    <row r="33" spans="1:25" ht="57.75" customHeight="1">
      <c r="B33" s="125">
        <v>8</v>
      </c>
      <c r="C33" s="1080" t="s">
        <v>2292</v>
      </c>
      <c r="D33" s="146" t="s">
        <v>66</v>
      </c>
      <c r="E33" s="1081">
        <v>14</v>
      </c>
      <c r="F33" s="1082">
        <v>0</v>
      </c>
      <c r="G33" s="1083">
        <f t="shared" si="1"/>
        <v>0</v>
      </c>
    </row>
    <row r="34" spans="1:25" ht="36">
      <c r="B34" s="125">
        <v>9</v>
      </c>
      <c r="C34" s="1080" t="s">
        <v>2295</v>
      </c>
      <c r="D34" s="146" t="s">
        <v>57</v>
      </c>
      <c r="E34" s="1081">
        <f>E26+E84+E85</f>
        <v>463</v>
      </c>
      <c r="F34" s="1082">
        <v>0</v>
      </c>
      <c r="G34" s="1083">
        <f t="shared" si="1"/>
        <v>0</v>
      </c>
    </row>
    <row r="35" spans="1:25" ht="24">
      <c r="B35" s="125">
        <v>10</v>
      </c>
      <c r="C35" s="1080" t="s">
        <v>2293</v>
      </c>
      <c r="D35" s="146" t="s">
        <v>57</v>
      </c>
      <c r="E35" s="1081">
        <f>E26+E84+E85</f>
        <v>463</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48">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102.32999999999998</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579.86999999999989</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568.5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379</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454.8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227.4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28</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1391</v>
      </c>
      <c r="D54" s="140" t="s">
        <v>78</v>
      </c>
      <c r="E54" s="1094">
        <f>E26*1.2</f>
        <v>454.8</v>
      </c>
      <c r="F54" s="1092">
        <v>0</v>
      </c>
      <c r="G54" s="1083">
        <f t="shared" si="2"/>
        <v>0</v>
      </c>
      <c r="I54" s="1"/>
      <c r="J54" s="1"/>
      <c r="K54" s="1"/>
      <c r="L54" s="1"/>
      <c r="M54" s="1"/>
      <c r="N54" s="1"/>
      <c r="O54" s="1"/>
      <c r="P54" s="1"/>
      <c r="Q54" s="1"/>
      <c r="R54" s="1"/>
      <c r="S54" s="1"/>
      <c r="T54" s="1"/>
      <c r="U54" s="1"/>
      <c r="V54" s="1"/>
      <c r="W54" s="1"/>
      <c r="X54" s="1"/>
      <c r="Y54" s="1"/>
    </row>
    <row r="55" spans="1:25" s="8" customFormat="1" ht="66.75" customHeight="1">
      <c r="A55" s="1"/>
      <c r="B55" s="717">
        <v>10</v>
      </c>
      <c r="C55" s="397" t="s">
        <v>1392</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167">
        <v>11</v>
      </c>
      <c r="C56" s="397" t="s">
        <v>254</v>
      </c>
      <c r="D56" s="145" t="s">
        <v>78</v>
      </c>
      <c r="E56" s="1094">
        <v>10</v>
      </c>
      <c r="F56" s="1092">
        <v>0</v>
      </c>
      <c r="G56" s="1083">
        <f t="shared" si="2"/>
        <v>0</v>
      </c>
      <c r="I56" s="1"/>
      <c r="J56" s="1"/>
      <c r="K56" s="1"/>
      <c r="L56" s="1"/>
      <c r="M56" s="1"/>
      <c r="N56" s="1"/>
      <c r="O56" s="1"/>
      <c r="P56" s="1"/>
      <c r="Q56" s="1"/>
      <c r="R56" s="1"/>
      <c r="S56" s="1"/>
      <c r="T56" s="1"/>
      <c r="U56" s="1"/>
      <c r="V56" s="1"/>
      <c r="W56" s="1"/>
      <c r="X56" s="1"/>
      <c r="Y56" s="1"/>
    </row>
    <row r="57" spans="1:25" s="8" customFormat="1" ht="52.5" customHeight="1">
      <c r="A57" s="1"/>
      <c r="B57" s="717">
        <v>12</v>
      </c>
      <c r="C57" s="144" t="s">
        <v>260</v>
      </c>
      <c r="D57" s="145" t="s">
        <v>78</v>
      </c>
      <c r="E57" s="1094">
        <v>10</v>
      </c>
      <c r="F57" s="109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167">
        <v>13</v>
      </c>
      <c r="C58" s="139" t="s">
        <v>264</v>
      </c>
      <c r="D58" s="145" t="s">
        <v>74</v>
      </c>
      <c r="E58" s="128">
        <f>E47+E48+(E54*0.06)-E51</f>
        <v>254.68799999999982</v>
      </c>
      <c r="F58" s="1092">
        <v>0</v>
      </c>
      <c r="G58" s="142">
        <f t="shared" si="2"/>
        <v>0</v>
      </c>
      <c r="I58" s="1"/>
      <c r="J58" s="1"/>
      <c r="K58" s="1"/>
      <c r="L58" s="1"/>
      <c r="M58" s="1"/>
      <c r="N58" s="1"/>
      <c r="O58" s="1"/>
      <c r="P58" s="1"/>
      <c r="Q58" s="1"/>
      <c r="R58" s="1"/>
      <c r="S58" s="1"/>
      <c r="T58" s="1"/>
      <c r="U58" s="1"/>
      <c r="V58" s="1"/>
      <c r="W58" s="1"/>
      <c r="X58" s="1"/>
      <c r="Y58" s="1"/>
    </row>
    <row r="59" spans="1:25" s="8" customFormat="1">
      <c r="A59" s="1"/>
      <c r="B59" s="717">
        <v>14</v>
      </c>
      <c r="C59" s="139" t="s">
        <v>265</v>
      </c>
      <c r="D59" s="145" t="s">
        <v>74</v>
      </c>
      <c r="E59" s="128">
        <f>E58</f>
        <v>254.68799999999982</v>
      </c>
      <c r="F59" s="1092">
        <v>0</v>
      </c>
      <c r="G59" s="142">
        <f t="shared" si="2"/>
        <v>0</v>
      </c>
      <c r="I59" s="1"/>
      <c r="J59" s="1"/>
      <c r="K59" s="1"/>
      <c r="L59" s="1"/>
      <c r="M59" s="1"/>
      <c r="N59" s="1"/>
      <c r="O59" s="1"/>
      <c r="P59" s="1"/>
      <c r="Q59" s="1"/>
      <c r="R59" s="1"/>
      <c r="S59" s="1"/>
      <c r="T59" s="1"/>
      <c r="U59" s="1"/>
      <c r="V59" s="1"/>
      <c r="W59" s="1"/>
      <c r="X59" s="1"/>
      <c r="Y59" s="1"/>
    </row>
    <row r="60" spans="1:25" s="8" customFormat="1" ht="24">
      <c r="A60" s="1"/>
      <c r="B60" s="167">
        <v>15</v>
      </c>
      <c r="C60" s="126" t="s">
        <v>95</v>
      </c>
      <c r="D60" s="140" t="s">
        <v>74</v>
      </c>
      <c r="E60" s="1094">
        <f>E26*0.75*0.1</f>
        <v>28.425000000000001</v>
      </c>
      <c r="F60" s="1092">
        <v>0</v>
      </c>
      <c r="G60" s="1083">
        <f t="shared" si="2"/>
        <v>0</v>
      </c>
      <c r="I60" s="1"/>
      <c r="J60" s="1"/>
      <c r="K60" s="1"/>
      <c r="L60" s="1"/>
      <c r="M60" s="1"/>
      <c r="N60" s="1"/>
      <c r="O60" s="1"/>
      <c r="P60" s="1"/>
      <c r="Q60" s="1"/>
      <c r="R60" s="1"/>
      <c r="S60" s="1"/>
      <c r="T60" s="1"/>
      <c r="U60" s="1"/>
      <c r="V60" s="1"/>
      <c r="W60" s="1"/>
      <c r="X60" s="1"/>
      <c r="Y60" s="1"/>
    </row>
    <row r="61" spans="1:25" s="8" customFormat="1" ht="48">
      <c r="A61" s="1"/>
      <c r="B61" s="717">
        <v>16</v>
      </c>
      <c r="C61" s="1096" t="s">
        <v>1393</v>
      </c>
      <c r="D61" s="182" t="s">
        <v>74</v>
      </c>
      <c r="E61" s="1097">
        <v>3</v>
      </c>
      <c r="F61" s="109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167">
        <v>17</v>
      </c>
      <c r="C62" s="1096" t="s">
        <v>270</v>
      </c>
      <c r="D62" s="182" t="s">
        <v>66</v>
      </c>
      <c r="E62" s="1097">
        <v>37</v>
      </c>
      <c r="F62" s="1092">
        <v>0</v>
      </c>
      <c r="G62" s="1083">
        <f t="shared" si="2"/>
        <v>0</v>
      </c>
      <c r="I62" s="1"/>
      <c r="J62" s="1"/>
      <c r="K62" s="1"/>
      <c r="L62" s="1"/>
      <c r="M62" s="1"/>
      <c r="N62" s="1"/>
      <c r="O62" s="1"/>
      <c r="P62" s="1"/>
      <c r="Q62" s="1"/>
      <c r="R62" s="1"/>
      <c r="S62" s="1"/>
      <c r="T62" s="1"/>
      <c r="U62" s="1"/>
      <c r="V62" s="1"/>
      <c r="W62" s="1"/>
      <c r="X62" s="1"/>
      <c r="Y62" s="1"/>
    </row>
    <row r="63" spans="1:25" s="8" customFormat="1" ht="36">
      <c r="A63" s="1"/>
      <c r="B63" s="717">
        <v>18</v>
      </c>
      <c r="C63" s="1096" t="s">
        <v>99</v>
      </c>
      <c r="D63" s="182" t="s">
        <v>74</v>
      </c>
      <c r="E63" s="1097">
        <v>2</v>
      </c>
      <c r="F63" s="109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167">
        <v>19</v>
      </c>
      <c r="C64" s="1096" t="s">
        <v>100</v>
      </c>
      <c r="D64" s="182" t="s">
        <v>65</v>
      </c>
      <c r="E64" s="1097">
        <v>10</v>
      </c>
      <c r="F64" s="1092">
        <v>0</v>
      </c>
      <c r="G64" s="108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SUM(G46:G64)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9" t="s">
        <v>271</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104</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105</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165*0.9</f>
        <v>148.5</v>
      </c>
      <c r="F80" s="1092">
        <v>0</v>
      </c>
      <c r="G80" s="1093">
        <f t="shared" ref="G80:G90" si="3">E80*F80</f>
        <v>0</v>
      </c>
    </row>
    <row r="81" spans="1:25" ht="24">
      <c r="B81" s="191"/>
      <c r="C81" s="192" t="s">
        <v>884</v>
      </c>
      <c r="D81" s="190" t="s">
        <v>57</v>
      </c>
      <c r="E81" s="719">
        <f>165*0.1</f>
        <v>16.5</v>
      </c>
      <c r="F81" s="1092">
        <v>0</v>
      </c>
      <c r="G81" s="1093">
        <f t="shared" si="3"/>
        <v>0</v>
      </c>
    </row>
    <row r="82" spans="1:25">
      <c r="B82" s="191"/>
      <c r="C82" s="192" t="s">
        <v>226</v>
      </c>
      <c r="D82" s="190" t="s">
        <v>57</v>
      </c>
      <c r="E82" s="719">
        <f>214*0.9</f>
        <v>192.6</v>
      </c>
      <c r="F82" s="1092">
        <v>0</v>
      </c>
      <c r="G82" s="1093">
        <f t="shared" si="3"/>
        <v>0</v>
      </c>
    </row>
    <row r="83" spans="1:25" ht="24">
      <c r="B83" s="191"/>
      <c r="C83" s="192" t="s">
        <v>227</v>
      </c>
      <c r="D83" s="190" t="s">
        <v>57</v>
      </c>
      <c r="E83" s="719">
        <f>214*0.1</f>
        <v>21.400000000000002</v>
      </c>
      <c r="F83" s="1092">
        <v>0</v>
      </c>
      <c r="G83" s="1093">
        <f t="shared" si="3"/>
        <v>0</v>
      </c>
    </row>
    <row r="84" spans="1:25">
      <c r="B84" s="191"/>
      <c r="C84" s="192" t="s">
        <v>109</v>
      </c>
      <c r="D84" s="190" t="s">
        <v>57</v>
      </c>
      <c r="E84" s="719">
        <f>84*0.9</f>
        <v>75.600000000000009</v>
      </c>
      <c r="F84" s="1092">
        <v>0</v>
      </c>
      <c r="G84" s="1093">
        <f t="shared" si="3"/>
        <v>0</v>
      </c>
    </row>
    <row r="85" spans="1:25" ht="24">
      <c r="B85" s="191"/>
      <c r="C85" s="192" t="s">
        <v>110</v>
      </c>
      <c r="D85" s="190" t="s">
        <v>57</v>
      </c>
      <c r="E85" s="719">
        <f>84*0.1</f>
        <v>8.4</v>
      </c>
      <c r="F85" s="1092">
        <v>0</v>
      </c>
      <c r="G85" s="1093">
        <f t="shared" si="3"/>
        <v>0</v>
      </c>
    </row>
    <row r="86" spans="1:25" ht="36">
      <c r="B86" s="2404" t="s">
        <v>111</v>
      </c>
      <c r="C86" s="193" t="s">
        <v>112</v>
      </c>
      <c r="D86" s="194"/>
      <c r="E86" s="719"/>
      <c r="F86" s="1092"/>
      <c r="G86" s="1093"/>
    </row>
    <row r="87" spans="1:25">
      <c r="B87" s="2405"/>
      <c r="C87" s="195" t="s">
        <v>113</v>
      </c>
      <c r="D87" s="194" t="s">
        <v>57</v>
      </c>
      <c r="E87" s="719">
        <v>25</v>
      </c>
      <c r="F87" s="1092">
        <v>0</v>
      </c>
      <c r="G87" s="1093">
        <f>E87*F87</f>
        <v>0</v>
      </c>
    </row>
    <row r="88" spans="1:25">
      <c r="B88" s="2405"/>
      <c r="C88" s="195" t="s">
        <v>274</v>
      </c>
      <c r="D88" s="194" t="s">
        <v>57</v>
      </c>
      <c r="E88" s="719">
        <v>32</v>
      </c>
      <c r="F88" s="1092">
        <v>0</v>
      </c>
      <c r="G88" s="1093">
        <f>E88*F88</f>
        <v>0</v>
      </c>
    </row>
    <row r="89" spans="1:25">
      <c r="B89" s="2413"/>
      <c r="C89" s="195" t="s">
        <v>275</v>
      </c>
      <c r="D89" s="194" t="s">
        <v>57</v>
      </c>
      <c r="E89" s="719">
        <v>13</v>
      </c>
      <c r="F89" s="1092">
        <v>0</v>
      </c>
      <c r="G89" s="1093">
        <f>E89*F89</f>
        <v>0</v>
      </c>
    </row>
    <row r="90" spans="1:25" ht="48">
      <c r="B90" s="196">
        <v>2</v>
      </c>
      <c r="C90" s="197" t="s">
        <v>114</v>
      </c>
      <c r="D90" s="145" t="s">
        <v>57</v>
      </c>
      <c r="E90" s="732">
        <f>SUM(E80:E85)</f>
        <v>463</v>
      </c>
      <c r="F90" s="1092">
        <v>0</v>
      </c>
      <c r="G90" s="1093">
        <f t="shared" si="3"/>
        <v>0</v>
      </c>
    </row>
    <row r="91" spans="1:25" ht="36">
      <c r="B91" s="199" t="s">
        <v>115</v>
      </c>
      <c r="C91" s="197" t="s">
        <v>116</v>
      </c>
      <c r="D91" s="145" t="s">
        <v>57</v>
      </c>
      <c r="E91" s="732">
        <f>E90</f>
        <v>463</v>
      </c>
      <c r="F91" s="1092">
        <v>0</v>
      </c>
      <c r="G91" s="1093">
        <f>E91*F91</f>
        <v>0</v>
      </c>
    </row>
    <row r="92" spans="1:25" s="8" customFormat="1" ht="24">
      <c r="A92" s="1"/>
      <c r="B92" s="199" t="s">
        <v>117</v>
      </c>
      <c r="C92" s="197" t="s">
        <v>118</v>
      </c>
      <c r="D92" s="145" t="s">
        <v>57</v>
      </c>
      <c r="E92" s="732">
        <f>E90</f>
        <v>463</v>
      </c>
      <c r="F92" s="1092">
        <v>0</v>
      </c>
      <c r="G92" s="1093">
        <f>E92*F92</f>
        <v>0</v>
      </c>
      <c r="I92" s="1"/>
      <c r="J92" s="1"/>
      <c r="K92" s="1"/>
      <c r="L92" s="1"/>
      <c r="M92" s="1"/>
      <c r="N92" s="1"/>
      <c r="O92" s="1"/>
      <c r="P92" s="1"/>
      <c r="Q92" s="1"/>
      <c r="R92" s="1"/>
      <c r="S92" s="1"/>
      <c r="T92" s="1"/>
      <c r="U92" s="1"/>
      <c r="V92" s="1"/>
      <c r="W92" s="1"/>
      <c r="X92" s="1"/>
      <c r="Y92" s="1"/>
    </row>
    <row r="93" spans="1:25" s="8" customFormat="1" ht="36">
      <c r="A93" s="1"/>
      <c r="B93" s="199" t="s">
        <v>119</v>
      </c>
      <c r="C93" s="197" t="s">
        <v>120</v>
      </c>
      <c r="D93" s="145" t="s">
        <v>57</v>
      </c>
      <c r="E93" s="732">
        <f>E90</f>
        <v>463</v>
      </c>
      <c r="F93" s="1092">
        <v>0</v>
      </c>
      <c r="G93" s="1093">
        <f>E93*F93</f>
        <v>0</v>
      </c>
      <c r="I93" s="1"/>
      <c r="J93" s="1"/>
      <c r="K93" s="1"/>
      <c r="L93" s="1"/>
      <c r="M93" s="1"/>
      <c r="N93" s="1"/>
      <c r="O93" s="1"/>
      <c r="P93" s="1"/>
      <c r="Q93" s="1"/>
      <c r="R93" s="1"/>
      <c r="S93" s="1"/>
      <c r="T93" s="1"/>
      <c r="U93" s="1"/>
      <c r="V93" s="1"/>
      <c r="W93" s="1"/>
      <c r="X93" s="1"/>
      <c r="Y93" s="1"/>
    </row>
    <row r="94" spans="1:25" s="8" customFormat="1" ht="24">
      <c r="A94" s="1"/>
      <c r="B94" s="188">
        <v>3</v>
      </c>
      <c r="C94" s="200" t="s">
        <v>121</v>
      </c>
      <c r="D94" s="127"/>
      <c r="E94" s="719"/>
      <c r="F94" s="1107">
        <v>0</v>
      </c>
      <c r="G94" s="731"/>
      <c r="I94" s="1"/>
      <c r="J94" s="1"/>
      <c r="K94" s="1"/>
      <c r="L94" s="1"/>
      <c r="M94" s="1"/>
      <c r="N94" s="1"/>
      <c r="O94" s="1"/>
      <c r="P94" s="1"/>
      <c r="Q94" s="1"/>
      <c r="R94" s="1"/>
      <c r="S94" s="1"/>
      <c r="T94" s="1"/>
      <c r="U94" s="1"/>
      <c r="V94" s="1"/>
      <c r="W94" s="1"/>
      <c r="X94" s="1"/>
      <c r="Y94" s="1"/>
    </row>
    <row r="95" spans="1:25" s="8" customFormat="1">
      <c r="A95" s="1"/>
      <c r="B95" s="201" t="s">
        <v>122</v>
      </c>
      <c r="C95" s="212" t="s">
        <v>127</v>
      </c>
      <c r="D95" s="213"/>
      <c r="E95" s="214"/>
      <c r="F95" s="215">
        <v>0</v>
      </c>
      <c r="G95" s="216"/>
      <c r="I95" s="1"/>
      <c r="J95" s="1"/>
      <c r="K95" s="1"/>
      <c r="L95" s="1"/>
      <c r="M95" s="1"/>
      <c r="N95" s="1"/>
      <c r="O95" s="1"/>
      <c r="P95" s="1"/>
      <c r="Q95" s="1"/>
      <c r="R95" s="1"/>
      <c r="S95" s="1"/>
      <c r="T95" s="1"/>
      <c r="U95" s="1"/>
      <c r="V95" s="1"/>
      <c r="W95" s="1"/>
      <c r="X95" s="1"/>
      <c r="Y95" s="1"/>
    </row>
    <row r="96" spans="1:25" s="8" customFormat="1">
      <c r="A96" s="1"/>
      <c r="B96" s="218"/>
      <c r="C96" s="212" t="s">
        <v>128</v>
      </c>
      <c r="D96" s="735"/>
      <c r="E96" s="736"/>
      <c r="F96" s="1601"/>
      <c r="G96" s="1121"/>
      <c r="I96" s="1"/>
      <c r="J96" s="1"/>
      <c r="K96" s="1"/>
      <c r="L96" s="1"/>
      <c r="M96" s="1"/>
      <c r="N96" s="1"/>
      <c r="O96" s="1"/>
      <c r="P96" s="1"/>
      <c r="Q96" s="1"/>
      <c r="R96" s="1"/>
      <c r="S96" s="1"/>
      <c r="T96" s="1"/>
      <c r="U96" s="1"/>
      <c r="V96" s="1"/>
      <c r="W96" s="1"/>
      <c r="X96" s="1"/>
      <c r="Y96" s="1"/>
    </row>
    <row r="97" spans="1:25" s="8" customFormat="1">
      <c r="A97" s="1"/>
      <c r="B97" s="218"/>
      <c r="C97" s="219" t="s">
        <v>129</v>
      </c>
      <c r="D97" s="213" t="s">
        <v>66</v>
      </c>
      <c r="E97" s="214">
        <v>1</v>
      </c>
      <c r="F97" s="1599">
        <v>0</v>
      </c>
      <c r="G97" s="221">
        <f t="shared" ref="G97:G115" si="4">E97*F97</f>
        <v>0</v>
      </c>
      <c r="I97" s="1"/>
      <c r="J97" s="1"/>
      <c r="K97" s="1"/>
      <c r="L97" s="1"/>
      <c r="M97" s="1"/>
      <c r="N97" s="1"/>
      <c r="O97" s="1"/>
      <c r="P97" s="1"/>
      <c r="Q97" s="1"/>
      <c r="R97" s="1"/>
      <c r="S97" s="1"/>
      <c r="T97" s="1"/>
      <c r="U97" s="1"/>
      <c r="V97" s="1"/>
      <c r="W97" s="1"/>
      <c r="X97" s="1"/>
      <c r="Y97" s="1"/>
    </row>
    <row r="98" spans="1:25" s="8" customFormat="1" ht="36">
      <c r="A98" s="1"/>
      <c r="B98" s="218"/>
      <c r="C98" s="222" t="s">
        <v>130</v>
      </c>
      <c r="D98" s="213" t="s">
        <v>66</v>
      </c>
      <c r="E98" s="214">
        <v>1</v>
      </c>
      <c r="F98" s="1599">
        <v>0</v>
      </c>
      <c r="G98" s="221">
        <f t="shared" si="4"/>
        <v>0</v>
      </c>
      <c r="I98" s="1"/>
      <c r="J98" s="1"/>
      <c r="K98" s="1"/>
      <c r="L98" s="1"/>
      <c r="M98" s="1"/>
      <c r="N98" s="1"/>
      <c r="O98" s="1"/>
      <c r="P98" s="1"/>
      <c r="Q98" s="1"/>
      <c r="R98" s="1"/>
      <c r="S98" s="1"/>
      <c r="T98" s="1"/>
      <c r="U98" s="1"/>
      <c r="V98" s="1"/>
      <c r="W98" s="1"/>
      <c r="X98" s="1"/>
      <c r="Y98" s="1"/>
    </row>
    <row r="99" spans="1:25" s="8" customFormat="1">
      <c r="A99" s="1"/>
      <c r="B99" s="218"/>
      <c r="C99" s="222" t="s">
        <v>183</v>
      </c>
      <c r="D99" s="213" t="s">
        <v>66</v>
      </c>
      <c r="E99" s="214">
        <v>1</v>
      </c>
      <c r="F99" s="1599">
        <v>0</v>
      </c>
      <c r="G99" s="221">
        <f t="shared" si="4"/>
        <v>0</v>
      </c>
      <c r="I99" s="1"/>
      <c r="J99" s="1"/>
      <c r="K99" s="1"/>
      <c r="L99" s="1"/>
      <c r="M99" s="1"/>
      <c r="N99" s="1"/>
      <c r="O99" s="1"/>
      <c r="P99" s="1"/>
      <c r="Q99" s="1"/>
      <c r="R99" s="1"/>
      <c r="S99" s="1"/>
      <c r="T99" s="1"/>
      <c r="U99" s="1"/>
      <c r="V99" s="1"/>
      <c r="W99" s="1"/>
      <c r="X99" s="1"/>
      <c r="Y99" s="1"/>
    </row>
    <row r="100" spans="1:25" s="8" customFormat="1">
      <c r="A100" s="1"/>
      <c r="B100" s="218"/>
      <c r="C100" s="222" t="s">
        <v>131</v>
      </c>
      <c r="D100" s="213" t="s">
        <v>66</v>
      </c>
      <c r="E100" s="214">
        <v>1</v>
      </c>
      <c r="F100" s="1599">
        <v>0</v>
      </c>
      <c r="G100" s="221">
        <f t="shared" si="4"/>
        <v>0</v>
      </c>
      <c r="I100" s="1"/>
      <c r="J100" s="1"/>
      <c r="K100" s="1"/>
      <c r="L100" s="1"/>
      <c r="M100" s="1"/>
      <c r="N100" s="1"/>
      <c r="O100" s="1"/>
      <c r="P100" s="1"/>
      <c r="Q100" s="1"/>
      <c r="R100" s="1"/>
      <c r="S100" s="1"/>
      <c r="T100" s="1"/>
      <c r="U100" s="1"/>
      <c r="V100" s="1"/>
      <c r="W100" s="1"/>
      <c r="X100" s="1"/>
      <c r="Y100" s="1"/>
    </row>
    <row r="101" spans="1:25" s="8" customFormat="1">
      <c r="A101" s="1"/>
      <c r="B101" s="218"/>
      <c r="C101" s="222" t="s">
        <v>132</v>
      </c>
      <c r="D101" s="213" t="s">
        <v>66</v>
      </c>
      <c r="E101" s="214">
        <v>2</v>
      </c>
      <c r="F101" s="1599">
        <v>0</v>
      </c>
      <c r="G101" s="221">
        <f t="shared" si="4"/>
        <v>0</v>
      </c>
      <c r="I101" s="1"/>
      <c r="J101" s="1"/>
      <c r="K101" s="1"/>
      <c r="L101" s="1"/>
      <c r="M101" s="1"/>
      <c r="N101" s="1"/>
      <c r="O101" s="1"/>
      <c r="P101" s="1"/>
      <c r="Q101" s="1"/>
      <c r="R101" s="1"/>
      <c r="S101" s="1"/>
      <c r="T101" s="1"/>
      <c r="U101" s="1"/>
      <c r="V101" s="1"/>
      <c r="W101" s="1"/>
      <c r="X101" s="1"/>
      <c r="Y101" s="1"/>
    </row>
    <row r="102" spans="1:25" s="8" customFormat="1">
      <c r="A102" s="1"/>
      <c r="B102" s="218"/>
      <c r="C102" s="222" t="s">
        <v>133</v>
      </c>
      <c r="D102" s="213" t="s">
        <v>66</v>
      </c>
      <c r="E102" s="214">
        <v>2</v>
      </c>
      <c r="F102" s="1599">
        <v>0</v>
      </c>
      <c r="G102" s="221">
        <f t="shared" si="4"/>
        <v>0</v>
      </c>
      <c r="I102" s="1"/>
      <c r="J102" s="1"/>
      <c r="K102" s="1"/>
      <c r="L102" s="1"/>
      <c r="M102" s="1"/>
      <c r="N102" s="1"/>
      <c r="O102" s="1"/>
      <c r="P102" s="1"/>
      <c r="Q102" s="1"/>
      <c r="R102" s="1"/>
      <c r="S102" s="1"/>
      <c r="T102" s="1"/>
      <c r="U102" s="1"/>
      <c r="V102" s="1"/>
      <c r="W102" s="1"/>
      <c r="X102" s="1"/>
      <c r="Y102" s="1"/>
    </row>
    <row r="103" spans="1:25" s="8" customFormat="1">
      <c r="A103" s="1"/>
      <c r="B103" s="218"/>
      <c r="C103" s="222" t="s">
        <v>134</v>
      </c>
      <c r="D103" s="213" t="s">
        <v>66</v>
      </c>
      <c r="E103" s="214">
        <v>1</v>
      </c>
      <c r="F103" s="1599">
        <v>0</v>
      </c>
      <c r="G103" s="221">
        <f t="shared" si="4"/>
        <v>0</v>
      </c>
      <c r="I103" s="1"/>
      <c r="J103" s="1"/>
      <c r="K103" s="1"/>
      <c r="L103" s="1"/>
      <c r="M103" s="1"/>
      <c r="N103" s="1"/>
      <c r="O103" s="1"/>
      <c r="P103" s="1"/>
      <c r="Q103" s="1"/>
      <c r="R103" s="1"/>
      <c r="S103" s="1"/>
      <c r="T103" s="1"/>
      <c r="U103" s="1"/>
      <c r="V103" s="1"/>
      <c r="W103" s="1"/>
      <c r="X103" s="1"/>
      <c r="Y103" s="1"/>
    </row>
    <row r="104" spans="1:25" s="8" customFormat="1">
      <c r="A104" s="1"/>
      <c r="B104" s="218"/>
      <c r="C104" s="222" t="s">
        <v>135</v>
      </c>
      <c r="D104" s="213" t="s">
        <v>66</v>
      </c>
      <c r="E104" s="214">
        <v>1</v>
      </c>
      <c r="F104" s="1599">
        <v>0</v>
      </c>
      <c r="G104" s="221">
        <f t="shared" si="4"/>
        <v>0</v>
      </c>
      <c r="I104" s="1"/>
      <c r="J104" s="1"/>
      <c r="K104" s="1"/>
      <c r="L104" s="1"/>
      <c r="M104" s="1"/>
      <c r="N104" s="1"/>
      <c r="O104" s="1"/>
      <c r="P104" s="1"/>
      <c r="Q104" s="1"/>
      <c r="R104" s="1"/>
      <c r="S104" s="1"/>
      <c r="T104" s="1"/>
      <c r="U104" s="1"/>
      <c r="V104" s="1"/>
      <c r="W104" s="1"/>
      <c r="X104" s="1"/>
      <c r="Y104" s="1"/>
    </row>
    <row r="105" spans="1:25" s="8" customFormat="1">
      <c r="A105" s="1"/>
      <c r="B105" s="218"/>
      <c r="C105" s="212" t="s">
        <v>318</v>
      </c>
      <c r="D105" s="735"/>
      <c r="E105" s="736"/>
      <c r="F105" s="1599"/>
      <c r="G105" s="221"/>
      <c r="I105" s="1"/>
      <c r="J105" s="1"/>
      <c r="K105" s="1"/>
      <c r="L105" s="1"/>
      <c r="M105" s="1"/>
      <c r="N105" s="1"/>
      <c r="O105" s="1"/>
      <c r="P105" s="1"/>
      <c r="Q105" s="1"/>
      <c r="R105" s="1"/>
      <c r="S105" s="1"/>
      <c r="T105" s="1"/>
      <c r="U105" s="1"/>
      <c r="V105" s="1"/>
      <c r="W105" s="1"/>
      <c r="X105" s="1"/>
      <c r="Y105" s="1"/>
    </row>
    <row r="106" spans="1:25" s="8" customFormat="1">
      <c r="A106" s="1"/>
      <c r="B106" s="218"/>
      <c r="C106" s="219" t="s">
        <v>319</v>
      </c>
      <c r="D106" s="213" t="s">
        <v>66</v>
      </c>
      <c r="E106" s="214">
        <v>2</v>
      </c>
      <c r="F106" s="1599">
        <v>0</v>
      </c>
      <c r="G106" s="221">
        <f t="shared" si="4"/>
        <v>0</v>
      </c>
      <c r="I106" s="1"/>
      <c r="J106" s="1"/>
      <c r="K106" s="1"/>
      <c r="L106" s="1"/>
      <c r="M106" s="1"/>
      <c r="N106" s="1"/>
      <c r="O106" s="1"/>
      <c r="P106" s="1"/>
      <c r="Q106" s="1"/>
      <c r="R106" s="1"/>
      <c r="S106" s="1"/>
      <c r="T106" s="1"/>
      <c r="U106" s="1"/>
      <c r="V106" s="1"/>
      <c r="W106" s="1"/>
      <c r="X106" s="1"/>
      <c r="Y106" s="1"/>
    </row>
    <row r="107" spans="1:25" s="8" customFormat="1" ht="36">
      <c r="A107" s="1"/>
      <c r="B107" s="218"/>
      <c r="C107" s="222" t="s">
        <v>283</v>
      </c>
      <c r="D107" s="213" t="s">
        <v>66</v>
      </c>
      <c r="E107" s="214">
        <v>2</v>
      </c>
      <c r="F107" s="1599">
        <v>0</v>
      </c>
      <c r="G107" s="221">
        <f t="shared" si="4"/>
        <v>0</v>
      </c>
      <c r="I107" s="1"/>
      <c r="J107" s="1"/>
      <c r="K107" s="1"/>
      <c r="L107" s="1"/>
      <c r="M107" s="1"/>
      <c r="N107" s="1"/>
      <c r="O107" s="1"/>
      <c r="P107" s="1"/>
      <c r="Q107" s="1"/>
      <c r="R107" s="1"/>
      <c r="S107" s="1"/>
      <c r="T107" s="1"/>
      <c r="U107" s="1"/>
      <c r="V107" s="1"/>
      <c r="W107" s="1"/>
      <c r="X107" s="1"/>
      <c r="Y107" s="1"/>
    </row>
    <row r="108" spans="1:25" s="8" customFormat="1">
      <c r="A108" s="1"/>
      <c r="B108" s="218"/>
      <c r="C108" s="222" t="s">
        <v>183</v>
      </c>
      <c r="D108" s="213" t="s">
        <v>66</v>
      </c>
      <c r="E108" s="214">
        <v>2</v>
      </c>
      <c r="F108" s="1599">
        <v>0</v>
      </c>
      <c r="G108" s="221">
        <f t="shared" si="4"/>
        <v>0</v>
      </c>
      <c r="I108" s="1"/>
      <c r="J108" s="1"/>
      <c r="K108" s="1"/>
      <c r="L108" s="1"/>
      <c r="M108" s="1"/>
      <c r="N108" s="1"/>
      <c r="O108" s="1"/>
      <c r="P108" s="1"/>
      <c r="Q108" s="1"/>
      <c r="R108" s="1"/>
      <c r="S108" s="1"/>
      <c r="T108" s="1"/>
      <c r="U108" s="1"/>
      <c r="V108" s="1"/>
      <c r="W108" s="1"/>
      <c r="X108" s="1"/>
      <c r="Y108" s="1"/>
    </row>
    <row r="109" spans="1:25" s="8" customFormat="1">
      <c r="A109" s="1"/>
      <c r="B109" s="218"/>
      <c r="C109" s="222" t="s">
        <v>131</v>
      </c>
      <c r="D109" s="213" t="s">
        <v>66</v>
      </c>
      <c r="E109" s="214">
        <v>2</v>
      </c>
      <c r="F109" s="1599">
        <v>0</v>
      </c>
      <c r="G109" s="221">
        <f t="shared" si="4"/>
        <v>0</v>
      </c>
      <c r="I109" s="1"/>
      <c r="J109" s="1"/>
      <c r="K109" s="1"/>
      <c r="L109" s="1"/>
      <c r="M109" s="1"/>
      <c r="N109" s="1"/>
      <c r="O109" s="1"/>
      <c r="P109" s="1"/>
      <c r="Q109" s="1"/>
      <c r="R109" s="1"/>
      <c r="S109" s="1"/>
      <c r="T109" s="1"/>
      <c r="U109" s="1"/>
      <c r="V109" s="1"/>
      <c r="W109" s="1"/>
      <c r="X109" s="1"/>
      <c r="Y109" s="1"/>
    </row>
    <row r="110" spans="1:25" s="8" customFormat="1">
      <c r="A110" s="1"/>
      <c r="B110" s="218"/>
      <c r="C110" s="1133" t="s">
        <v>166</v>
      </c>
      <c r="D110" s="213" t="s">
        <v>66</v>
      </c>
      <c r="E110" s="214">
        <v>4</v>
      </c>
      <c r="F110" s="1599">
        <v>0</v>
      </c>
      <c r="G110" s="221">
        <f t="shared" si="4"/>
        <v>0</v>
      </c>
      <c r="I110" s="1"/>
      <c r="J110" s="1"/>
      <c r="K110" s="1"/>
      <c r="L110" s="1"/>
      <c r="M110" s="1"/>
      <c r="N110" s="1"/>
      <c r="O110" s="1"/>
      <c r="P110" s="1"/>
      <c r="Q110" s="1"/>
      <c r="R110" s="1"/>
      <c r="S110" s="1"/>
      <c r="T110" s="1"/>
      <c r="U110" s="1"/>
      <c r="V110" s="1"/>
      <c r="W110" s="1"/>
      <c r="X110" s="1"/>
      <c r="Y110" s="1"/>
    </row>
    <row r="111" spans="1:25" s="8" customFormat="1">
      <c r="A111" s="1"/>
      <c r="B111" s="218"/>
      <c r="C111" s="1133" t="s">
        <v>167</v>
      </c>
      <c r="D111" s="213" t="s">
        <v>66</v>
      </c>
      <c r="E111" s="214">
        <v>4</v>
      </c>
      <c r="F111" s="1599">
        <v>0</v>
      </c>
      <c r="G111" s="221">
        <f t="shared" si="4"/>
        <v>0</v>
      </c>
      <c r="I111" s="1"/>
      <c r="J111" s="1"/>
      <c r="K111" s="1"/>
      <c r="L111" s="1"/>
      <c r="M111" s="1"/>
      <c r="N111" s="1"/>
      <c r="O111" s="1"/>
      <c r="P111" s="1"/>
      <c r="Q111" s="1"/>
      <c r="R111" s="1"/>
      <c r="S111" s="1"/>
      <c r="T111" s="1"/>
      <c r="U111" s="1"/>
      <c r="V111" s="1"/>
      <c r="W111" s="1"/>
      <c r="X111" s="1"/>
      <c r="Y111" s="1"/>
    </row>
    <row r="112" spans="1:25" s="8" customFormat="1">
      <c r="A112" s="1"/>
      <c r="B112" s="218"/>
      <c r="C112" s="1133" t="s">
        <v>229</v>
      </c>
      <c r="D112" s="213" t="s">
        <v>66</v>
      </c>
      <c r="E112" s="214">
        <v>4</v>
      </c>
      <c r="F112" s="1599">
        <v>0</v>
      </c>
      <c r="G112" s="221">
        <f t="shared" si="4"/>
        <v>0</v>
      </c>
      <c r="I112" s="1"/>
      <c r="J112" s="1"/>
      <c r="K112" s="1"/>
      <c r="L112" s="1"/>
      <c r="M112" s="1"/>
      <c r="N112" s="1"/>
      <c r="O112" s="1"/>
      <c r="P112" s="1"/>
      <c r="Q112" s="1"/>
      <c r="R112" s="1"/>
      <c r="S112" s="1"/>
      <c r="T112" s="1"/>
      <c r="U112" s="1"/>
      <c r="V112" s="1"/>
      <c r="W112" s="1"/>
      <c r="X112" s="1"/>
      <c r="Y112" s="1"/>
    </row>
    <row r="113" spans="1:25" s="8" customFormat="1">
      <c r="A113" s="1"/>
      <c r="B113" s="218"/>
      <c r="C113" s="1133" t="s">
        <v>230</v>
      </c>
      <c r="D113" s="213" t="s">
        <v>66</v>
      </c>
      <c r="E113" s="214">
        <v>4</v>
      </c>
      <c r="F113" s="1599">
        <v>0</v>
      </c>
      <c r="G113" s="221">
        <f t="shared" si="4"/>
        <v>0</v>
      </c>
      <c r="I113" s="1"/>
      <c r="J113" s="1"/>
      <c r="K113" s="1"/>
      <c r="L113" s="1"/>
      <c r="M113" s="1"/>
      <c r="N113" s="1"/>
      <c r="O113" s="1"/>
      <c r="P113" s="1"/>
      <c r="Q113" s="1"/>
      <c r="R113" s="1"/>
      <c r="S113" s="1"/>
      <c r="T113" s="1"/>
      <c r="U113" s="1"/>
      <c r="V113" s="1"/>
      <c r="W113" s="1"/>
      <c r="X113" s="1"/>
      <c r="Y113" s="1"/>
    </row>
    <row r="114" spans="1:25" s="8" customFormat="1">
      <c r="A114" s="1"/>
      <c r="B114" s="218"/>
      <c r="C114" s="1133" t="s">
        <v>134</v>
      </c>
      <c r="D114" s="213" t="s">
        <v>66</v>
      </c>
      <c r="E114" s="214">
        <v>2</v>
      </c>
      <c r="F114" s="1599">
        <v>0</v>
      </c>
      <c r="G114" s="221">
        <f t="shared" si="4"/>
        <v>0</v>
      </c>
      <c r="I114" s="1"/>
      <c r="J114" s="1"/>
      <c r="K114" s="1"/>
      <c r="L114" s="1"/>
      <c r="M114" s="1"/>
      <c r="N114" s="1"/>
      <c r="O114" s="1"/>
      <c r="P114" s="1"/>
      <c r="Q114" s="1"/>
      <c r="R114" s="1"/>
      <c r="S114" s="1"/>
      <c r="T114" s="1"/>
      <c r="U114" s="1"/>
      <c r="V114" s="1"/>
      <c r="W114" s="1"/>
      <c r="X114" s="1"/>
      <c r="Y114" s="1"/>
    </row>
    <row r="115" spans="1:25" s="8" customFormat="1">
      <c r="A115" s="1"/>
      <c r="B115" s="218"/>
      <c r="C115" s="1134" t="s">
        <v>135</v>
      </c>
      <c r="D115" s="213" t="s">
        <v>66</v>
      </c>
      <c r="E115" s="214">
        <v>2</v>
      </c>
      <c r="F115" s="1599">
        <v>0</v>
      </c>
      <c r="G115" s="221">
        <f t="shared" si="4"/>
        <v>0</v>
      </c>
      <c r="I115" s="1"/>
      <c r="J115" s="1"/>
      <c r="K115" s="1"/>
      <c r="L115" s="1"/>
      <c r="M115" s="1"/>
      <c r="N115" s="1"/>
      <c r="O115" s="1"/>
      <c r="P115" s="1"/>
      <c r="Q115" s="1"/>
      <c r="R115" s="1"/>
      <c r="S115" s="1"/>
      <c r="T115" s="1"/>
      <c r="U115" s="1"/>
      <c r="V115" s="1"/>
      <c r="W115" s="1"/>
      <c r="X115" s="1"/>
      <c r="Y115" s="1"/>
    </row>
    <row r="116" spans="1:25" s="8" customFormat="1">
      <c r="A116" s="1"/>
      <c r="B116" s="201" t="s">
        <v>126</v>
      </c>
      <c r="C116" s="238" t="s">
        <v>320</v>
      </c>
      <c r="D116" s="239"/>
      <c r="E116" s="240"/>
      <c r="F116" s="241"/>
      <c r="G116" s="242"/>
      <c r="I116" s="1"/>
      <c r="J116" s="1"/>
      <c r="K116" s="1"/>
      <c r="L116" s="1"/>
      <c r="M116" s="1"/>
      <c r="N116" s="1"/>
      <c r="O116" s="1"/>
      <c r="P116" s="1"/>
      <c r="Q116" s="1"/>
      <c r="R116" s="1"/>
      <c r="S116" s="1"/>
      <c r="T116" s="1"/>
      <c r="U116" s="1"/>
      <c r="V116" s="1"/>
      <c r="W116" s="1"/>
      <c r="X116" s="1"/>
      <c r="Y116" s="1"/>
    </row>
    <row r="117" spans="1:25" s="8" customFormat="1">
      <c r="A117" s="1"/>
      <c r="B117" s="218"/>
      <c r="C117" s="238" t="s">
        <v>326</v>
      </c>
      <c r="D117" s="153"/>
      <c r="E117" s="741"/>
      <c r="F117" s="1611"/>
      <c r="G117" s="263"/>
      <c r="I117" s="1"/>
      <c r="J117" s="1"/>
      <c r="K117" s="1"/>
      <c r="L117" s="1"/>
      <c r="M117" s="1"/>
      <c r="N117" s="1"/>
      <c r="O117" s="1"/>
      <c r="P117" s="1"/>
      <c r="Q117" s="1"/>
      <c r="R117" s="1"/>
      <c r="S117" s="1"/>
      <c r="T117" s="1"/>
      <c r="U117" s="1"/>
      <c r="V117" s="1"/>
      <c r="W117" s="1"/>
      <c r="X117" s="1"/>
      <c r="Y117" s="1"/>
    </row>
    <row r="118" spans="1:25" s="8" customFormat="1" ht="23.25" customHeight="1">
      <c r="A118" s="1"/>
      <c r="B118" s="218"/>
      <c r="C118" s="1123" t="s">
        <v>322</v>
      </c>
      <c r="D118" s="239" t="s">
        <v>66</v>
      </c>
      <c r="E118" s="240">
        <v>2</v>
      </c>
      <c r="F118" s="1609">
        <v>0</v>
      </c>
      <c r="G118" s="245">
        <f t="shared" ref="G118:G120" si="5">E118*F118</f>
        <v>0</v>
      </c>
      <c r="I118" s="1"/>
      <c r="J118" s="1"/>
      <c r="K118" s="1"/>
      <c r="L118" s="1"/>
      <c r="M118" s="1"/>
      <c r="N118" s="1"/>
      <c r="O118" s="1"/>
      <c r="P118" s="1"/>
      <c r="Q118" s="1"/>
      <c r="R118" s="1"/>
      <c r="S118" s="1"/>
      <c r="T118" s="1"/>
      <c r="U118" s="1"/>
      <c r="V118" s="1"/>
      <c r="W118" s="1"/>
      <c r="X118" s="1"/>
      <c r="Y118" s="1"/>
    </row>
    <row r="119" spans="1:25" s="8" customFormat="1">
      <c r="A119" s="1"/>
      <c r="B119" s="218"/>
      <c r="C119" s="246" t="s">
        <v>325</v>
      </c>
      <c r="D119" s="239" t="s">
        <v>66</v>
      </c>
      <c r="E119" s="240">
        <v>2</v>
      </c>
      <c r="F119" s="1609">
        <v>0</v>
      </c>
      <c r="G119" s="245">
        <f t="shared" si="5"/>
        <v>0</v>
      </c>
      <c r="I119" s="1"/>
      <c r="J119" s="1"/>
      <c r="K119" s="1"/>
      <c r="L119" s="1"/>
      <c r="M119" s="1"/>
      <c r="N119" s="1"/>
      <c r="O119" s="1"/>
      <c r="P119" s="1"/>
      <c r="Q119" s="1"/>
      <c r="R119" s="1"/>
      <c r="S119" s="1"/>
      <c r="T119" s="1"/>
      <c r="U119" s="1"/>
      <c r="V119" s="1"/>
      <c r="W119" s="1"/>
      <c r="X119" s="1"/>
      <c r="Y119" s="1"/>
    </row>
    <row r="120" spans="1:25" s="8" customFormat="1">
      <c r="A120" s="1"/>
      <c r="B120" s="218"/>
      <c r="C120" s="247" t="s">
        <v>135</v>
      </c>
      <c r="D120" s="239" t="s">
        <v>66</v>
      </c>
      <c r="E120" s="240">
        <v>2</v>
      </c>
      <c r="F120" s="1609">
        <v>0</v>
      </c>
      <c r="G120" s="245">
        <f t="shared" si="5"/>
        <v>0</v>
      </c>
      <c r="I120" s="1"/>
      <c r="J120" s="1"/>
      <c r="K120" s="1"/>
      <c r="L120" s="1"/>
      <c r="M120" s="1"/>
      <c r="N120" s="1"/>
      <c r="O120" s="1"/>
      <c r="P120" s="1"/>
      <c r="Q120" s="1"/>
      <c r="R120" s="1"/>
      <c r="S120" s="1"/>
      <c r="T120" s="1"/>
      <c r="U120" s="1"/>
      <c r="V120" s="1"/>
      <c r="W120" s="1"/>
      <c r="X120" s="1"/>
      <c r="Y120" s="1"/>
    </row>
    <row r="121" spans="1:25" s="8" customFormat="1">
      <c r="A121" s="1"/>
      <c r="B121" s="201" t="s">
        <v>136</v>
      </c>
      <c r="C121" s="223" t="s">
        <v>137</v>
      </c>
      <c r="D121" s="224"/>
      <c r="E121" s="225"/>
      <c r="F121" s="226"/>
      <c r="G121" s="227"/>
      <c r="I121" s="1"/>
      <c r="J121" s="1"/>
      <c r="K121" s="1"/>
      <c r="L121" s="1"/>
      <c r="M121" s="1"/>
      <c r="N121" s="1"/>
      <c r="O121" s="1"/>
      <c r="P121" s="1"/>
      <c r="Q121" s="1"/>
      <c r="R121" s="1"/>
      <c r="S121" s="1"/>
      <c r="T121" s="1"/>
      <c r="U121" s="1"/>
      <c r="V121" s="1"/>
      <c r="W121" s="1"/>
      <c r="X121" s="1"/>
      <c r="Y121" s="1"/>
    </row>
    <row r="122" spans="1:25" s="8" customFormat="1">
      <c r="A122" s="1"/>
      <c r="B122" s="218"/>
      <c r="C122" s="223" t="s">
        <v>138</v>
      </c>
      <c r="D122" s="737"/>
      <c r="E122" s="738"/>
      <c r="F122" s="1605"/>
      <c r="G122" s="1125"/>
      <c r="I122" s="1"/>
      <c r="J122" s="1"/>
      <c r="K122" s="1"/>
      <c r="L122" s="1"/>
      <c r="M122" s="1"/>
      <c r="N122" s="1"/>
      <c r="O122" s="1"/>
      <c r="P122" s="1"/>
      <c r="Q122" s="1"/>
      <c r="R122" s="1"/>
      <c r="S122" s="1"/>
      <c r="T122" s="1"/>
      <c r="U122" s="1"/>
      <c r="V122" s="1"/>
      <c r="W122" s="1"/>
      <c r="X122" s="1"/>
      <c r="Y122" s="1"/>
    </row>
    <row r="123" spans="1:25" s="8" customFormat="1">
      <c r="A123" s="1"/>
      <c r="B123" s="218"/>
      <c r="C123" s="228" t="s">
        <v>129</v>
      </c>
      <c r="D123" s="224" t="s">
        <v>66</v>
      </c>
      <c r="E123" s="225">
        <v>1</v>
      </c>
      <c r="F123" s="1603">
        <v>0</v>
      </c>
      <c r="G123" s="230">
        <f t="shared" ref="G123:G138" si="6">E123*F123</f>
        <v>0</v>
      </c>
      <c r="I123" s="1"/>
      <c r="J123" s="1"/>
      <c r="K123" s="1"/>
      <c r="L123" s="1"/>
      <c r="M123" s="1"/>
      <c r="N123" s="1"/>
      <c r="O123" s="1"/>
      <c r="P123" s="1"/>
      <c r="Q123" s="1"/>
      <c r="R123" s="1"/>
      <c r="S123" s="1"/>
      <c r="T123" s="1"/>
      <c r="U123" s="1"/>
      <c r="V123" s="1"/>
      <c r="W123" s="1"/>
      <c r="X123" s="1"/>
      <c r="Y123" s="1"/>
    </row>
    <row r="124" spans="1:25" s="8" customFormat="1">
      <c r="A124" s="1"/>
      <c r="B124" s="218"/>
      <c r="C124" s="228" t="s">
        <v>139</v>
      </c>
      <c r="D124" s="224" t="s">
        <v>66</v>
      </c>
      <c r="E124" s="225">
        <v>2</v>
      </c>
      <c r="F124" s="1603">
        <v>0</v>
      </c>
      <c r="G124" s="230">
        <f t="shared" si="6"/>
        <v>0</v>
      </c>
      <c r="I124" s="1"/>
      <c r="J124" s="1"/>
      <c r="K124" s="1"/>
      <c r="L124" s="1"/>
      <c r="M124" s="1"/>
      <c r="N124" s="1"/>
      <c r="O124" s="1"/>
      <c r="P124" s="1"/>
      <c r="Q124" s="1"/>
      <c r="R124" s="1"/>
      <c r="S124" s="1"/>
      <c r="T124" s="1"/>
      <c r="U124" s="1"/>
      <c r="V124" s="1"/>
      <c r="W124" s="1"/>
      <c r="X124" s="1"/>
      <c r="Y124" s="1"/>
    </row>
    <row r="125" spans="1:25" s="8" customFormat="1">
      <c r="A125" s="1"/>
      <c r="B125" s="218"/>
      <c r="C125" s="231" t="s">
        <v>140</v>
      </c>
      <c r="D125" s="224" t="s">
        <v>66</v>
      </c>
      <c r="E125" s="225">
        <v>1</v>
      </c>
      <c r="F125" s="1603">
        <v>0</v>
      </c>
      <c r="G125" s="230">
        <f t="shared" si="6"/>
        <v>0</v>
      </c>
      <c r="I125" s="1"/>
      <c r="J125" s="1"/>
      <c r="K125" s="1"/>
      <c r="L125" s="1"/>
      <c r="M125" s="1"/>
      <c r="N125" s="1"/>
      <c r="O125" s="1"/>
      <c r="P125" s="1"/>
      <c r="Q125" s="1"/>
      <c r="R125" s="1"/>
      <c r="S125" s="1"/>
      <c r="T125" s="1"/>
      <c r="U125" s="1"/>
      <c r="V125" s="1"/>
      <c r="W125" s="1"/>
      <c r="X125" s="1"/>
      <c r="Y125" s="1"/>
    </row>
    <row r="126" spans="1:25" s="8" customFormat="1">
      <c r="A126" s="1"/>
      <c r="B126" s="218"/>
      <c r="C126" s="231" t="s">
        <v>141</v>
      </c>
      <c r="D126" s="224" t="s">
        <v>66</v>
      </c>
      <c r="E126" s="225">
        <v>1</v>
      </c>
      <c r="F126" s="1603">
        <v>0</v>
      </c>
      <c r="G126" s="230">
        <f t="shared" si="6"/>
        <v>0</v>
      </c>
      <c r="I126" s="1"/>
      <c r="J126" s="1"/>
      <c r="K126" s="1"/>
      <c r="L126" s="1"/>
      <c r="M126" s="1"/>
      <c r="N126" s="1"/>
      <c r="O126" s="1"/>
      <c r="P126" s="1"/>
      <c r="Q126" s="1"/>
      <c r="R126" s="1"/>
      <c r="S126" s="1"/>
      <c r="T126" s="1"/>
      <c r="U126" s="1"/>
      <c r="V126" s="1"/>
      <c r="W126" s="1"/>
      <c r="X126" s="1"/>
      <c r="Y126" s="1"/>
    </row>
    <row r="127" spans="1:25" s="8" customFormat="1">
      <c r="A127" s="1"/>
      <c r="B127" s="218"/>
      <c r="C127" s="231" t="s">
        <v>142</v>
      </c>
      <c r="D127" s="224" t="s">
        <v>66</v>
      </c>
      <c r="E127" s="225">
        <v>1</v>
      </c>
      <c r="F127" s="1603">
        <v>0</v>
      </c>
      <c r="G127" s="230">
        <f t="shared" si="6"/>
        <v>0</v>
      </c>
      <c r="I127" s="1"/>
      <c r="J127" s="1"/>
      <c r="K127" s="1"/>
      <c r="L127" s="1"/>
      <c r="M127" s="1"/>
      <c r="N127" s="1"/>
      <c r="O127" s="1"/>
      <c r="P127" s="1"/>
      <c r="Q127" s="1"/>
      <c r="R127" s="1"/>
      <c r="S127" s="1"/>
      <c r="T127" s="1"/>
      <c r="U127" s="1"/>
      <c r="V127" s="1"/>
      <c r="W127" s="1"/>
      <c r="X127" s="1"/>
      <c r="Y127" s="1"/>
    </row>
    <row r="128" spans="1:25" s="8" customFormat="1">
      <c r="A128" s="1"/>
      <c r="B128" s="218"/>
      <c r="C128" s="231" t="s">
        <v>143</v>
      </c>
      <c r="D128" s="224" t="s">
        <v>66</v>
      </c>
      <c r="E128" s="225">
        <v>1</v>
      </c>
      <c r="F128" s="1603">
        <v>0</v>
      </c>
      <c r="G128" s="230">
        <f t="shared" si="6"/>
        <v>0</v>
      </c>
      <c r="I128" s="1"/>
      <c r="J128" s="1"/>
      <c r="K128" s="1"/>
      <c r="L128" s="1"/>
      <c r="M128" s="1"/>
      <c r="N128" s="1"/>
      <c r="O128" s="1"/>
      <c r="P128" s="1"/>
      <c r="Q128" s="1"/>
      <c r="R128" s="1"/>
      <c r="S128" s="1"/>
      <c r="T128" s="1"/>
      <c r="U128" s="1"/>
      <c r="V128" s="1"/>
      <c r="W128" s="1"/>
      <c r="X128" s="1"/>
      <c r="Y128" s="1"/>
    </row>
    <row r="129" spans="1:25" s="8" customFormat="1">
      <c r="A129" s="1"/>
      <c r="B129" s="218"/>
      <c r="C129" s="231" t="s">
        <v>2250</v>
      </c>
      <c r="D129" s="224" t="s">
        <v>66</v>
      </c>
      <c r="E129" s="225">
        <v>1</v>
      </c>
      <c r="F129" s="1603">
        <v>0</v>
      </c>
      <c r="G129" s="230">
        <f t="shared" si="6"/>
        <v>0</v>
      </c>
      <c r="I129" s="1"/>
      <c r="J129" s="1"/>
      <c r="K129" s="1"/>
      <c r="L129" s="1"/>
      <c r="M129" s="1"/>
      <c r="N129" s="1"/>
      <c r="O129" s="1"/>
      <c r="P129" s="1"/>
      <c r="Q129" s="1"/>
      <c r="R129" s="1"/>
      <c r="S129" s="1"/>
      <c r="T129" s="1"/>
      <c r="U129" s="1"/>
      <c r="V129" s="1"/>
      <c r="W129" s="1"/>
      <c r="X129" s="1"/>
      <c r="Y129" s="1"/>
    </row>
    <row r="130" spans="1:25" s="8" customFormat="1">
      <c r="A130" s="1"/>
      <c r="B130" s="218"/>
      <c r="C130" s="231" t="s">
        <v>145</v>
      </c>
      <c r="D130" s="224" t="s">
        <v>66</v>
      </c>
      <c r="E130" s="225">
        <v>1</v>
      </c>
      <c r="F130" s="1603">
        <v>0</v>
      </c>
      <c r="G130" s="230">
        <f t="shared" si="6"/>
        <v>0</v>
      </c>
      <c r="I130" s="1"/>
      <c r="J130" s="1"/>
      <c r="K130" s="1"/>
      <c r="L130" s="1"/>
      <c r="M130" s="1"/>
      <c r="N130" s="1"/>
      <c r="O130" s="1"/>
      <c r="P130" s="1"/>
      <c r="Q130" s="1"/>
      <c r="R130" s="1"/>
      <c r="S130" s="1"/>
      <c r="T130" s="1"/>
      <c r="U130" s="1"/>
      <c r="V130" s="1"/>
      <c r="W130" s="1"/>
      <c r="X130" s="1"/>
      <c r="Y130" s="1"/>
    </row>
    <row r="131" spans="1:25" s="8" customFormat="1">
      <c r="A131" s="1"/>
      <c r="B131" s="218"/>
      <c r="C131" s="231" t="s">
        <v>146</v>
      </c>
      <c r="D131" s="224" t="s">
        <v>66</v>
      </c>
      <c r="E131" s="225">
        <v>1</v>
      </c>
      <c r="F131" s="1603">
        <v>0</v>
      </c>
      <c r="G131" s="230">
        <f t="shared" si="6"/>
        <v>0</v>
      </c>
      <c r="I131" s="1"/>
      <c r="J131" s="1"/>
      <c r="K131" s="1"/>
      <c r="L131" s="1"/>
      <c r="M131" s="1"/>
      <c r="N131" s="1"/>
      <c r="O131" s="1"/>
      <c r="P131" s="1"/>
      <c r="Q131" s="1"/>
      <c r="R131" s="1"/>
      <c r="S131" s="1"/>
      <c r="T131" s="1"/>
      <c r="U131" s="1"/>
      <c r="V131" s="1"/>
      <c r="W131" s="1"/>
      <c r="X131" s="1"/>
      <c r="Y131" s="1"/>
    </row>
    <row r="132" spans="1:25" s="8" customFormat="1">
      <c r="A132" s="1"/>
      <c r="B132" s="218"/>
      <c r="C132" s="739" t="s">
        <v>147</v>
      </c>
      <c r="D132" s="224" t="s">
        <v>66</v>
      </c>
      <c r="E132" s="225">
        <v>1</v>
      </c>
      <c r="F132" s="1603">
        <v>0</v>
      </c>
      <c r="G132" s="230">
        <f t="shared" si="6"/>
        <v>0</v>
      </c>
      <c r="I132" s="1"/>
      <c r="J132" s="1"/>
      <c r="K132" s="1"/>
      <c r="L132" s="1"/>
      <c r="M132" s="1"/>
      <c r="N132" s="1"/>
      <c r="O132" s="1"/>
      <c r="P132" s="1"/>
      <c r="Q132" s="1"/>
      <c r="R132" s="1"/>
      <c r="S132" s="1"/>
      <c r="T132" s="1"/>
      <c r="U132" s="1"/>
      <c r="V132" s="1"/>
      <c r="W132" s="1"/>
      <c r="X132" s="1"/>
      <c r="Y132" s="1"/>
    </row>
    <row r="133" spans="1:25" s="8" customFormat="1">
      <c r="A133" s="1"/>
      <c r="B133" s="218"/>
      <c r="C133" s="739" t="s">
        <v>188</v>
      </c>
      <c r="D133" s="224" t="s">
        <v>66</v>
      </c>
      <c r="E133" s="225">
        <v>1</v>
      </c>
      <c r="F133" s="1603">
        <v>0</v>
      </c>
      <c r="G133" s="230">
        <f t="shared" si="6"/>
        <v>0</v>
      </c>
      <c r="I133" s="1"/>
      <c r="J133" s="1"/>
      <c r="K133" s="1"/>
      <c r="L133" s="1"/>
      <c r="M133" s="1"/>
      <c r="N133" s="1"/>
      <c r="O133" s="1"/>
      <c r="P133" s="1"/>
      <c r="Q133" s="1"/>
      <c r="R133" s="1"/>
      <c r="S133" s="1"/>
      <c r="T133" s="1"/>
      <c r="U133" s="1"/>
      <c r="V133" s="1"/>
      <c r="W133" s="1"/>
      <c r="X133" s="1"/>
      <c r="Y133" s="1"/>
    </row>
    <row r="134" spans="1:25" s="8" customFormat="1">
      <c r="A134" s="1"/>
      <c r="B134" s="218"/>
      <c r="C134" s="739" t="s">
        <v>132</v>
      </c>
      <c r="D134" s="224" t="s">
        <v>66</v>
      </c>
      <c r="E134" s="225">
        <v>2</v>
      </c>
      <c r="F134" s="1603">
        <v>0</v>
      </c>
      <c r="G134" s="230">
        <f t="shared" si="6"/>
        <v>0</v>
      </c>
      <c r="I134" s="1"/>
      <c r="J134" s="1"/>
      <c r="K134" s="1"/>
      <c r="L134" s="1"/>
      <c r="M134" s="1"/>
      <c r="N134" s="1"/>
      <c r="O134" s="1"/>
      <c r="P134" s="1"/>
      <c r="Q134" s="1"/>
      <c r="R134" s="1"/>
      <c r="S134" s="1"/>
      <c r="T134" s="1"/>
      <c r="U134" s="1"/>
      <c r="V134" s="1"/>
      <c r="W134" s="1"/>
      <c r="X134" s="1"/>
      <c r="Y134" s="1"/>
    </row>
    <row r="135" spans="1:25" s="8" customFormat="1">
      <c r="A135" s="1"/>
      <c r="B135" s="218"/>
      <c r="C135" s="739" t="s">
        <v>148</v>
      </c>
      <c r="D135" s="224" t="s">
        <v>66</v>
      </c>
      <c r="E135" s="225">
        <v>2</v>
      </c>
      <c r="F135" s="1603">
        <v>0</v>
      </c>
      <c r="G135" s="230">
        <f t="shared" si="6"/>
        <v>0</v>
      </c>
      <c r="I135" s="1"/>
      <c r="J135" s="1"/>
      <c r="K135" s="1"/>
      <c r="L135" s="1"/>
      <c r="M135" s="1"/>
      <c r="N135" s="1"/>
      <c r="O135" s="1"/>
      <c r="P135" s="1"/>
      <c r="Q135" s="1"/>
      <c r="R135" s="1"/>
      <c r="S135" s="1"/>
      <c r="T135" s="1"/>
      <c r="U135" s="1"/>
      <c r="V135" s="1"/>
      <c r="W135" s="1"/>
      <c r="X135" s="1"/>
      <c r="Y135" s="1"/>
    </row>
    <row r="136" spans="1:25" s="8" customFormat="1">
      <c r="A136" s="1"/>
      <c r="B136" s="218"/>
      <c r="C136" s="739" t="s">
        <v>149</v>
      </c>
      <c r="D136" s="224" t="s">
        <v>66</v>
      </c>
      <c r="E136" s="225">
        <v>1</v>
      </c>
      <c r="F136" s="1603">
        <v>0</v>
      </c>
      <c r="G136" s="230">
        <f t="shared" si="6"/>
        <v>0</v>
      </c>
      <c r="I136" s="1"/>
      <c r="J136" s="1"/>
      <c r="K136" s="1"/>
      <c r="L136" s="1"/>
      <c r="M136" s="1"/>
      <c r="N136" s="1"/>
      <c r="O136" s="1"/>
      <c r="P136" s="1"/>
      <c r="Q136" s="1"/>
      <c r="R136" s="1"/>
      <c r="S136" s="1"/>
      <c r="T136" s="1"/>
      <c r="U136" s="1"/>
      <c r="V136" s="1"/>
      <c r="W136" s="1"/>
      <c r="X136" s="1"/>
      <c r="Y136" s="1"/>
    </row>
    <row r="137" spans="1:25" s="8" customFormat="1">
      <c r="A137" s="1"/>
      <c r="B137" s="218"/>
      <c r="C137" s="739" t="s">
        <v>150</v>
      </c>
      <c r="D137" s="224" t="s">
        <v>66</v>
      </c>
      <c r="E137" s="225">
        <v>3</v>
      </c>
      <c r="F137" s="1603">
        <v>0</v>
      </c>
      <c r="G137" s="230">
        <f t="shared" si="6"/>
        <v>0</v>
      </c>
      <c r="I137" s="1"/>
      <c r="J137" s="1"/>
      <c r="K137" s="1"/>
      <c r="L137" s="1"/>
      <c r="M137" s="1"/>
      <c r="N137" s="1"/>
      <c r="O137" s="1"/>
      <c r="P137" s="1"/>
      <c r="Q137" s="1"/>
      <c r="R137" s="1"/>
      <c r="S137" s="1"/>
      <c r="T137" s="1"/>
      <c r="U137" s="1"/>
      <c r="V137" s="1"/>
      <c r="W137" s="1"/>
      <c r="X137" s="1"/>
      <c r="Y137" s="1"/>
    </row>
    <row r="138" spans="1:25" s="8" customFormat="1">
      <c r="A138" s="1"/>
      <c r="B138" s="218"/>
      <c r="C138" s="740" t="s">
        <v>135</v>
      </c>
      <c r="D138" s="224" t="s">
        <v>66</v>
      </c>
      <c r="E138" s="225">
        <v>1</v>
      </c>
      <c r="F138" s="1603">
        <v>0</v>
      </c>
      <c r="G138" s="230">
        <f t="shared" si="6"/>
        <v>0</v>
      </c>
      <c r="I138" s="1"/>
      <c r="J138" s="1"/>
      <c r="K138" s="1"/>
      <c r="L138" s="1"/>
      <c r="M138" s="1"/>
      <c r="N138" s="1"/>
      <c r="O138" s="1"/>
      <c r="P138" s="1"/>
      <c r="Q138" s="1"/>
      <c r="R138" s="1"/>
      <c r="S138" s="1"/>
      <c r="T138" s="1"/>
      <c r="U138" s="1"/>
      <c r="V138" s="1"/>
      <c r="W138" s="1"/>
      <c r="X138" s="1"/>
      <c r="Y138" s="1"/>
    </row>
    <row r="139" spans="1:25" s="8" customFormat="1">
      <c r="A139" s="1"/>
      <c r="B139" s="201" t="s">
        <v>151</v>
      </c>
      <c r="C139" s="212" t="s">
        <v>152</v>
      </c>
      <c r="D139" s="213"/>
      <c r="E139" s="214"/>
      <c r="F139" s="215"/>
      <c r="G139" s="216"/>
      <c r="I139" s="1"/>
      <c r="J139" s="1"/>
      <c r="K139" s="1"/>
      <c r="L139" s="1"/>
      <c r="M139" s="1"/>
      <c r="N139" s="1"/>
      <c r="O139" s="1"/>
      <c r="P139" s="1"/>
      <c r="Q139" s="1"/>
      <c r="R139" s="1"/>
      <c r="S139" s="1"/>
      <c r="T139" s="1"/>
      <c r="U139" s="1"/>
      <c r="V139" s="1"/>
      <c r="W139" s="1"/>
      <c r="X139" s="1"/>
      <c r="Y139" s="1"/>
    </row>
    <row r="140" spans="1:25" s="8" customFormat="1">
      <c r="A140" s="1"/>
      <c r="B140" s="218"/>
      <c r="C140" s="212" t="s">
        <v>153</v>
      </c>
      <c r="D140" s="735"/>
      <c r="E140" s="736"/>
      <c r="F140" s="1601"/>
      <c r="G140" s="1121"/>
      <c r="I140" s="1"/>
      <c r="J140" s="1"/>
      <c r="K140" s="1"/>
      <c r="L140" s="1"/>
      <c r="M140" s="1"/>
      <c r="N140" s="1"/>
      <c r="O140" s="1"/>
      <c r="P140" s="1"/>
      <c r="Q140" s="1"/>
      <c r="R140" s="1"/>
      <c r="S140" s="1"/>
      <c r="T140" s="1"/>
      <c r="U140" s="1"/>
      <c r="V140" s="1"/>
      <c r="W140" s="1"/>
      <c r="X140" s="1"/>
      <c r="Y140" s="1"/>
    </row>
    <row r="141" spans="1:25" s="8" customFormat="1">
      <c r="A141" s="1"/>
      <c r="B141" s="218"/>
      <c r="C141" s="219" t="s">
        <v>129</v>
      </c>
      <c r="D141" s="213" t="s">
        <v>66</v>
      </c>
      <c r="E141" s="214">
        <v>1</v>
      </c>
      <c r="F141" s="1599">
        <v>0</v>
      </c>
      <c r="G141" s="221">
        <f t="shared" ref="G141:G151" si="7">E141*F141</f>
        <v>0</v>
      </c>
      <c r="I141" s="1"/>
      <c r="J141" s="1"/>
      <c r="K141" s="1"/>
      <c r="L141" s="1"/>
      <c r="M141" s="1"/>
      <c r="N141" s="1"/>
      <c r="O141" s="1"/>
      <c r="P141" s="1"/>
      <c r="Q141" s="1"/>
      <c r="R141" s="1"/>
      <c r="S141" s="1"/>
      <c r="T141" s="1"/>
      <c r="U141" s="1"/>
      <c r="V141" s="1"/>
      <c r="W141" s="1"/>
      <c r="X141" s="1"/>
      <c r="Y141" s="1"/>
    </row>
    <row r="142" spans="1:25" s="8" customFormat="1" ht="24">
      <c r="A142" s="1"/>
      <c r="B142" s="218"/>
      <c r="C142" s="222" t="s">
        <v>154</v>
      </c>
      <c r="D142" s="213" t="s">
        <v>66</v>
      </c>
      <c r="E142" s="214">
        <v>1</v>
      </c>
      <c r="F142" s="1599">
        <v>0</v>
      </c>
      <c r="G142" s="221">
        <f t="shared" si="7"/>
        <v>0</v>
      </c>
      <c r="I142" s="1"/>
      <c r="J142" s="1"/>
      <c r="K142" s="1"/>
      <c r="L142" s="1"/>
      <c r="M142" s="1"/>
      <c r="N142" s="1"/>
      <c r="O142" s="1"/>
      <c r="P142" s="1"/>
      <c r="Q142" s="1"/>
      <c r="R142" s="1"/>
      <c r="S142" s="1"/>
      <c r="T142" s="1"/>
      <c r="U142" s="1"/>
      <c r="V142" s="1"/>
      <c r="W142" s="1"/>
      <c r="X142" s="1"/>
      <c r="Y142" s="1"/>
    </row>
    <row r="143" spans="1:25" s="8" customFormat="1">
      <c r="A143" s="1"/>
      <c r="B143" s="218"/>
      <c r="C143" s="222" t="s">
        <v>155</v>
      </c>
      <c r="D143" s="213" t="s">
        <v>66</v>
      </c>
      <c r="E143" s="214">
        <v>1</v>
      </c>
      <c r="F143" s="1599">
        <v>0</v>
      </c>
      <c r="G143" s="221">
        <f t="shared" si="7"/>
        <v>0</v>
      </c>
      <c r="I143" s="1"/>
      <c r="J143" s="1"/>
      <c r="K143" s="1"/>
      <c r="L143" s="1"/>
      <c r="M143" s="1"/>
      <c r="N143" s="1"/>
      <c r="O143" s="1"/>
      <c r="P143" s="1"/>
      <c r="Q143" s="1"/>
      <c r="R143" s="1"/>
      <c r="S143" s="1"/>
      <c r="T143" s="1"/>
      <c r="U143" s="1"/>
      <c r="V143" s="1"/>
      <c r="W143" s="1"/>
      <c r="X143" s="1"/>
      <c r="Y143" s="1"/>
    </row>
    <row r="144" spans="1:25" s="8" customFormat="1">
      <c r="A144" s="1"/>
      <c r="B144" s="218"/>
      <c r="C144" s="222" t="s">
        <v>330</v>
      </c>
      <c r="D144" s="213" t="s">
        <v>66</v>
      </c>
      <c r="E144" s="214">
        <v>1</v>
      </c>
      <c r="F144" s="1599">
        <v>0</v>
      </c>
      <c r="G144" s="221">
        <f t="shared" si="7"/>
        <v>0</v>
      </c>
      <c r="I144" s="1"/>
      <c r="J144" s="1"/>
      <c r="K144" s="1"/>
      <c r="L144" s="1"/>
      <c r="M144" s="1"/>
      <c r="N144" s="1"/>
      <c r="O144" s="1"/>
      <c r="P144" s="1"/>
      <c r="Q144" s="1"/>
      <c r="R144" s="1"/>
      <c r="S144" s="1"/>
      <c r="T144" s="1"/>
      <c r="U144" s="1"/>
      <c r="V144" s="1"/>
      <c r="W144" s="1"/>
      <c r="X144" s="1"/>
      <c r="Y144" s="1"/>
    </row>
    <row r="145" spans="1:25" s="8" customFormat="1">
      <c r="A145" s="1"/>
      <c r="B145" s="218"/>
      <c r="C145" s="222" t="s">
        <v>157</v>
      </c>
      <c r="D145" s="213" t="s">
        <v>66</v>
      </c>
      <c r="E145" s="214">
        <v>1</v>
      </c>
      <c r="F145" s="1599">
        <v>0</v>
      </c>
      <c r="G145" s="221">
        <f t="shared" si="7"/>
        <v>0</v>
      </c>
      <c r="I145" s="1"/>
      <c r="J145" s="1"/>
      <c r="K145" s="1"/>
      <c r="L145" s="1"/>
      <c r="M145" s="1"/>
      <c r="N145" s="1"/>
      <c r="O145" s="1"/>
      <c r="P145" s="1"/>
      <c r="Q145" s="1"/>
      <c r="R145" s="1"/>
      <c r="S145" s="1"/>
      <c r="T145" s="1"/>
      <c r="U145" s="1"/>
      <c r="V145" s="1"/>
      <c r="W145" s="1"/>
      <c r="X145" s="1"/>
      <c r="Y145" s="1"/>
    </row>
    <row r="146" spans="1:25" s="8" customFormat="1">
      <c r="A146" s="1"/>
      <c r="B146" s="218"/>
      <c r="C146" s="234" t="s">
        <v>158</v>
      </c>
      <c r="D146" s="213" t="s">
        <v>66</v>
      </c>
      <c r="E146" s="214">
        <v>1</v>
      </c>
      <c r="F146" s="1599">
        <v>0</v>
      </c>
      <c r="G146" s="221">
        <f t="shared" si="7"/>
        <v>0</v>
      </c>
      <c r="I146" s="1"/>
      <c r="J146" s="1"/>
      <c r="K146" s="1"/>
      <c r="L146" s="1"/>
      <c r="M146" s="1"/>
      <c r="N146" s="1"/>
      <c r="O146" s="1"/>
      <c r="P146" s="1"/>
      <c r="Q146" s="1"/>
      <c r="R146" s="1"/>
      <c r="S146" s="1"/>
      <c r="T146" s="1"/>
      <c r="U146" s="1"/>
      <c r="V146" s="1"/>
      <c r="W146" s="1"/>
      <c r="X146" s="1"/>
      <c r="Y146" s="1"/>
    </row>
    <row r="147" spans="1:25" s="8" customFormat="1">
      <c r="A147" s="1"/>
      <c r="B147" s="218"/>
      <c r="C147" s="234" t="s">
        <v>190</v>
      </c>
      <c r="D147" s="213" t="s">
        <v>66</v>
      </c>
      <c r="E147" s="214">
        <v>1</v>
      </c>
      <c r="F147" s="1599">
        <v>0</v>
      </c>
      <c r="G147" s="221">
        <f t="shared" si="7"/>
        <v>0</v>
      </c>
      <c r="I147" s="1"/>
      <c r="J147" s="1"/>
      <c r="K147" s="1"/>
      <c r="L147" s="1"/>
      <c r="M147" s="1"/>
      <c r="N147" s="1"/>
      <c r="O147" s="1"/>
      <c r="P147" s="1"/>
      <c r="Q147" s="1"/>
      <c r="R147" s="1"/>
      <c r="S147" s="1"/>
      <c r="T147" s="1"/>
      <c r="U147" s="1"/>
      <c r="V147" s="1"/>
      <c r="W147" s="1"/>
      <c r="X147" s="1"/>
      <c r="Y147" s="1"/>
    </row>
    <row r="148" spans="1:25" s="8" customFormat="1">
      <c r="A148" s="1"/>
      <c r="B148" s="218"/>
      <c r="C148" s="234" t="s">
        <v>132</v>
      </c>
      <c r="D148" s="213" t="s">
        <v>66</v>
      </c>
      <c r="E148" s="214">
        <v>2</v>
      </c>
      <c r="F148" s="1599">
        <v>0</v>
      </c>
      <c r="G148" s="221">
        <f t="shared" si="7"/>
        <v>0</v>
      </c>
      <c r="I148" s="1"/>
      <c r="J148" s="1"/>
      <c r="K148" s="1"/>
      <c r="L148" s="1"/>
      <c r="M148" s="1"/>
      <c r="N148" s="1"/>
      <c r="O148" s="1"/>
      <c r="P148" s="1"/>
      <c r="Q148" s="1"/>
      <c r="R148" s="1"/>
      <c r="S148" s="1"/>
      <c r="T148" s="1"/>
      <c r="U148" s="1"/>
      <c r="V148" s="1"/>
      <c r="W148" s="1"/>
      <c r="X148" s="1"/>
      <c r="Y148" s="1"/>
    </row>
    <row r="149" spans="1:25" s="8" customFormat="1">
      <c r="A149" s="1"/>
      <c r="B149" s="218"/>
      <c r="C149" s="234" t="s">
        <v>148</v>
      </c>
      <c r="D149" s="213" t="s">
        <v>66</v>
      </c>
      <c r="E149" s="214">
        <v>2</v>
      </c>
      <c r="F149" s="1599">
        <v>0</v>
      </c>
      <c r="G149" s="221">
        <f t="shared" si="7"/>
        <v>0</v>
      </c>
      <c r="I149" s="1"/>
      <c r="J149" s="1"/>
      <c r="K149" s="1"/>
      <c r="L149" s="1"/>
      <c r="M149" s="1"/>
      <c r="N149" s="1"/>
      <c r="O149" s="1"/>
      <c r="P149" s="1"/>
      <c r="Q149" s="1"/>
      <c r="R149" s="1"/>
      <c r="S149" s="1"/>
      <c r="T149" s="1"/>
      <c r="U149" s="1"/>
      <c r="V149" s="1"/>
      <c r="W149" s="1"/>
      <c r="X149" s="1"/>
      <c r="Y149" s="1"/>
    </row>
    <row r="150" spans="1:25" s="8" customFormat="1">
      <c r="A150" s="1"/>
      <c r="B150" s="218"/>
      <c r="C150" s="234" t="s">
        <v>150</v>
      </c>
      <c r="D150" s="213" t="s">
        <v>66</v>
      </c>
      <c r="E150" s="214">
        <v>1</v>
      </c>
      <c r="F150" s="1599">
        <v>0</v>
      </c>
      <c r="G150" s="221">
        <f t="shared" si="7"/>
        <v>0</v>
      </c>
      <c r="I150" s="1"/>
      <c r="J150" s="1"/>
      <c r="K150" s="1"/>
      <c r="L150" s="1"/>
      <c r="M150" s="1"/>
      <c r="N150" s="1"/>
      <c r="O150" s="1"/>
      <c r="P150" s="1"/>
      <c r="Q150" s="1"/>
      <c r="R150" s="1"/>
      <c r="S150" s="1"/>
      <c r="T150" s="1"/>
      <c r="U150" s="1"/>
      <c r="V150" s="1"/>
      <c r="W150" s="1"/>
      <c r="X150" s="1"/>
      <c r="Y150" s="1"/>
    </row>
    <row r="151" spans="1:25" s="8" customFormat="1">
      <c r="A151" s="1"/>
      <c r="B151" s="218"/>
      <c r="C151" s="235" t="s">
        <v>135</v>
      </c>
      <c r="D151" s="213" t="s">
        <v>66</v>
      </c>
      <c r="E151" s="214">
        <v>1</v>
      </c>
      <c r="F151" s="1599">
        <v>0</v>
      </c>
      <c r="G151" s="221">
        <f t="shared" si="7"/>
        <v>0</v>
      </c>
      <c r="I151" s="1"/>
      <c r="J151" s="1"/>
      <c r="K151" s="1"/>
      <c r="L151" s="1"/>
      <c r="M151" s="1"/>
      <c r="N151" s="1"/>
      <c r="O151" s="1"/>
      <c r="P151" s="1"/>
      <c r="Q151" s="1"/>
      <c r="R151" s="1"/>
      <c r="S151" s="1"/>
      <c r="T151" s="1"/>
      <c r="U151" s="1"/>
      <c r="V151" s="1"/>
      <c r="W151" s="1"/>
      <c r="X151" s="1"/>
      <c r="Y151" s="1"/>
    </row>
    <row r="152" spans="1:25" s="8" customFormat="1" ht="24">
      <c r="A152" s="1"/>
      <c r="B152" s="199" t="s">
        <v>1416</v>
      </c>
      <c r="C152" s="212" t="s">
        <v>332</v>
      </c>
      <c r="D152" s="735" t="s">
        <v>66</v>
      </c>
      <c r="E152" s="736">
        <v>1</v>
      </c>
      <c r="F152" s="1126">
        <v>0</v>
      </c>
      <c r="G152" s="1121">
        <f>E152*F152</f>
        <v>0</v>
      </c>
      <c r="I152" s="1"/>
      <c r="J152" s="1"/>
      <c r="K152" s="1"/>
      <c r="L152" s="1"/>
      <c r="M152" s="1"/>
      <c r="N152" s="1"/>
      <c r="O152" s="1"/>
      <c r="P152" s="1"/>
      <c r="Q152" s="1"/>
      <c r="R152" s="1"/>
      <c r="S152" s="1"/>
      <c r="T152" s="1"/>
      <c r="U152" s="1"/>
      <c r="V152" s="1"/>
      <c r="W152" s="1"/>
      <c r="X152" s="1"/>
      <c r="Y152" s="1"/>
    </row>
    <row r="153" spans="1:25" s="8" customFormat="1">
      <c r="A153" s="1"/>
      <c r="B153" s="201" t="s">
        <v>159</v>
      </c>
      <c r="C153" s="223" t="s">
        <v>886</v>
      </c>
      <c r="D153" s="224"/>
      <c r="E153" s="225"/>
      <c r="F153" s="226"/>
      <c r="G153" s="227"/>
      <c r="I153" s="1"/>
      <c r="J153" s="1"/>
      <c r="K153" s="1"/>
      <c r="L153" s="1"/>
      <c r="M153" s="1"/>
      <c r="N153" s="1"/>
      <c r="O153" s="1"/>
      <c r="P153" s="1"/>
      <c r="Q153" s="1"/>
      <c r="R153" s="1"/>
      <c r="S153" s="1"/>
      <c r="T153" s="1"/>
      <c r="U153" s="1"/>
      <c r="V153" s="1"/>
      <c r="W153" s="1"/>
      <c r="X153" s="1"/>
      <c r="Y153" s="1"/>
    </row>
    <row r="154" spans="1:25" s="8" customFormat="1">
      <c r="A154" s="1"/>
      <c r="B154" s="218"/>
      <c r="C154" s="223" t="s">
        <v>220</v>
      </c>
      <c r="D154" s="737"/>
      <c r="E154" s="738"/>
      <c r="F154" s="1605"/>
      <c r="G154" s="1608"/>
      <c r="I154" s="1"/>
      <c r="J154" s="1"/>
      <c r="K154" s="1"/>
      <c r="L154" s="1"/>
      <c r="M154" s="1"/>
      <c r="N154" s="1"/>
      <c r="O154" s="1"/>
      <c r="P154" s="1"/>
      <c r="Q154" s="1"/>
      <c r="R154" s="1"/>
      <c r="S154" s="1"/>
      <c r="T154" s="1"/>
      <c r="U154" s="1"/>
      <c r="V154" s="1"/>
      <c r="W154" s="1"/>
      <c r="X154" s="1"/>
      <c r="Y154" s="1"/>
    </row>
    <row r="155" spans="1:25" s="8" customFormat="1" ht="24">
      <c r="A155" s="1"/>
      <c r="B155" s="218"/>
      <c r="C155" s="228" t="s">
        <v>2249</v>
      </c>
      <c r="D155" s="224" t="s">
        <v>66</v>
      </c>
      <c r="E155" s="225">
        <v>1</v>
      </c>
      <c r="F155" s="1603">
        <v>0</v>
      </c>
      <c r="G155" s="2231">
        <f t="shared" ref="G155:G169" si="8">E155*F155</f>
        <v>0</v>
      </c>
      <c r="I155" s="1"/>
      <c r="J155" s="1"/>
      <c r="K155" s="1"/>
      <c r="L155" s="1"/>
      <c r="M155" s="1"/>
      <c r="N155" s="1"/>
      <c r="O155" s="1"/>
      <c r="P155" s="1"/>
      <c r="Q155" s="1"/>
      <c r="R155" s="1"/>
      <c r="S155" s="1"/>
      <c r="T155" s="1"/>
      <c r="U155" s="1"/>
      <c r="V155" s="1"/>
      <c r="W155" s="1"/>
      <c r="X155" s="1"/>
      <c r="Y155" s="1"/>
    </row>
    <row r="156" spans="1:25" s="8" customFormat="1">
      <c r="A156" s="1"/>
      <c r="B156" s="218"/>
      <c r="C156" s="739" t="s">
        <v>184</v>
      </c>
      <c r="D156" s="224" t="s">
        <v>66</v>
      </c>
      <c r="E156" s="225">
        <v>2</v>
      </c>
      <c r="F156" s="1603">
        <v>0</v>
      </c>
      <c r="G156" s="2231">
        <f t="shared" si="8"/>
        <v>0</v>
      </c>
      <c r="I156" s="1"/>
      <c r="J156" s="1"/>
      <c r="K156" s="1"/>
      <c r="L156" s="1"/>
      <c r="M156" s="1"/>
      <c r="N156" s="1"/>
      <c r="O156" s="1"/>
      <c r="P156" s="1"/>
      <c r="Q156" s="1"/>
      <c r="R156" s="1"/>
      <c r="S156" s="1"/>
      <c r="T156" s="1"/>
      <c r="U156" s="1"/>
      <c r="V156" s="1"/>
      <c r="W156" s="1"/>
      <c r="X156" s="1"/>
      <c r="Y156" s="1"/>
    </row>
    <row r="157" spans="1:25" s="8" customFormat="1">
      <c r="A157" s="1"/>
      <c r="B157" s="218"/>
      <c r="C157" s="739" t="s">
        <v>132</v>
      </c>
      <c r="D157" s="224" t="s">
        <v>66</v>
      </c>
      <c r="E157" s="225">
        <v>1</v>
      </c>
      <c r="F157" s="1603">
        <v>0</v>
      </c>
      <c r="G157" s="2231">
        <f t="shared" si="8"/>
        <v>0</v>
      </c>
      <c r="I157" s="1"/>
      <c r="J157" s="1"/>
      <c r="K157" s="1"/>
      <c r="L157" s="1"/>
      <c r="M157" s="1"/>
      <c r="N157" s="1"/>
      <c r="O157" s="1"/>
      <c r="P157" s="1"/>
      <c r="Q157" s="1"/>
      <c r="R157" s="1"/>
      <c r="S157" s="1"/>
      <c r="T157" s="1"/>
      <c r="U157" s="1"/>
      <c r="V157" s="1"/>
      <c r="W157" s="1"/>
      <c r="X157" s="1"/>
      <c r="Y157" s="1"/>
    </row>
    <row r="158" spans="1:25" s="8" customFormat="1">
      <c r="A158" s="1"/>
      <c r="B158" s="218"/>
      <c r="C158" s="739" t="s">
        <v>150</v>
      </c>
      <c r="D158" s="224" t="s">
        <v>66</v>
      </c>
      <c r="E158" s="225">
        <v>1</v>
      </c>
      <c r="F158" s="1603">
        <v>0</v>
      </c>
      <c r="G158" s="2231">
        <f t="shared" si="8"/>
        <v>0</v>
      </c>
      <c r="I158" s="1"/>
      <c r="J158" s="1"/>
      <c r="K158" s="1"/>
      <c r="L158" s="1"/>
      <c r="M158" s="1"/>
      <c r="N158" s="1"/>
      <c r="O158" s="1"/>
      <c r="P158" s="1"/>
      <c r="Q158" s="1"/>
      <c r="R158" s="1"/>
      <c r="S158" s="1"/>
      <c r="T158" s="1"/>
      <c r="U158" s="1"/>
      <c r="V158" s="1"/>
      <c r="W158" s="1"/>
      <c r="X158" s="1"/>
      <c r="Y158" s="1"/>
    </row>
    <row r="159" spans="1:25" s="8" customFormat="1">
      <c r="A159" s="1"/>
      <c r="B159" s="218"/>
      <c r="C159" s="740" t="s">
        <v>135</v>
      </c>
      <c r="D159" s="224" t="s">
        <v>66</v>
      </c>
      <c r="E159" s="225">
        <v>1</v>
      </c>
      <c r="F159" s="1603">
        <v>0</v>
      </c>
      <c r="G159" s="2231">
        <f t="shared" si="8"/>
        <v>0</v>
      </c>
      <c r="I159" s="1"/>
      <c r="J159" s="1"/>
      <c r="K159" s="1"/>
      <c r="L159" s="1"/>
      <c r="M159" s="1"/>
      <c r="N159" s="1"/>
      <c r="O159" s="1"/>
      <c r="P159" s="1"/>
      <c r="Q159" s="1"/>
      <c r="R159" s="1"/>
      <c r="S159" s="1"/>
      <c r="T159" s="1"/>
      <c r="U159" s="1"/>
      <c r="V159" s="1"/>
      <c r="W159" s="1"/>
      <c r="X159" s="1"/>
      <c r="Y159" s="1"/>
    </row>
    <row r="160" spans="1:25" s="8" customFormat="1">
      <c r="A160" s="1"/>
      <c r="B160" s="218"/>
      <c r="C160" s="223" t="s">
        <v>228</v>
      </c>
      <c r="D160" s="737"/>
      <c r="E160" s="738"/>
      <c r="F160" s="1603"/>
      <c r="G160" s="2231"/>
      <c r="I160" s="1"/>
      <c r="J160" s="1"/>
      <c r="K160" s="1"/>
      <c r="L160" s="1"/>
      <c r="M160" s="1"/>
      <c r="N160" s="1"/>
      <c r="O160" s="1"/>
      <c r="P160" s="1"/>
      <c r="Q160" s="1"/>
      <c r="R160" s="1"/>
      <c r="S160" s="1"/>
      <c r="T160" s="1"/>
      <c r="U160" s="1"/>
      <c r="V160" s="1"/>
      <c r="W160" s="1"/>
      <c r="X160" s="1"/>
      <c r="Y160" s="1"/>
    </row>
    <row r="161" spans="1:25" s="8" customFormat="1" ht="24">
      <c r="A161" s="1"/>
      <c r="B161" s="218"/>
      <c r="C161" s="228" t="s">
        <v>2247</v>
      </c>
      <c r="D161" s="224" t="s">
        <v>66</v>
      </c>
      <c r="E161" s="225">
        <v>2</v>
      </c>
      <c r="F161" s="1603">
        <v>0</v>
      </c>
      <c r="G161" s="2231">
        <f t="shared" si="8"/>
        <v>0</v>
      </c>
      <c r="I161" s="1"/>
      <c r="J161" s="1"/>
      <c r="K161" s="1"/>
      <c r="L161" s="1"/>
      <c r="M161" s="1"/>
      <c r="N161" s="1"/>
      <c r="O161" s="1"/>
      <c r="P161" s="1"/>
      <c r="Q161" s="1"/>
      <c r="R161" s="1"/>
      <c r="S161" s="1"/>
      <c r="T161" s="1"/>
      <c r="U161" s="1"/>
      <c r="V161" s="1"/>
      <c r="W161" s="1"/>
      <c r="X161" s="1"/>
      <c r="Y161" s="1"/>
    </row>
    <row r="162" spans="1:25" s="8" customFormat="1">
      <c r="A162" s="1"/>
      <c r="B162" s="218"/>
      <c r="C162" s="739" t="s">
        <v>132</v>
      </c>
      <c r="D162" s="224" t="s">
        <v>66</v>
      </c>
      <c r="E162" s="225">
        <v>4</v>
      </c>
      <c r="F162" s="1603">
        <v>0</v>
      </c>
      <c r="G162" s="2231">
        <f t="shared" si="8"/>
        <v>0</v>
      </c>
      <c r="I162" s="1"/>
      <c r="J162" s="1"/>
      <c r="K162" s="1"/>
      <c r="L162" s="1"/>
      <c r="M162" s="1"/>
      <c r="N162" s="1"/>
      <c r="O162" s="1"/>
      <c r="P162" s="1"/>
      <c r="Q162" s="1"/>
      <c r="R162" s="1"/>
      <c r="S162" s="1"/>
      <c r="T162" s="1"/>
      <c r="U162" s="1"/>
      <c r="V162" s="1"/>
      <c r="W162" s="1"/>
      <c r="X162" s="1"/>
      <c r="Y162" s="1"/>
    </row>
    <row r="163" spans="1:25" s="8" customFormat="1">
      <c r="A163" s="1"/>
      <c r="B163" s="218"/>
      <c r="C163" s="739" t="s">
        <v>166</v>
      </c>
      <c r="D163" s="224" t="s">
        <v>66</v>
      </c>
      <c r="E163" s="225">
        <v>2</v>
      </c>
      <c r="F163" s="1603">
        <v>0</v>
      </c>
      <c r="G163" s="2231">
        <f t="shared" si="8"/>
        <v>0</v>
      </c>
      <c r="I163" s="1"/>
      <c r="J163" s="1"/>
      <c r="K163" s="1"/>
      <c r="L163" s="1"/>
      <c r="M163" s="1"/>
      <c r="N163" s="1"/>
      <c r="O163" s="1"/>
      <c r="P163" s="1"/>
      <c r="Q163" s="1"/>
      <c r="R163" s="1"/>
      <c r="S163" s="1"/>
      <c r="T163" s="1"/>
      <c r="U163" s="1"/>
      <c r="V163" s="1"/>
      <c r="W163" s="1"/>
      <c r="X163" s="1"/>
      <c r="Y163" s="1"/>
    </row>
    <row r="164" spans="1:25" s="8" customFormat="1">
      <c r="A164" s="1"/>
      <c r="B164" s="218"/>
      <c r="C164" s="739" t="s">
        <v>148</v>
      </c>
      <c r="D164" s="224" t="s">
        <v>66</v>
      </c>
      <c r="E164" s="225">
        <v>4</v>
      </c>
      <c r="F164" s="1603">
        <v>0</v>
      </c>
      <c r="G164" s="2231">
        <f t="shared" si="8"/>
        <v>0</v>
      </c>
      <c r="I164" s="1"/>
      <c r="J164" s="1"/>
      <c r="K164" s="1"/>
      <c r="L164" s="1"/>
      <c r="M164" s="1"/>
      <c r="N164" s="1"/>
      <c r="O164" s="1"/>
      <c r="P164" s="1"/>
      <c r="Q164" s="1"/>
      <c r="R164" s="1"/>
      <c r="S164" s="1"/>
      <c r="T164" s="1"/>
      <c r="U164" s="1"/>
      <c r="V164" s="1"/>
      <c r="W164" s="1"/>
      <c r="X164" s="1"/>
      <c r="Y164" s="1"/>
    </row>
    <row r="165" spans="1:25" s="8" customFormat="1">
      <c r="A165" s="1"/>
      <c r="B165" s="218"/>
      <c r="C165" s="739" t="s">
        <v>167</v>
      </c>
      <c r="D165" s="224" t="s">
        <v>66</v>
      </c>
      <c r="E165" s="225">
        <v>2</v>
      </c>
      <c r="F165" s="1603">
        <v>0</v>
      </c>
      <c r="G165" s="2231">
        <f t="shared" si="8"/>
        <v>0</v>
      </c>
      <c r="I165" s="1"/>
      <c r="J165" s="1"/>
      <c r="K165" s="1"/>
      <c r="L165" s="1"/>
      <c r="M165" s="1"/>
      <c r="N165" s="1"/>
      <c r="O165" s="1"/>
      <c r="P165" s="1"/>
      <c r="Q165" s="1"/>
      <c r="R165" s="1"/>
      <c r="S165" s="1"/>
      <c r="T165" s="1"/>
      <c r="U165" s="1"/>
      <c r="V165" s="1"/>
      <c r="W165" s="1"/>
      <c r="X165" s="1"/>
      <c r="Y165" s="1"/>
    </row>
    <row r="166" spans="1:25" s="8" customFormat="1">
      <c r="A166" s="1"/>
      <c r="B166" s="218"/>
      <c r="C166" s="739" t="s">
        <v>229</v>
      </c>
      <c r="D166" s="224" t="s">
        <v>66</v>
      </c>
      <c r="E166" s="225">
        <v>2</v>
      </c>
      <c r="F166" s="1603">
        <v>0</v>
      </c>
      <c r="G166" s="2231">
        <f t="shared" si="8"/>
        <v>0</v>
      </c>
      <c r="I166" s="1"/>
      <c r="J166" s="1"/>
      <c r="K166" s="1"/>
      <c r="L166" s="1"/>
      <c r="M166" s="1"/>
      <c r="N166" s="1"/>
      <c r="O166" s="1"/>
      <c r="P166" s="1"/>
      <c r="Q166" s="1"/>
      <c r="R166" s="1"/>
      <c r="S166" s="1"/>
      <c r="T166" s="1"/>
      <c r="U166" s="1"/>
      <c r="V166" s="1"/>
      <c r="W166" s="1"/>
      <c r="X166" s="1"/>
      <c r="Y166" s="1"/>
    </row>
    <row r="167" spans="1:25" s="8" customFormat="1">
      <c r="A167" s="1"/>
      <c r="B167" s="218"/>
      <c r="C167" s="739" t="s">
        <v>230</v>
      </c>
      <c r="D167" s="224" t="s">
        <v>66</v>
      </c>
      <c r="E167" s="225">
        <v>2</v>
      </c>
      <c r="F167" s="1603">
        <v>0</v>
      </c>
      <c r="G167" s="2231">
        <f t="shared" si="8"/>
        <v>0</v>
      </c>
      <c r="I167" s="1"/>
      <c r="J167" s="1"/>
      <c r="K167" s="1"/>
      <c r="L167" s="1"/>
      <c r="M167" s="1"/>
      <c r="N167" s="1"/>
      <c r="O167" s="1"/>
      <c r="P167" s="1"/>
      <c r="Q167" s="1"/>
      <c r="R167" s="1"/>
      <c r="S167" s="1"/>
      <c r="T167" s="1"/>
      <c r="U167" s="1"/>
      <c r="V167" s="1"/>
      <c r="W167" s="1"/>
      <c r="X167" s="1"/>
      <c r="Y167" s="1"/>
    </row>
    <row r="168" spans="1:25" s="8" customFormat="1">
      <c r="A168" s="1"/>
      <c r="B168" s="218"/>
      <c r="C168" s="739" t="s">
        <v>150</v>
      </c>
      <c r="D168" s="224" t="s">
        <v>66</v>
      </c>
      <c r="E168" s="225">
        <v>2</v>
      </c>
      <c r="F168" s="1603">
        <v>0</v>
      </c>
      <c r="G168" s="2231">
        <f t="shared" si="8"/>
        <v>0</v>
      </c>
      <c r="I168" s="1"/>
      <c r="J168" s="1"/>
      <c r="K168" s="1"/>
      <c r="L168" s="1"/>
      <c r="M168" s="1"/>
      <c r="N168" s="1"/>
      <c r="O168" s="1"/>
      <c r="P168" s="1"/>
      <c r="Q168" s="1"/>
      <c r="R168" s="1"/>
      <c r="S168" s="1"/>
      <c r="T168" s="1"/>
      <c r="U168" s="1"/>
      <c r="V168" s="1"/>
      <c r="W168" s="1"/>
      <c r="X168" s="1"/>
      <c r="Y168" s="1"/>
    </row>
    <row r="169" spans="1:25" s="8" customFormat="1">
      <c r="A169" s="1"/>
      <c r="B169" s="218"/>
      <c r="C169" s="740" t="s">
        <v>135</v>
      </c>
      <c r="D169" s="224" t="s">
        <v>66</v>
      </c>
      <c r="E169" s="225">
        <v>2</v>
      </c>
      <c r="F169" s="1603">
        <v>0</v>
      </c>
      <c r="G169" s="2231">
        <f t="shared" si="8"/>
        <v>0</v>
      </c>
      <c r="I169" s="1"/>
      <c r="J169" s="1"/>
      <c r="K169" s="1"/>
      <c r="L169" s="1"/>
      <c r="M169" s="1"/>
      <c r="N169" s="1"/>
      <c r="O169" s="1"/>
      <c r="P169" s="1"/>
      <c r="Q169" s="1"/>
      <c r="R169" s="1"/>
      <c r="S169" s="1"/>
      <c r="T169" s="1"/>
      <c r="U169" s="1"/>
      <c r="V169" s="1"/>
      <c r="W169" s="1"/>
      <c r="X169" s="1"/>
      <c r="Y169" s="1"/>
    </row>
    <row r="170" spans="1:25" s="8" customFormat="1">
      <c r="A170" s="1"/>
      <c r="B170" s="201" t="s">
        <v>168</v>
      </c>
      <c r="C170" s="238" t="s">
        <v>169</v>
      </c>
      <c r="D170" s="239"/>
      <c r="E170" s="240"/>
      <c r="F170" s="241"/>
      <c r="G170" s="242"/>
      <c r="I170" s="1"/>
      <c r="J170" s="1"/>
      <c r="K170" s="1"/>
      <c r="L170" s="1"/>
      <c r="M170" s="1"/>
      <c r="N170" s="1"/>
      <c r="O170" s="1"/>
      <c r="P170" s="1"/>
      <c r="Q170" s="1"/>
      <c r="R170" s="1"/>
      <c r="S170" s="1"/>
      <c r="T170" s="1"/>
      <c r="U170" s="1"/>
      <c r="V170" s="1"/>
      <c r="W170" s="1"/>
      <c r="X170" s="1"/>
      <c r="Y170" s="1"/>
    </row>
    <row r="171" spans="1:25" s="8" customFormat="1">
      <c r="A171" s="1"/>
      <c r="B171" s="218"/>
      <c r="C171" s="238" t="s">
        <v>170</v>
      </c>
      <c r="D171" s="153"/>
      <c r="E171" s="741"/>
      <c r="F171" s="1611"/>
      <c r="G171" s="263"/>
      <c r="I171" s="1"/>
      <c r="J171" s="1"/>
      <c r="K171" s="1"/>
      <c r="L171" s="1"/>
      <c r="M171" s="1"/>
      <c r="N171" s="1"/>
      <c r="O171" s="1"/>
      <c r="P171" s="1"/>
      <c r="Q171" s="1"/>
      <c r="R171" s="1"/>
      <c r="S171" s="1"/>
      <c r="T171" s="1"/>
      <c r="U171" s="1"/>
      <c r="V171" s="1"/>
      <c r="W171" s="1"/>
      <c r="X171" s="1"/>
      <c r="Y171" s="1"/>
    </row>
    <row r="172" spans="1:25" s="8" customFormat="1" ht="36">
      <c r="A172" s="1"/>
      <c r="B172" s="218"/>
      <c r="C172" s="243" t="s">
        <v>2246</v>
      </c>
      <c r="D172" s="239" t="s">
        <v>66</v>
      </c>
      <c r="E172" s="240">
        <v>8</v>
      </c>
      <c r="F172" s="1609">
        <v>0</v>
      </c>
      <c r="G172" s="245">
        <f t="shared" ref="G172:G180" si="9">E172*F172</f>
        <v>0</v>
      </c>
      <c r="I172" s="1"/>
      <c r="J172" s="1"/>
      <c r="K172" s="1"/>
      <c r="L172" s="1"/>
      <c r="M172" s="1"/>
      <c r="N172" s="1"/>
      <c r="O172" s="1"/>
      <c r="P172" s="1"/>
      <c r="Q172" s="1"/>
      <c r="R172" s="1"/>
      <c r="S172" s="1"/>
      <c r="T172" s="1"/>
      <c r="U172" s="1"/>
      <c r="V172" s="1"/>
      <c r="W172" s="1"/>
      <c r="X172" s="1"/>
      <c r="Y172" s="1"/>
    </row>
    <row r="173" spans="1:25" s="8" customFormat="1">
      <c r="A173" s="1"/>
      <c r="B173" s="218"/>
      <c r="C173" s="1129" t="s">
        <v>171</v>
      </c>
      <c r="D173" s="239" t="s">
        <v>66</v>
      </c>
      <c r="E173" s="240">
        <v>8</v>
      </c>
      <c r="F173" s="1609">
        <v>0</v>
      </c>
      <c r="G173" s="245">
        <f t="shared" si="9"/>
        <v>0</v>
      </c>
      <c r="I173" s="1"/>
      <c r="J173" s="1"/>
      <c r="K173" s="1"/>
      <c r="L173" s="1"/>
      <c r="M173" s="1"/>
      <c r="N173" s="1"/>
      <c r="O173" s="1"/>
      <c r="P173" s="1"/>
      <c r="Q173" s="1"/>
      <c r="R173" s="1"/>
      <c r="S173" s="1"/>
      <c r="T173" s="1"/>
      <c r="U173" s="1"/>
      <c r="V173" s="1"/>
      <c r="W173" s="1"/>
      <c r="X173" s="1"/>
      <c r="Y173" s="1"/>
    </row>
    <row r="174" spans="1:25" s="8" customFormat="1">
      <c r="A174" s="1"/>
      <c r="B174" s="218"/>
      <c r="C174" s="1130" t="s">
        <v>135</v>
      </c>
      <c r="D174" s="239" t="s">
        <v>66</v>
      </c>
      <c r="E174" s="240">
        <v>8</v>
      </c>
      <c r="F174" s="1609">
        <v>0</v>
      </c>
      <c r="G174" s="245">
        <f t="shared" si="9"/>
        <v>0</v>
      </c>
      <c r="I174" s="1"/>
      <c r="J174" s="1"/>
      <c r="K174" s="1"/>
      <c r="L174" s="1"/>
      <c r="M174" s="1"/>
      <c r="N174" s="1"/>
      <c r="O174" s="1"/>
      <c r="P174" s="1"/>
      <c r="Q174" s="1"/>
      <c r="R174" s="1"/>
      <c r="S174" s="1"/>
      <c r="T174" s="1"/>
      <c r="U174" s="1"/>
      <c r="V174" s="1"/>
      <c r="W174" s="1"/>
      <c r="X174" s="1"/>
      <c r="Y174" s="1"/>
    </row>
    <row r="175" spans="1:25" s="8" customFormat="1">
      <c r="A175" s="1"/>
      <c r="B175" s="218"/>
      <c r="C175" s="247" t="s">
        <v>891</v>
      </c>
      <c r="D175" s="239" t="s">
        <v>66</v>
      </c>
      <c r="E175" s="240">
        <v>8</v>
      </c>
      <c r="F175" s="1609">
        <v>0</v>
      </c>
      <c r="G175" s="245">
        <f t="shared" si="9"/>
        <v>0</v>
      </c>
      <c r="I175" s="1"/>
      <c r="J175" s="1"/>
      <c r="K175" s="1"/>
      <c r="L175" s="1"/>
      <c r="M175" s="1"/>
      <c r="N175" s="1"/>
      <c r="O175" s="1"/>
      <c r="P175" s="1"/>
      <c r="Q175" s="1"/>
      <c r="R175" s="1"/>
      <c r="S175" s="1"/>
      <c r="T175" s="1"/>
      <c r="U175" s="1"/>
      <c r="V175" s="1"/>
      <c r="W175" s="1"/>
      <c r="X175" s="1"/>
      <c r="Y175" s="1"/>
    </row>
    <row r="176" spans="1:25" s="8" customFormat="1">
      <c r="A176" s="1"/>
      <c r="B176" s="218"/>
      <c r="C176" s="238" t="s">
        <v>234</v>
      </c>
      <c r="D176" s="153"/>
      <c r="E176" s="741"/>
      <c r="F176" s="1609"/>
      <c r="G176" s="245"/>
      <c r="I176" s="1"/>
      <c r="J176" s="1"/>
      <c r="K176" s="1"/>
      <c r="L176" s="1"/>
      <c r="M176" s="1"/>
      <c r="N176" s="1"/>
      <c r="O176" s="1"/>
      <c r="P176" s="1"/>
      <c r="Q176" s="1"/>
      <c r="R176" s="1"/>
      <c r="S176" s="1"/>
      <c r="T176" s="1"/>
      <c r="U176" s="1"/>
      <c r="V176" s="1"/>
      <c r="W176" s="1"/>
      <c r="X176" s="1"/>
      <c r="Y176" s="1"/>
    </row>
    <row r="177" spans="1:25" s="8" customFormat="1" ht="36">
      <c r="A177" s="1"/>
      <c r="B177" s="218"/>
      <c r="C177" s="243" t="s">
        <v>2245</v>
      </c>
      <c r="D177" s="239" t="s">
        <v>66</v>
      </c>
      <c r="E177" s="240">
        <v>11</v>
      </c>
      <c r="F177" s="1609">
        <v>0</v>
      </c>
      <c r="G177" s="245">
        <f t="shared" si="9"/>
        <v>0</v>
      </c>
      <c r="I177" s="1"/>
      <c r="J177" s="1"/>
      <c r="K177" s="1"/>
      <c r="L177" s="1"/>
      <c r="M177" s="1"/>
      <c r="N177" s="1"/>
      <c r="O177" s="1"/>
      <c r="P177" s="1"/>
      <c r="Q177" s="1"/>
      <c r="R177" s="1"/>
      <c r="S177" s="1"/>
      <c r="T177" s="1"/>
      <c r="U177" s="1"/>
      <c r="V177" s="1"/>
      <c r="W177" s="1"/>
      <c r="X177" s="1"/>
      <c r="Y177" s="1"/>
    </row>
    <row r="178" spans="1:25" s="8" customFormat="1">
      <c r="A178" s="1"/>
      <c r="B178" s="218"/>
      <c r="C178" s="246" t="s">
        <v>171</v>
      </c>
      <c r="D178" s="239" t="s">
        <v>66</v>
      </c>
      <c r="E178" s="240">
        <v>11</v>
      </c>
      <c r="F178" s="1609">
        <v>0</v>
      </c>
      <c r="G178" s="245">
        <f t="shared" si="9"/>
        <v>0</v>
      </c>
      <c r="I178" s="1"/>
      <c r="J178" s="1"/>
      <c r="K178" s="1"/>
      <c r="L178" s="1"/>
      <c r="M178" s="1"/>
      <c r="N178" s="1"/>
      <c r="O178" s="1"/>
      <c r="P178" s="1"/>
      <c r="Q178" s="1"/>
      <c r="R178" s="1"/>
      <c r="S178" s="1"/>
      <c r="T178" s="1"/>
      <c r="U178" s="1"/>
      <c r="V178" s="1"/>
      <c r="W178" s="1"/>
      <c r="X178" s="1"/>
      <c r="Y178" s="1"/>
    </row>
    <row r="179" spans="1:25" s="8" customFormat="1">
      <c r="A179" s="1"/>
      <c r="B179" s="218"/>
      <c r="C179" s="247" t="s">
        <v>135</v>
      </c>
      <c r="D179" s="239" t="s">
        <v>66</v>
      </c>
      <c r="E179" s="240">
        <v>11</v>
      </c>
      <c r="F179" s="1609">
        <v>0</v>
      </c>
      <c r="G179" s="245">
        <f t="shared" si="9"/>
        <v>0</v>
      </c>
      <c r="I179" s="1"/>
      <c r="J179" s="1"/>
      <c r="K179" s="1"/>
      <c r="L179" s="1"/>
      <c r="M179" s="1"/>
      <c r="N179" s="1"/>
      <c r="O179" s="1"/>
      <c r="P179" s="1"/>
      <c r="Q179" s="1"/>
      <c r="R179" s="1"/>
      <c r="S179" s="1"/>
      <c r="T179" s="1"/>
      <c r="U179" s="1"/>
      <c r="V179" s="1"/>
      <c r="W179" s="1"/>
      <c r="X179" s="1"/>
      <c r="Y179" s="1"/>
    </row>
    <row r="180" spans="1:25" s="8" customFormat="1">
      <c r="A180" s="1"/>
      <c r="B180" s="218"/>
      <c r="C180" s="247" t="s">
        <v>891</v>
      </c>
      <c r="D180" s="239" t="s">
        <v>66</v>
      </c>
      <c r="E180" s="240">
        <v>11</v>
      </c>
      <c r="F180" s="1609">
        <v>0</v>
      </c>
      <c r="G180" s="245">
        <f t="shared" si="9"/>
        <v>0</v>
      </c>
      <c r="I180" s="1"/>
      <c r="J180" s="1"/>
      <c r="K180" s="1"/>
      <c r="L180" s="1"/>
      <c r="M180" s="1"/>
      <c r="N180" s="1"/>
      <c r="O180" s="1"/>
      <c r="P180" s="1"/>
      <c r="Q180" s="1"/>
      <c r="R180" s="1"/>
      <c r="S180" s="1"/>
      <c r="T180" s="1"/>
      <c r="U180" s="1"/>
      <c r="V180" s="1"/>
      <c r="W180" s="1"/>
      <c r="X180" s="1"/>
      <c r="Y180" s="1"/>
    </row>
    <row r="181" spans="1:25" s="8" customFormat="1">
      <c r="A181" s="1"/>
      <c r="B181" s="201" t="s">
        <v>172</v>
      </c>
      <c r="C181" s="248" t="s">
        <v>173</v>
      </c>
      <c r="D181" s="249"/>
      <c r="E181" s="250"/>
      <c r="F181" s="251"/>
      <c r="G181" s="252"/>
      <c r="I181" s="1"/>
      <c r="J181" s="1"/>
      <c r="K181" s="1"/>
      <c r="L181" s="1"/>
      <c r="M181" s="1"/>
      <c r="N181" s="1"/>
      <c r="O181" s="1"/>
      <c r="P181" s="1"/>
      <c r="Q181" s="1"/>
      <c r="R181" s="1"/>
      <c r="S181" s="1"/>
      <c r="T181" s="1"/>
      <c r="U181" s="1"/>
      <c r="V181" s="1"/>
      <c r="W181" s="1"/>
      <c r="X181" s="1"/>
      <c r="Y181" s="1"/>
    </row>
    <row r="182" spans="1:25" s="8" customFormat="1" ht="72">
      <c r="A182" s="1"/>
      <c r="B182" s="218"/>
      <c r="C182" s="1145" t="s">
        <v>174</v>
      </c>
      <c r="D182" s="746" t="s">
        <v>66</v>
      </c>
      <c r="E182" s="747">
        <v>1</v>
      </c>
      <c r="F182" s="1617">
        <v>0</v>
      </c>
      <c r="G182" s="1132">
        <f>E182*F182</f>
        <v>0</v>
      </c>
      <c r="I182" s="1"/>
      <c r="J182" s="1"/>
      <c r="K182" s="1"/>
      <c r="L182" s="1"/>
      <c r="M182" s="1"/>
      <c r="N182" s="1"/>
      <c r="O182" s="1"/>
      <c r="P182" s="1"/>
      <c r="Q182" s="1"/>
      <c r="R182" s="1"/>
      <c r="S182" s="1"/>
      <c r="T182" s="1"/>
      <c r="U182" s="1"/>
      <c r="V182" s="1"/>
      <c r="W182" s="1"/>
      <c r="X182" s="1"/>
      <c r="Y182" s="1"/>
    </row>
    <row r="183" spans="1:25" s="8" customFormat="1">
      <c r="A183" s="1"/>
      <c r="B183" s="258" t="s">
        <v>47</v>
      </c>
      <c r="C183" s="259" t="s">
        <v>1396</v>
      </c>
      <c r="D183" s="260"/>
      <c r="E183" s="261"/>
      <c r="F183" s="262"/>
      <c r="G183" s="263">
        <f>SUM(G80:G182)</f>
        <v>0</v>
      </c>
      <c r="I183" s="1"/>
      <c r="J183" s="1"/>
      <c r="K183" s="1"/>
      <c r="L183" s="1"/>
      <c r="M183" s="1"/>
      <c r="N183" s="1"/>
      <c r="O183" s="1"/>
      <c r="P183" s="1"/>
      <c r="Q183" s="1"/>
      <c r="R183" s="1"/>
      <c r="S183" s="1"/>
      <c r="T183" s="1"/>
      <c r="U183" s="1"/>
      <c r="V183" s="1"/>
      <c r="W183" s="1"/>
      <c r="X183" s="1"/>
      <c r="Y183" s="1"/>
    </row>
  </sheetData>
  <mergeCells count="5">
    <mergeCell ref="B45:G45"/>
    <mergeCell ref="B75:G75"/>
    <mergeCell ref="B76:G76"/>
    <mergeCell ref="B77:G77"/>
    <mergeCell ref="B86:B8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C525-A7DF-43F2-9132-165E9BAAF492}">
  <sheetPr>
    <tabColor rgb="FFFFC000"/>
  </sheetPr>
  <dimension ref="A1:AC189"/>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6" style="8" customWidth="1"/>
    <col min="9" max="9" width="11.1406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14</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G70</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G189</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295</v>
      </c>
      <c r="F23" s="141">
        <v>0</v>
      </c>
      <c r="G23" s="142">
        <f>E23*F23</f>
        <v>0</v>
      </c>
    </row>
    <row r="24" spans="2:29">
      <c r="B24" s="125">
        <v>2</v>
      </c>
      <c r="C24" s="139" t="s">
        <v>58</v>
      </c>
      <c r="D24" s="140" t="s">
        <v>57</v>
      </c>
      <c r="E24" s="128">
        <v>295</v>
      </c>
      <c r="F24" s="141">
        <v>0</v>
      </c>
      <c r="G24" s="142">
        <f>E24*F24</f>
        <v>0</v>
      </c>
    </row>
    <row r="25" spans="2:29" ht="53.25" customHeight="1">
      <c r="B25" s="125">
        <v>3</v>
      </c>
      <c r="C25" s="139" t="s">
        <v>59</v>
      </c>
      <c r="D25" s="140" t="s">
        <v>60</v>
      </c>
      <c r="E25" s="128">
        <v>1</v>
      </c>
      <c r="F25" s="141">
        <v>0</v>
      </c>
      <c r="G25" s="142">
        <f t="shared" ref="G25:G35" si="0">E25*F25</f>
        <v>0</v>
      </c>
      <c r="H25" s="143"/>
    </row>
    <row r="26" spans="2:29" ht="132">
      <c r="B26" s="125">
        <v>4</v>
      </c>
      <c r="C26" s="144" t="s">
        <v>61</v>
      </c>
      <c r="D26" s="145" t="s">
        <v>60</v>
      </c>
      <c r="E26" s="128">
        <v>1</v>
      </c>
      <c r="F26" s="141">
        <v>0</v>
      </c>
      <c r="G26" s="142">
        <f t="shared" si="0"/>
        <v>0</v>
      </c>
    </row>
    <row r="27" spans="2:29" ht="30.75" customHeight="1">
      <c r="B27" s="125">
        <v>5</v>
      </c>
      <c r="C27" s="139" t="s">
        <v>62</v>
      </c>
      <c r="D27" s="146" t="s">
        <v>60</v>
      </c>
      <c r="E27" s="128">
        <v>1</v>
      </c>
      <c r="F27" s="141">
        <v>0</v>
      </c>
      <c r="G27" s="142">
        <f t="shared" si="0"/>
        <v>0</v>
      </c>
    </row>
    <row r="28" spans="2:29" ht="27" customHeight="1">
      <c r="B28" s="125">
        <v>6</v>
      </c>
      <c r="C28" s="147" t="s">
        <v>63</v>
      </c>
      <c r="D28" s="140" t="s">
        <v>57</v>
      </c>
      <c r="E28" s="128">
        <v>295</v>
      </c>
      <c r="F28" s="141">
        <v>0</v>
      </c>
      <c r="G28" s="142">
        <f t="shared" si="0"/>
        <v>0</v>
      </c>
    </row>
    <row r="29" spans="2:29" ht="52.5" customHeight="1">
      <c r="B29" s="125">
        <v>7</v>
      </c>
      <c r="C29" s="147" t="s">
        <v>64</v>
      </c>
      <c r="D29" s="146" t="s">
        <v>60</v>
      </c>
      <c r="E29" s="128">
        <v>1</v>
      </c>
      <c r="F29" s="141">
        <v>0</v>
      </c>
      <c r="G29" s="142">
        <f t="shared" si="0"/>
        <v>0</v>
      </c>
    </row>
    <row r="30" spans="2:29" ht="48">
      <c r="B30" s="125">
        <v>8</v>
      </c>
      <c r="C30" s="1080" t="s">
        <v>2292</v>
      </c>
      <c r="D30" s="146" t="s">
        <v>66</v>
      </c>
      <c r="E30" s="128">
        <v>7</v>
      </c>
      <c r="F30" s="141">
        <v>0</v>
      </c>
      <c r="G30" s="142">
        <f t="shared" si="0"/>
        <v>0</v>
      </c>
    </row>
    <row r="31" spans="2:29" ht="37.5" customHeight="1">
      <c r="B31" s="125">
        <v>9</v>
      </c>
      <c r="C31" s="1080" t="s">
        <v>2294</v>
      </c>
      <c r="D31" s="146" t="s">
        <v>57</v>
      </c>
      <c r="E31" s="128">
        <v>383</v>
      </c>
      <c r="F31" s="141">
        <v>0</v>
      </c>
      <c r="G31" s="142">
        <f t="shared" si="0"/>
        <v>0</v>
      </c>
      <c r="H31" s="143"/>
    </row>
    <row r="32" spans="2:29" ht="27.75" customHeight="1">
      <c r="B32" s="125">
        <v>10</v>
      </c>
      <c r="C32" s="1080" t="s">
        <v>2293</v>
      </c>
      <c r="D32" s="146" t="s">
        <v>57</v>
      </c>
      <c r="E32" s="128">
        <v>383</v>
      </c>
      <c r="F32" s="141">
        <v>0</v>
      </c>
      <c r="G32" s="142">
        <f t="shared" si="0"/>
        <v>0</v>
      </c>
    </row>
    <row r="33" spans="2:9" ht="14.25" customHeight="1">
      <c r="B33" s="125">
        <v>11</v>
      </c>
      <c r="C33" s="147" t="s">
        <v>67</v>
      </c>
      <c r="D33" s="146" t="s">
        <v>60</v>
      </c>
      <c r="E33" s="128">
        <v>1</v>
      </c>
      <c r="F33" s="141">
        <v>0</v>
      </c>
      <c r="G33" s="142">
        <f t="shared" si="0"/>
        <v>0</v>
      </c>
    </row>
    <row r="34" spans="2:9" ht="38.25" customHeight="1">
      <c r="B34" s="125">
        <v>12</v>
      </c>
      <c r="C34" s="148" t="s">
        <v>68</v>
      </c>
      <c r="D34" s="146" t="s">
        <v>60</v>
      </c>
      <c r="E34" s="149">
        <v>1</v>
      </c>
      <c r="F34" s="141">
        <v>0</v>
      </c>
      <c r="G34" s="142">
        <f t="shared" si="0"/>
        <v>0</v>
      </c>
      <c r="H34" s="143"/>
    </row>
    <row r="35" spans="2:9" ht="38.25" customHeight="1">
      <c r="B35" s="125">
        <v>13</v>
      </c>
      <c r="C35" s="150" t="s">
        <v>69</v>
      </c>
      <c r="D35" s="146" t="s">
        <v>60</v>
      </c>
      <c r="E35" s="149">
        <v>5</v>
      </c>
      <c r="F35" s="141">
        <v>0</v>
      </c>
      <c r="G35" s="142">
        <f t="shared" si="0"/>
        <v>0</v>
      </c>
      <c r="H35" s="143"/>
    </row>
    <row r="36" spans="2:9">
      <c r="B36" s="151" t="s">
        <v>43</v>
      </c>
      <c r="C36" s="152" t="s">
        <v>70</v>
      </c>
      <c r="D36" s="153"/>
      <c r="E36" s="154"/>
      <c r="F36" s="155"/>
      <c r="G36" s="156">
        <f>SUM(G23:G35)</f>
        <v>0</v>
      </c>
      <c r="H36" s="143"/>
    </row>
    <row r="37" spans="2:9">
      <c r="B37" s="125"/>
      <c r="C37" s="126"/>
      <c r="D37" s="127"/>
      <c r="E37" s="128"/>
      <c r="F37" s="129"/>
      <c r="G37" s="130"/>
      <c r="H37" s="143"/>
    </row>
    <row r="38" spans="2:9" ht="24">
      <c r="B38" s="157" t="s">
        <v>50</v>
      </c>
      <c r="C38" s="158" t="s">
        <v>51</v>
      </c>
      <c r="D38" s="159" t="s">
        <v>52</v>
      </c>
      <c r="E38" s="160" t="s">
        <v>53</v>
      </c>
      <c r="F38" s="161" t="s">
        <v>54</v>
      </c>
      <c r="G38" s="162" t="s">
        <v>55</v>
      </c>
      <c r="H38" s="143"/>
    </row>
    <row r="39" spans="2:9">
      <c r="B39" s="125"/>
      <c r="C39" s="163"/>
      <c r="D39" s="140"/>
      <c r="E39" s="128"/>
      <c r="F39" s="129"/>
      <c r="G39" s="130"/>
      <c r="H39" s="143"/>
    </row>
    <row r="40" spans="2:9" s="138" customFormat="1" ht="20.25">
      <c r="B40" s="131" t="s">
        <v>45</v>
      </c>
      <c r="C40" s="164" t="s">
        <v>71</v>
      </c>
      <c r="D40" s="165"/>
      <c r="E40" s="134"/>
      <c r="F40" s="135"/>
      <c r="G40" s="136"/>
      <c r="H40" s="143"/>
    </row>
    <row r="41" spans="2:9" s="166" customFormat="1" ht="71.25" customHeight="1">
      <c r="B41" s="2399" t="s">
        <v>72</v>
      </c>
      <c r="C41" s="2400"/>
      <c r="D41" s="2400"/>
      <c r="E41" s="2400"/>
      <c r="F41" s="2400"/>
      <c r="G41" s="2401"/>
      <c r="H41" s="143"/>
    </row>
    <row r="42" spans="2:9" ht="24">
      <c r="B42" s="167">
        <v>1</v>
      </c>
      <c r="C42" s="139" t="s">
        <v>73</v>
      </c>
      <c r="D42" s="140" t="s">
        <v>74</v>
      </c>
      <c r="E42" s="128">
        <v>15</v>
      </c>
      <c r="F42" s="141">
        <v>0</v>
      </c>
      <c r="G42" s="142">
        <f t="shared" ref="G42:G69" si="1">E42*F42</f>
        <v>0</v>
      </c>
      <c r="H42" s="143"/>
      <c r="I42" s="264"/>
    </row>
    <row r="43" spans="2:9" ht="36">
      <c r="B43" s="167">
        <v>2</v>
      </c>
      <c r="C43" s="139" t="s">
        <v>176</v>
      </c>
      <c r="D43" s="145" t="s">
        <v>74</v>
      </c>
      <c r="E43" s="128">
        <v>13</v>
      </c>
      <c r="F43" s="141">
        <v>0</v>
      </c>
      <c r="G43" s="142">
        <f t="shared" si="1"/>
        <v>0</v>
      </c>
      <c r="H43" s="143"/>
      <c r="I43" s="264"/>
    </row>
    <row r="44" spans="2:9" ht="39.75" customHeight="1">
      <c r="B44" s="167">
        <v>3</v>
      </c>
      <c r="C44" s="139" t="s">
        <v>76</v>
      </c>
      <c r="D44" s="145" t="s">
        <v>74</v>
      </c>
      <c r="E44" s="128">
        <v>623</v>
      </c>
      <c r="F44" s="141">
        <v>0</v>
      </c>
      <c r="G44" s="142">
        <f t="shared" si="1"/>
        <v>0</v>
      </c>
      <c r="H44" s="143"/>
      <c r="I44" s="265"/>
    </row>
    <row r="45" spans="2:9" ht="15" customHeight="1">
      <c r="B45" s="167">
        <v>4</v>
      </c>
      <c r="C45" s="168" t="s">
        <v>77</v>
      </c>
      <c r="D45" s="169" t="s">
        <v>78</v>
      </c>
      <c r="E45" s="170">
        <v>1248</v>
      </c>
      <c r="F45" s="141">
        <v>0</v>
      </c>
      <c r="G45" s="142">
        <f t="shared" si="1"/>
        <v>0</v>
      </c>
      <c r="H45" s="143"/>
      <c r="I45" s="266"/>
    </row>
    <row r="46" spans="2:9" ht="29.25" customHeight="1">
      <c r="B46" s="167">
        <v>5</v>
      </c>
      <c r="C46" s="139" t="s">
        <v>79</v>
      </c>
      <c r="D46" s="145" t="s">
        <v>78</v>
      </c>
      <c r="E46" s="128">
        <v>337</v>
      </c>
      <c r="F46" s="141">
        <v>0</v>
      </c>
      <c r="G46" s="142">
        <f t="shared" si="1"/>
        <v>0</v>
      </c>
      <c r="H46" s="143"/>
      <c r="I46" s="266"/>
    </row>
    <row r="47" spans="2:9" ht="27" customHeight="1">
      <c r="B47" s="167">
        <v>6</v>
      </c>
      <c r="C47" s="139" t="s">
        <v>80</v>
      </c>
      <c r="D47" s="145" t="s">
        <v>74</v>
      </c>
      <c r="E47" s="128">
        <v>102</v>
      </c>
      <c r="F47" s="141">
        <v>0</v>
      </c>
      <c r="G47" s="142">
        <f t="shared" si="1"/>
        <v>0</v>
      </c>
      <c r="H47" s="143"/>
      <c r="I47" s="265"/>
    </row>
    <row r="48" spans="2:9" s="176" customFormat="1" ht="36">
      <c r="B48" s="167">
        <v>7</v>
      </c>
      <c r="C48" s="171" t="s">
        <v>81</v>
      </c>
      <c r="D48" s="172" t="s">
        <v>74</v>
      </c>
      <c r="E48" s="173">
        <v>380</v>
      </c>
      <c r="F48" s="141">
        <v>0</v>
      </c>
      <c r="G48" s="175">
        <f t="shared" si="1"/>
        <v>0</v>
      </c>
      <c r="H48" s="267"/>
      <c r="I48" s="268"/>
    </row>
    <row r="49" spans="2:23" s="166" customFormat="1" ht="36">
      <c r="B49" s="167">
        <v>8</v>
      </c>
      <c r="C49" s="177" t="s">
        <v>82</v>
      </c>
      <c r="D49" s="146" t="s">
        <v>74</v>
      </c>
      <c r="E49" s="128">
        <v>169</v>
      </c>
      <c r="F49" s="141">
        <v>0</v>
      </c>
      <c r="G49" s="142">
        <f t="shared" si="1"/>
        <v>0</v>
      </c>
      <c r="H49" s="8"/>
    </row>
    <row r="50" spans="2:23" s="179" customFormat="1" ht="51" customHeight="1">
      <c r="B50" s="2406">
        <v>9</v>
      </c>
      <c r="C50" s="178" t="s">
        <v>83</v>
      </c>
      <c r="D50" s="140"/>
      <c r="E50" s="128"/>
      <c r="F50" s="141"/>
      <c r="G50" s="142"/>
      <c r="H50" s="269"/>
    </row>
    <row r="51" spans="2:23" s="179" customFormat="1" ht="15" customHeight="1">
      <c r="B51" s="2407"/>
      <c r="C51" s="178" t="s">
        <v>84</v>
      </c>
      <c r="D51" s="140" t="s">
        <v>57</v>
      </c>
      <c r="E51" s="128">
        <v>5</v>
      </c>
      <c r="F51" s="141">
        <v>0</v>
      </c>
      <c r="G51" s="142">
        <f t="shared" ref="G51" si="2">E51*F51</f>
        <v>0</v>
      </c>
      <c r="H51" s="269"/>
    </row>
    <row r="52" spans="2:23" ht="25.5" customHeight="1">
      <c r="B52" s="167">
        <v>10</v>
      </c>
      <c r="C52" s="139" t="s">
        <v>85</v>
      </c>
      <c r="D52" s="145" t="s">
        <v>57</v>
      </c>
      <c r="E52" s="128">
        <v>519</v>
      </c>
      <c r="F52" s="141">
        <v>0</v>
      </c>
      <c r="G52" s="142">
        <f t="shared" si="1"/>
        <v>0</v>
      </c>
      <c r="H52" s="143"/>
    </row>
    <row r="53" spans="2:23" ht="24">
      <c r="B53" s="167">
        <v>11</v>
      </c>
      <c r="C53" s="139" t="s">
        <v>86</v>
      </c>
      <c r="D53" s="140" t="s">
        <v>78</v>
      </c>
      <c r="E53" s="128">
        <v>484</v>
      </c>
      <c r="F53" s="141">
        <v>0</v>
      </c>
      <c r="G53" s="142">
        <f t="shared" si="1"/>
        <v>0</v>
      </c>
      <c r="H53" s="143"/>
    </row>
    <row r="54" spans="2:23" ht="49.5" customHeight="1">
      <c r="B54" s="167">
        <v>12</v>
      </c>
      <c r="C54" s="180" t="s">
        <v>87</v>
      </c>
      <c r="D54" s="140" t="s">
        <v>78</v>
      </c>
      <c r="E54" s="128">
        <v>484</v>
      </c>
      <c r="F54" s="141">
        <v>0</v>
      </c>
      <c r="G54" s="142">
        <f t="shared" si="1"/>
        <v>0</v>
      </c>
      <c r="H54" s="143"/>
    </row>
    <row r="55" spans="2:23" ht="48">
      <c r="B55" s="167">
        <v>13</v>
      </c>
      <c r="C55" s="139" t="s">
        <v>88</v>
      </c>
      <c r="D55" s="145" t="s">
        <v>78</v>
      </c>
      <c r="E55" s="128">
        <v>484</v>
      </c>
      <c r="F55" s="141">
        <v>0</v>
      </c>
      <c r="G55" s="142">
        <f t="shared" si="1"/>
        <v>0</v>
      </c>
      <c r="H55" s="143"/>
    </row>
    <row r="56" spans="2:23" ht="60">
      <c r="B56" s="167">
        <v>14</v>
      </c>
      <c r="C56" s="139" t="s">
        <v>89</v>
      </c>
      <c r="D56" s="145" t="s">
        <v>78</v>
      </c>
      <c r="E56" s="128">
        <v>678</v>
      </c>
      <c r="F56" s="141">
        <v>0</v>
      </c>
      <c r="G56" s="142">
        <f>E56*F56</f>
        <v>0</v>
      </c>
      <c r="H56" s="143"/>
    </row>
    <row r="57" spans="2:23" ht="38.25" customHeight="1">
      <c r="B57" s="167">
        <v>15</v>
      </c>
      <c r="C57" s="139" t="s">
        <v>90</v>
      </c>
      <c r="D57" s="140" t="s">
        <v>78</v>
      </c>
      <c r="E57" s="128">
        <v>194</v>
      </c>
      <c r="F57" s="141">
        <v>0</v>
      </c>
      <c r="G57" s="142">
        <f t="shared" si="1"/>
        <v>0</v>
      </c>
    </row>
    <row r="58" spans="2:23" ht="24.75" customHeight="1">
      <c r="B58" s="167">
        <v>16</v>
      </c>
      <c r="C58" s="171" t="s">
        <v>91</v>
      </c>
      <c r="D58" s="172" t="s">
        <v>74</v>
      </c>
      <c r="E58" s="173">
        <v>15</v>
      </c>
      <c r="F58" s="141">
        <v>0</v>
      </c>
      <c r="G58" s="175">
        <f t="shared" si="1"/>
        <v>0</v>
      </c>
      <c r="I58" s="270"/>
    </row>
    <row r="59" spans="2:23" s="176" customFormat="1" ht="24">
      <c r="B59" s="167">
        <v>17</v>
      </c>
      <c r="C59" s="171" t="s">
        <v>92</v>
      </c>
      <c r="D59" s="172" t="s">
        <v>74</v>
      </c>
      <c r="E59" s="173">
        <v>636</v>
      </c>
      <c r="F59" s="141">
        <v>0</v>
      </c>
      <c r="G59" s="175">
        <f t="shared" si="1"/>
        <v>0</v>
      </c>
      <c r="H59" s="267"/>
    </row>
    <row r="60" spans="2:23" s="176" customFormat="1">
      <c r="B60" s="167">
        <v>18</v>
      </c>
      <c r="C60" s="171" t="s">
        <v>93</v>
      </c>
      <c r="D60" s="172" t="s">
        <v>74</v>
      </c>
      <c r="E60" s="173">
        <v>636</v>
      </c>
      <c r="F60" s="141">
        <v>0</v>
      </c>
      <c r="G60" s="175">
        <f t="shared" si="1"/>
        <v>0</v>
      </c>
      <c r="H60" s="267"/>
    </row>
    <row r="61" spans="2:23" ht="24">
      <c r="B61" s="167">
        <v>19</v>
      </c>
      <c r="C61" s="139" t="s">
        <v>94</v>
      </c>
      <c r="D61" s="145" t="s">
        <v>78</v>
      </c>
      <c r="E61" s="128">
        <v>484</v>
      </c>
      <c r="F61" s="141">
        <v>0</v>
      </c>
      <c r="G61" s="142">
        <f t="shared" si="1"/>
        <v>0</v>
      </c>
    </row>
    <row r="62" spans="2:23" ht="27" customHeight="1">
      <c r="B62" s="167">
        <v>20</v>
      </c>
      <c r="C62" s="139" t="s">
        <v>95</v>
      </c>
      <c r="D62" s="140" t="s">
        <v>78</v>
      </c>
      <c r="E62" s="128">
        <v>440</v>
      </c>
      <c r="F62" s="141">
        <v>0</v>
      </c>
      <c r="G62" s="142">
        <f t="shared" si="1"/>
        <v>0</v>
      </c>
    </row>
    <row r="63" spans="2:23" s="166" customFormat="1" ht="63.75" customHeight="1">
      <c r="B63" s="2408">
        <v>21</v>
      </c>
      <c r="C63" s="177" t="s">
        <v>177</v>
      </c>
      <c r="D63" s="194"/>
      <c r="E63" s="128"/>
      <c r="F63" s="141"/>
      <c r="G63" s="142"/>
      <c r="H63" s="8"/>
      <c r="I63" s="8"/>
      <c r="J63" s="8"/>
      <c r="K63" s="8"/>
      <c r="L63" s="8"/>
      <c r="M63" s="8"/>
      <c r="N63" s="8"/>
      <c r="O63" s="8"/>
      <c r="P63" s="8"/>
      <c r="Q63" s="8"/>
      <c r="R63" s="8"/>
      <c r="S63" s="8"/>
      <c r="T63" s="8"/>
      <c r="U63" s="8"/>
      <c r="V63" s="8"/>
      <c r="W63" s="8"/>
    </row>
    <row r="64" spans="2:23" s="166" customFormat="1">
      <c r="B64" s="2409"/>
      <c r="C64" s="195" t="s">
        <v>178</v>
      </c>
      <c r="D64" s="194" t="s">
        <v>57</v>
      </c>
      <c r="E64" s="128">
        <v>19</v>
      </c>
      <c r="F64" s="141">
        <v>0</v>
      </c>
      <c r="G64" s="142">
        <f t="shared" si="1"/>
        <v>0</v>
      </c>
      <c r="H64" s="8"/>
      <c r="I64" s="8"/>
      <c r="J64" s="8"/>
      <c r="K64" s="8"/>
      <c r="L64" s="8"/>
      <c r="M64" s="8"/>
      <c r="N64" s="8"/>
      <c r="O64" s="8"/>
      <c r="P64" s="8"/>
      <c r="Q64" s="8"/>
      <c r="R64" s="8"/>
      <c r="S64" s="8"/>
      <c r="T64" s="8"/>
      <c r="U64" s="8"/>
      <c r="V64" s="8"/>
      <c r="W64" s="8"/>
    </row>
    <row r="65" spans="1:23" ht="25.5" customHeight="1">
      <c r="B65" s="167">
        <v>22</v>
      </c>
      <c r="C65" s="177" t="s">
        <v>96</v>
      </c>
      <c r="D65" s="140" t="s">
        <v>57</v>
      </c>
      <c r="E65" s="128">
        <v>35</v>
      </c>
      <c r="F65" s="141">
        <v>0</v>
      </c>
      <c r="G65" s="142">
        <f t="shared" si="1"/>
        <v>0</v>
      </c>
      <c r="I65" s="8"/>
      <c r="J65" s="8"/>
      <c r="K65" s="8"/>
      <c r="L65" s="8"/>
      <c r="M65" s="8"/>
      <c r="N65" s="8"/>
      <c r="O65" s="8"/>
      <c r="P65" s="8"/>
      <c r="Q65" s="8"/>
      <c r="R65" s="8"/>
      <c r="S65" s="8"/>
      <c r="T65" s="8"/>
      <c r="U65" s="8"/>
      <c r="V65" s="8"/>
      <c r="W65" s="8"/>
    </row>
    <row r="66" spans="1:23" ht="29.25" customHeight="1">
      <c r="B66" s="167">
        <v>23</v>
      </c>
      <c r="C66" s="181" t="s">
        <v>97</v>
      </c>
      <c r="D66" s="182" t="s">
        <v>74</v>
      </c>
      <c r="E66" s="183">
        <v>1</v>
      </c>
      <c r="F66" s="141">
        <v>0</v>
      </c>
      <c r="G66" s="142">
        <f t="shared" si="1"/>
        <v>0</v>
      </c>
      <c r="I66" s="8"/>
      <c r="J66" s="8"/>
      <c r="K66" s="8"/>
      <c r="L66" s="8"/>
      <c r="M66" s="8"/>
      <c r="N66" s="8"/>
      <c r="O66" s="8"/>
      <c r="P66" s="8"/>
      <c r="Q66" s="8"/>
      <c r="R66" s="8"/>
      <c r="S66" s="8"/>
      <c r="T66" s="8"/>
      <c r="U66" s="8"/>
      <c r="V66" s="8"/>
      <c r="W66" s="8"/>
    </row>
    <row r="67" spans="1:23" ht="30" customHeight="1">
      <c r="B67" s="167">
        <v>24</v>
      </c>
      <c r="C67" s="184" t="s">
        <v>98</v>
      </c>
      <c r="D67" s="182" t="s">
        <v>66</v>
      </c>
      <c r="E67" s="128">
        <v>18</v>
      </c>
      <c r="F67" s="141">
        <v>0</v>
      </c>
      <c r="G67" s="142">
        <f t="shared" si="1"/>
        <v>0</v>
      </c>
      <c r="I67" s="8"/>
      <c r="J67" s="8"/>
      <c r="K67" s="8"/>
      <c r="L67" s="8"/>
      <c r="M67" s="8"/>
      <c r="N67" s="8"/>
      <c r="O67" s="8"/>
      <c r="P67" s="8"/>
      <c r="Q67" s="8"/>
      <c r="R67" s="8"/>
      <c r="S67" s="8"/>
      <c r="T67" s="8"/>
      <c r="U67" s="8"/>
      <c r="V67" s="8"/>
      <c r="W67" s="8"/>
    </row>
    <row r="68" spans="1:23" ht="30" customHeight="1">
      <c r="B68" s="167">
        <v>25</v>
      </c>
      <c r="C68" s="184" t="s">
        <v>99</v>
      </c>
      <c r="D68" s="182" t="s">
        <v>74</v>
      </c>
      <c r="E68" s="183">
        <v>2</v>
      </c>
      <c r="F68" s="141">
        <v>0</v>
      </c>
      <c r="G68" s="142">
        <f t="shared" si="1"/>
        <v>0</v>
      </c>
      <c r="I68" s="8"/>
      <c r="J68" s="8"/>
      <c r="K68" s="8"/>
      <c r="L68" s="8"/>
      <c r="M68" s="8"/>
      <c r="N68" s="8"/>
      <c r="O68" s="8"/>
      <c r="P68" s="8"/>
      <c r="Q68" s="8"/>
      <c r="R68" s="8"/>
      <c r="S68" s="8"/>
      <c r="T68" s="8"/>
      <c r="U68" s="8"/>
      <c r="V68" s="8"/>
      <c r="W68" s="8"/>
    </row>
    <row r="69" spans="1:23" ht="24">
      <c r="B69" s="167">
        <v>26</v>
      </c>
      <c r="C69" s="184" t="s">
        <v>100</v>
      </c>
      <c r="D69" s="182" t="s">
        <v>65</v>
      </c>
      <c r="E69" s="183">
        <v>56</v>
      </c>
      <c r="F69" s="141">
        <v>0</v>
      </c>
      <c r="G69" s="142">
        <f t="shared" si="1"/>
        <v>0</v>
      </c>
      <c r="I69" s="8"/>
      <c r="J69" s="8"/>
      <c r="K69" s="8"/>
      <c r="L69" s="8"/>
      <c r="M69" s="8"/>
      <c r="N69" s="8"/>
      <c r="O69" s="8"/>
      <c r="P69" s="8"/>
      <c r="Q69" s="8"/>
      <c r="R69" s="8"/>
      <c r="S69" s="8"/>
      <c r="T69" s="8"/>
      <c r="U69" s="8"/>
      <c r="V69" s="8"/>
      <c r="W69" s="8"/>
    </row>
    <row r="70" spans="1:23">
      <c r="B70" s="151" t="s">
        <v>45</v>
      </c>
      <c r="C70" s="152" t="s">
        <v>101</v>
      </c>
      <c r="D70" s="185"/>
      <c r="E70" s="154"/>
      <c r="F70" s="155"/>
      <c r="G70" s="156">
        <f>SUM(G42:G69)</f>
        <v>0</v>
      </c>
      <c r="I70" s="8"/>
      <c r="J70" s="8"/>
      <c r="K70" s="8"/>
      <c r="L70" s="8"/>
      <c r="M70" s="8"/>
      <c r="N70" s="8"/>
      <c r="O70" s="8"/>
      <c r="P70" s="8"/>
      <c r="Q70" s="8"/>
      <c r="R70" s="8"/>
      <c r="S70" s="8"/>
      <c r="T70" s="8"/>
      <c r="U70" s="8"/>
      <c r="V70" s="8"/>
      <c r="W70" s="8"/>
    </row>
    <row r="71" spans="1:23">
      <c r="B71" s="125"/>
      <c r="C71" s="126"/>
      <c r="D71" s="127"/>
      <c r="E71" s="128"/>
      <c r="F71" s="129"/>
      <c r="G71" s="130"/>
      <c r="I71" s="8"/>
      <c r="J71" s="8"/>
      <c r="K71" s="8"/>
      <c r="L71" s="8"/>
      <c r="M71" s="8"/>
      <c r="N71" s="8"/>
      <c r="O71" s="8"/>
      <c r="P71" s="8"/>
      <c r="Q71" s="8"/>
      <c r="R71" s="8"/>
      <c r="S71" s="8"/>
      <c r="T71" s="8"/>
      <c r="U71" s="8"/>
      <c r="V71" s="8"/>
      <c r="W71" s="8"/>
    </row>
    <row r="72" spans="1:23" ht="24">
      <c r="B72" s="157" t="s">
        <v>50</v>
      </c>
      <c r="C72" s="158" t="s">
        <v>51</v>
      </c>
      <c r="D72" s="158" t="s">
        <v>52</v>
      </c>
      <c r="E72" s="160" t="s">
        <v>53</v>
      </c>
      <c r="F72" s="161" t="s">
        <v>54</v>
      </c>
      <c r="G72" s="162" t="s">
        <v>55</v>
      </c>
      <c r="I72" s="8"/>
      <c r="J72" s="8"/>
      <c r="K72" s="8"/>
      <c r="L72" s="8"/>
      <c r="M72" s="8"/>
      <c r="N72" s="8"/>
      <c r="O72" s="8"/>
      <c r="P72" s="8"/>
      <c r="Q72" s="8"/>
      <c r="R72" s="8"/>
      <c r="S72" s="8"/>
      <c r="T72" s="8"/>
      <c r="U72" s="8"/>
      <c r="V72" s="8"/>
      <c r="W72" s="8"/>
    </row>
    <row r="73" spans="1:23">
      <c r="B73" s="125"/>
      <c r="C73" s="126"/>
      <c r="D73" s="140"/>
      <c r="E73" s="128"/>
      <c r="F73" s="129"/>
      <c r="G73" s="130"/>
      <c r="I73" s="8"/>
      <c r="J73" s="8"/>
      <c r="K73" s="8"/>
      <c r="L73" s="8"/>
      <c r="M73" s="8"/>
      <c r="N73" s="8"/>
      <c r="O73" s="8"/>
      <c r="P73" s="8"/>
      <c r="Q73" s="8"/>
      <c r="R73" s="8"/>
      <c r="S73" s="8"/>
      <c r="T73" s="8"/>
      <c r="U73" s="8"/>
      <c r="V73" s="8"/>
      <c r="W73" s="8"/>
    </row>
    <row r="74" spans="1:23" s="138" customFormat="1" ht="20.25">
      <c r="B74" s="186" t="s">
        <v>47</v>
      </c>
      <c r="C74" s="187" t="s">
        <v>102</v>
      </c>
      <c r="D74" s="165"/>
      <c r="E74" s="134"/>
      <c r="F74" s="135"/>
      <c r="G74" s="136"/>
      <c r="H74" s="8"/>
      <c r="I74" s="8"/>
      <c r="J74" s="8"/>
      <c r="K74" s="8"/>
      <c r="L74" s="8"/>
      <c r="M74" s="8"/>
      <c r="N74" s="8"/>
      <c r="O74" s="8"/>
      <c r="P74" s="8"/>
      <c r="Q74" s="8"/>
      <c r="R74" s="8"/>
      <c r="S74" s="8"/>
      <c r="T74" s="8"/>
      <c r="U74" s="8"/>
      <c r="V74" s="8"/>
      <c r="W74" s="8"/>
    </row>
    <row r="75" spans="1:23" s="14" customFormat="1" ht="18" customHeight="1">
      <c r="A75" s="9"/>
      <c r="B75" s="10" t="s">
        <v>38</v>
      </c>
      <c r="C75" s="11"/>
      <c r="D75" s="13"/>
      <c r="E75" s="12"/>
      <c r="F75" s="12"/>
      <c r="G75" s="13"/>
      <c r="H75" s="8"/>
      <c r="I75" s="8"/>
      <c r="J75" s="8"/>
      <c r="K75" s="8"/>
      <c r="L75" s="8"/>
      <c r="M75" s="8"/>
      <c r="N75" s="8"/>
      <c r="O75" s="8"/>
      <c r="P75" s="8"/>
      <c r="Q75" s="8"/>
      <c r="R75" s="8"/>
      <c r="S75" s="8"/>
      <c r="T75" s="8"/>
      <c r="U75" s="8"/>
      <c r="V75" s="8"/>
      <c r="W75" s="8"/>
    </row>
    <row r="76" spans="1:23" s="14" customFormat="1" ht="18" customHeight="1">
      <c r="A76" s="15"/>
      <c r="B76" s="16" t="s">
        <v>39</v>
      </c>
      <c r="C76" s="17"/>
      <c r="D76" s="18"/>
      <c r="E76" s="19"/>
      <c r="F76" s="19"/>
      <c r="G76" s="18"/>
      <c r="H76" s="8"/>
      <c r="I76" s="8"/>
      <c r="J76" s="8"/>
      <c r="K76" s="8"/>
      <c r="L76" s="8"/>
      <c r="M76" s="8"/>
      <c r="N76" s="8"/>
      <c r="O76" s="8"/>
      <c r="P76" s="8"/>
      <c r="Q76" s="8"/>
      <c r="R76" s="8"/>
      <c r="S76" s="8"/>
      <c r="T76" s="8"/>
      <c r="U76" s="8"/>
      <c r="V76" s="8"/>
      <c r="W76" s="8"/>
    </row>
    <row r="77" spans="1:23" s="14" customFormat="1" ht="18" customHeight="1">
      <c r="A77" s="9"/>
      <c r="B77" s="10" t="s">
        <v>4</v>
      </c>
      <c r="C77" s="11"/>
      <c r="D77" s="12"/>
      <c r="E77" s="12"/>
      <c r="F77" s="12"/>
      <c r="G77" s="13"/>
      <c r="H77" s="8"/>
      <c r="I77" s="8"/>
      <c r="J77" s="8"/>
      <c r="K77" s="8"/>
      <c r="L77" s="8"/>
      <c r="M77" s="8"/>
      <c r="N77" s="8"/>
      <c r="O77" s="8"/>
      <c r="P77" s="8"/>
      <c r="Q77" s="8"/>
      <c r="R77" s="8"/>
      <c r="S77" s="8"/>
      <c r="T77" s="8"/>
      <c r="U77" s="8"/>
      <c r="V77" s="8"/>
      <c r="W77" s="8"/>
    </row>
    <row r="78" spans="1:23" s="14" customFormat="1" ht="18" customHeight="1">
      <c r="A78" s="15"/>
      <c r="B78" s="16" t="s">
        <v>5</v>
      </c>
      <c r="C78" s="17"/>
      <c r="D78" s="19"/>
      <c r="E78" s="19"/>
      <c r="F78" s="19"/>
      <c r="G78" s="18"/>
      <c r="H78" s="8"/>
      <c r="I78" s="8"/>
      <c r="J78" s="8"/>
      <c r="K78" s="8"/>
      <c r="L78" s="8"/>
      <c r="M78" s="8"/>
      <c r="N78" s="8"/>
      <c r="O78" s="8"/>
      <c r="P78" s="8"/>
      <c r="Q78" s="8"/>
      <c r="R78" s="8"/>
      <c r="S78" s="8"/>
      <c r="T78" s="8"/>
      <c r="U78" s="8"/>
      <c r="V78" s="8"/>
      <c r="W78" s="8"/>
    </row>
    <row r="79" spans="1:23" s="166" customFormat="1" ht="27.75" customHeight="1">
      <c r="B79" s="2399" t="s">
        <v>103</v>
      </c>
      <c r="C79" s="2400"/>
      <c r="D79" s="2400"/>
      <c r="E79" s="2400"/>
      <c r="F79" s="2400"/>
      <c r="G79" s="2401"/>
      <c r="H79" s="8"/>
      <c r="I79" s="8"/>
      <c r="J79" s="8"/>
      <c r="K79" s="8"/>
      <c r="L79" s="8"/>
      <c r="M79" s="8"/>
      <c r="N79" s="8"/>
      <c r="O79" s="8"/>
      <c r="P79" s="8"/>
      <c r="Q79" s="8"/>
      <c r="R79" s="8"/>
      <c r="S79" s="8"/>
      <c r="T79" s="8"/>
      <c r="U79" s="8"/>
      <c r="V79" s="8"/>
      <c r="W79" s="8"/>
    </row>
    <row r="80" spans="1:23" s="166" customFormat="1" ht="18.75" customHeight="1">
      <c r="B80" s="2399" t="s">
        <v>104</v>
      </c>
      <c r="C80" s="2400"/>
      <c r="D80" s="2400"/>
      <c r="E80" s="2400"/>
      <c r="F80" s="2400"/>
      <c r="G80" s="2401"/>
      <c r="H80" s="8"/>
      <c r="I80" s="8"/>
      <c r="J80" s="8"/>
      <c r="K80" s="8"/>
      <c r="L80" s="8"/>
      <c r="M80" s="8"/>
      <c r="N80" s="8"/>
      <c r="O80" s="8"/>
      <c r="P80" s="8"/>
      <c r="Q80" s="8"/>
      <c r="R80" s="8"/>
      <c r="S80" s="8"/>
      <c r="T80" s="8"/>
      <c r="U80" s="8"/>
      <c r="V80" s="8"/>
      <c r="W80" s="8"/>
    </row>
    <row r="81" spans="2:23" s="166" customFormat="1" ht="18.75" customHeight="1">
      <c r="B81" s="2399" t="s">
        <v>105</v>
      </c>
      <c r="C81" s="2400"/>
      <c r="D81" s="2400"/>
      <c r="E81" s="2400"/>
      <c r="F81" s="2400"/>
      <c r="G81" s="2401"/>
      <c r="H81" s="8"/>
      <c r="I81" s="8"/>
      <c r="J81" s="8"/>
      <c r="K81" s="8"/>
      <c r="L81" s="8"/>
      <c r="M81" s="8"/>
      <c r="N81" s="8"/>
      <c r="O81" s="8"/>
      <c r="P81" s="8"/>
      <c r="Q81" s="8"/>
      <c r="R81" s="8"/>
      <c r="S81" s="8"/>
      <c r="T81" s="8"/>
      <c r="U81" s="8"/>
      <c r="V81" s="8"/>
      <c r="W81" s="8"/>
    </row>
    <row r="82" spans="2:23" ht="30" customHeight="1">
      <c r="B82" s="188">
        <v>1</v>
      </c>
      <c r="C82" s="189" t="s">
        <v>106</v>
      </c>
      <c r="D82" s="190"/>
      <c r="E82" s="128"/>
      <c r="F82" s="129"/>
      <c r="G82" s="130"/>
      <c r="I82" s="8"/>
      <c r="J82" s="8"/>
      <c r="K82" s="8"/>
      <c r="L82" s="8"/>
      <c r="M82" s="8"/>
      <c r="N82" s="8"/>
      <c r="O82" s="8"/>
      <c r="P82" s="8"/>
      <c r="Q82" s="8"/>
      <c r="R82" s="8"/>
      <c r="S82" s="8"/>
      <c r="T82" s="8"/>
      <c r="U82" s="8"/>
      <c r="V82" s="8"/>
      <c r="W82" s="8"/>
    </row>
    <row r="83" spans="2:23" s="179" customFormat="1" ht="18.75" customHeight="1">
      <c r="B83" s="191"/>
      <c r="C83" s="271" t="s">
        <v>179</v>
      </c>
      <c r="D83" s="190" t="s">
        <v>57</v>
      </c>
      <c r="E83" s="128">
        <v>67</v>
      </c>
      <c r="F83" s="141">
        <v>0</v>
      </c>
      <c r="G83" s="142">
        <f t="shared" ref="G83:G88" si="3">E83*F83</f>
        <v>0</v>
      </c>
      <c r="H83" s="8"/>
      <c r="I83" s="8"/>
      <c r="J83" s="8"/>
      <c r="K83" s="8"/>
      <c r="L83" s="8"/>
      <c r="M83" s="8"/>
      <c r="N83" s="8"/>
      <c r="O83" s="8"/>
      <c r="P83" s="8"/>
      <c r="Q83" s="8"/>
      <c r="R83" s="8"/>
      <c r="S83" s="8"/>
      <c r="T83" s="8"/>
      <c r="U83" s="8"/>
      <c r="V83" s="8"/>
      <c r="W83" s="8"/>
    </row>
    <row r="84" spans="2:23" s="179" customFormat="1" ht="18.75" customHeight="1">
      <c r="B84" s="191"/>
      <c r="C84" s="271" t="s">
        <v>180</v>
      </c>
      <c r="D84" s="190" t="s">
        <v>57</v>
      </c>
      <c r="E84" s="128">
        <v>156</v>
      </c>
      <c r="F84" s="141">
        <v>0</v>
      </c>
      <c r="G84" s="142">
        <f t="shared" si="3"/>
        <v>0</v>
      </c>
      <c r="H84" s="8"/>
      <c r="I84" s="8"/>
      <c r="J84" s="8"/>
      <c r="K84" s="8"/>
      <c r="L84" s="8"/>
      <c r="M84" s="8"/>
      <c r="N84" s="8"/>
      <c r="O84" s="8"/>
      <c r="P84" s="8"/>
      <c r="Q84" s="8"/>
      <c r="R84" s="8"/>
      <c r="S84" s="8"/>
      <c r="T84" s="8"/>
      <c r="U84" s="8"/>
      <c r="V84" s="8"/>
      <c r="W84" s="8"/>
    </row>
    <row r="85" spans="2:23" s="179" customFormat="1" ht="18.75" customHeight="1">
      <c r="B85" s="191"/>
      <c r="C85" s="192" t="s">
        <v>107</v>
      </c>
      <c r="D85" s="190" t="s">
        <v>57</v>
      </c>
      <c r="E85" s="128">
        <v>64</v>
      </c>
      <c r="F85" s="141">
        <v>0</v>
      </c>
      <c r="G85" s="142">
        <f t="shared" si="3"/>
        <v>0</v>
      </c>
      <c r="H85" s="8"/>
      <c r="I85" s="8"/>
      <c r="J85" s="8"/>
      <c r="K85" s="8"/>
      <c r="L85" s="8"/>
      <c r="M85" s="8"/>
      <c r="N85" s="8"/>
      <c r="O85" s="8"/>
      <c r="P85" s="8"/>
      <c r="Q85" s="8"/>
      <c r="R85" s="8"/>
      <c r="S85" s="8"/>
      <c r="T85" s="8"/>
      <c r="U85" s="8"/>
      <c r="V85" s="8"/>
      <c r="W85" s="8"/>
    </row>
    <row r="86" spans="2:23" s="179" customFormat="1" ht="24.75" customHeight="1">
      <c r="B86" s="191"/>
      <c r="C86" s="192" t="s">
        <v>108</v>
      </c>
      <c r="D86" s="190" t="s">
        <v>57</v>
      </c>
      <c r="E86" s="128">
        <v>8</v>
      </c>
      <c r="F86" s="141">
        <v>0</v>
      </c>
      <c r="G86" s="142">
        <f t="shared" si="3"/>
        <v>0</v>
      </c>
      <c r="H86" s="8"/>
      <c r="I86" s="8"/>
      <c r="J86" s="8"/>
      <c r="K86" s="8"/>
      <c r="L86" s="8"/>
      <c r="M86" s="8"/>
      <c r="N86" s="8"/>
      <c r="O86" s="8"/>
      <c r="P86" s="8"/>
      <c r="Q86" s="8"/>
      <c r="R86" s="8"/>
      <c r="S86" s="8"/>
      <c r="T86" s="8"/>
      <c r="U86" s="8"/>
      <c r="V86" s="8"/>
      <c r="W86" s="8"/>
    </row>
    <row r="87" spans="2:23" s="179" customFormat="1" ht="19.5" customHeight="1">
      <c r="B87" s="191"/>
      <c r="C87" s="192" t="s">
        <v>109</v>
      </c>
      <c r="D87" s="190" t="s">
        <v>57</v>
      </c>
      <c r="E87" s="128">
        <v>79</v>
      </c>
      <c r="F87" s="141">
        <v>0</v>
      </c>
      <c r="G87" s="142">
        <f t="shared" si="3"/>
        <v>0</v>
      </c>
      <c r="H87" s="8"/>
      <c r="I87" s="8"/>
      <c r="J87" s="8"/>
      <c r="K87" s="8"/>
      <c r="L87" s="8"/>
      <c r="M87" s="8"/>
      <c r="N87" s="8"/>
      <c r="O87" s="8"/>
      <c r="P87" s="8"/>
      <c r="Q87" s="8"/>
      <c r="R87" s="8"/>
      <c r="S87" s="8"/>
      <c r="T87" s="8"/>
      <c r="U87" s="8"/>
      <c r="V87" s="8"/>
      <c r="W87" s="8"/>
    </row>
    <row r="88" spans="2:23" s="179" customFormat="1" ht="27.75" customHeight="1">
      <c r="B88" s="191"/>
      <c r="C88" s="192" t="s">
        <v>110</v>
      </c>
      <c r="D88" s="190" t="s">
        <v>57</v>
      </c>
      <c r="E88" s="128">
        <v>9</v>
      </c>
      <c r="F88" s="141">
        <v>0</v>
      </c>
      <c r="G88" s="142">
        <f t="shared" si="3"/>
        <v>0</v>
      </c>
      <c r="H88" s="8"/>
      <c r="I88" s="8"/>
      <c r="J88" s="8"/>
      <c r="K88" s="8"/>
      <c r="L88" s="8"/>
      <c r="M88" s="8"/>
      <c r="N88" s="8"/>
      <c r="O88" s="8"/>
      <c r="P88" s="8"/>
      <c r="Q88" s="8"/>
      <c r="R88" s="8"/>
      <c r="S88" s="8"/>
      <c r="T88" s="8"/>
      <c r="U88" s="8"/>
      <c r="V88" s="8"/>
      <c r="W88" s="8"/>
    </row>
    <row r="89" spans="2:23" ht="36">
      <c r="B89" s="2404" t="s">
        <v>111</v>
      </c>
      <c r="C89" s="193" t="s">
        <v>112</v>
      </c>
      <c r="D89" s="194"/>
      <c r="E89" s="128"/>
      <c r="F89" s="141"/>
      <c r="G89" s="142"/>
      <c r="I89" s="8"/>
      <c r="J89" s="8"/>
      <c r="K89" s="8"/>
      <c r="L89" s="8"/>
      <c r="M89" s="8"/>
      <c r="N89" s="8"/>
      <c r="O89" s="8"/>
      <c r="P89" s="8"/>
      <c r="Q89" s="8"/>
      <c r="R89" s="8"/>
      <c r="S89" s="8"/>
      <c r="T89" s="8"/>
      <c r="U89" s="8"/>
      <c r="V89" s="8"/>
      <c r="W89" s="8"/>
    </row>
    <row r="90" spans="2:23">
      <c r="B90" s="2405"/>
      <c r="C90" s="195" t="s">
        <v>113</v>
      </c>
      <c r="D90" s="194" t="s">
        <v>57</v>
      </c>
      <c r="E90" s="128">
        <v>295</v>
      </c>
      <c r="F90" s="141">
        <v>0</v>
      </c>
      <c r="G90" s="142">
        <f t="shared" ref="G90:G94" si="4">E90*F90</f>
        <v>0</v>
      </c>
      <c r="I90" s="8"/>
      <c r="J90" s="8"/>
      <c r="K90" s="8"/>
      <c r="L90" s="8"/>
      <c r="M90" s="8"/>
      <c r="N90" s="8"/>
      <c r="O90" s="8"/>
      <c r="P90" s="8"/>
      <c r="Q90" s="8"/>
      <c r="R90" s="8"/>
      <c r="S90" s="8"/>
      <c r="T90" s="8"/>
      <c r="U90" s="8"/>
      <c r="V90" s="8"/>
      <c r="W90" s="8"/>
    </row>
    <row r="91" spans="2:23" ht="36">
      <c r="B91" s="196">
        <v>2</v>
      </c>
      <c r="C91" s="197" t="s">
        <v>114</v>
      </c>
      <c r="D91" s="145" t="s">
        <v>57</v>
      </c>
      <c r="E91" s="198">
        <v>383</v>
      </c>
      <c r="F91" s="141">
        <v>0</v>
      </c>
      <c r="G91" s="142">
        <f t="shared" si="4"/>
        <v>0</v>
      </c>
      <c r="I91" s="8"/>
      <c r="J91" s="8"/>
      <c r="K91" s="8"/>
      <c r="L91" s="8"/>
      <c r="M91" s="8"/>
      <c r="N91" s="8"/>
      <c r="O91" s="8"/>
      <c r="P91" s="8"/>
      <c r="Q91" s="8"/>
      <c r="R91" s="8"/>
      <c r="S91" s="8"/>
      <c r="T91" s="8"/>
      <c r="U91" s="8"/>
      <c r="V91" s="8"/>
      <c r="W91" s="8"/>
    </row>
    <row r="92" spans="2:23" ht="36">
      <c r="B92" s="199" t="s">
        <v>115</v>
      </c>
      <c r="C92" s="197" t="s">
        <v>116</v>
      </c>
      <c r="D92" s="145" t="s">
        <v>57</v>
      </c>
      <c r="E92" s="198">
        <v>383</v>
      </c>
      <c r="F92" s="141">
        <v>0</v>
      </c>
      <c r="G92" s="142">
        <f t="shared" si="4"/>
        <v>0</v>
      </c>
      <c r="I92" s="8"/>
      <c r="J92" s="8"/>
      <c r="K92" s="8"/>
      <c r="L92" s="8"/>
      <c r="M92" s="8"/>
      <c r="N92" s="8"/>
      <c r="O92" s="8"/>
      <c r="P92" s="8"/>
      <c r="Q92" s="8"/>
      <c r="R92" s="8"/>
      <c r="S92" s="8"/>
      <c r="T92" s="8"/>
      <c r="U92" s="8"/>
      <c r="V92" s="8"/>
      <c r="W92" s="8"/>
    </row>
    <row r="93" spans="2:23" ht="24">
      <c r="B93" s="199" t="s">
        <v>117</v>
      </c>
      <c r="C93" s="197" t="s">
        <v>118</v>
      </c>
      <c r="D93" s="145" t="s">
        <v>57</v>
      </c>
      <c r="E93" s="198">
        <v>383</v>
      </c>
      <c r="F93" s="141">
        <v>0</v>
      </c>
      <c r="G93" s="142">
        <f t="shared" si="4"/>
        <v>0</v>
      </c>
      <c r="I93" s="8"/>
      <c r="J93" s="8"/>
      <c r="K93" s="8"/>
      <c r="L93" s="8"/>
      <c r="M93" s="8"/>
      <c r="N93" s="8"/>
      <c r="O93" s="8"/>
      <c r="P93" s="8"/>
      <c r="Q93" s="8"/>
      <c r="R93" s="8"/>
      <c r="S93" s="8"/>
      <c r="T93" s="8"/>
      <c r="U93" s="8"/>
      <c r="V93" s="8"/>
      <c r="W93" s="8"/>
    </row>
    <row r="94" spans="2:23" ht="36">
      <c r="B94" s="199" t="s">
        <v>119</v>
      </c>
      <c r="C94" s="197" t="s">
        <v>120</v>
      </c>
      <c r="D94" s="145" t="s">
        <v>57</v>
      </c>
      <c r="E94" s="198">
        <v>383</v>
      </c>
      <c r="F94" s="141">
        <v>0</v>
      </c>
      <c r="G94" s="142">
        <f t="shared" si="4"/>
        <v>0</v>
      </c>
      <c r="I94" s="8"/>
      <c r="J94" s="8"/>
      <c r="K94" s="8"/>
      <c r="L94" s="8"/>
      <c r="M94" s="8"/>
      <c r="N94" s="8"/>
      <c r="O94" s="8"/>
      <c r="P94" s="8"/>
      <c r="Q94" s="8"/>
      <c r="R94" s="8"/>
      <c r="S94" s="8"/>
      <c r="T94" s="8"/>
      <c r="U94" s="8"/>
      <c r="V94" s="8"/>
      <c r="W94" s="8"/>
    </row>
    <row r="95" spans="2:23" ht="24">
      <c r="B95" s="188">
        <v>3</v>
      </c>
      <c r="C95" s="200" t="s">
        <v>121</v>
      </c>
      <c r="D95" s="127"/>
      <c r="E95" s="128"/>
      <c r="F95" s="129"/>
      <c r="G95" s="130"/>
      <c r="I95" s="8"/>
      <c r="J95" s="8"/>
      <c r="K95" s="8"/>
      <c r="L95" s="8"/>
      <c r="M95" s="8"/>
      <c r="N95" s="8"/>
      <c r="O95" s="8"/>
      <c r="P95" s="8"/>
      <c r="Q95" s="8"/>
      <c r="R95" s="8"/>
      <c r="S95" s="8"/>
      <c r="T95" s="8"/>
      <c r="U95" s="8"/>
      <c r="V95" s="8"/>
      <c r="W95" s="8"/>
    </row>
    <row r="96" spans="2:23">
      <c r="B96" s="201" t="s">
        <v>122</v>
      </c>
      <c r="C96" s="202" t="s">
        <v>123</v>
      </c>
      <c r="D96" s="203"/>
      <c r="E96" s="204"/>
      <c r="F96" s="205"/>
      <c r="G96" s="206"/>
      <c r="I96" s="8"/>
      <c r="J96" s="8"/>
      <c r="K96" s="8"/>
      <c r="L96" s="8"/>
      <c r="M96" s="8"/>
      <c r="N96" s="8"/>
      <c r="O96" s="8"/>
      <c r="P96" s="8"/>
      <c r="Q96" s="8"/>
      <c r="R96" s="8"/>
      <c r="S96" s="8"/>
      <c r="T96" s="8"/>
      <c r="U96" s="8"/>
      <c r="V96" s="8"/>
      <c r="W96" s="8"/>
    </row>
    <row r="97" spans="2:23">
      <c r="B97" s="125"/>
      <c r="C97" s="202" t="s">
        <v>124</v>
      </c>
      <c r="D97" s="203"/>
      <c r="E97" s="204"/>
      <c r="F97" s="205"/>
      <c r="G97" s="206"/>
      <c r="I97" s="8"/>
      <c r="J97" s="8"/>
      <c r="K97" s="8"/>
      <c r="L97" s="8"/>
      <c r="M97" s="8"/>
      <c r="N97" s="8"/>
      <c r="O97" s="8"/>
      <c r="P97" s="8"/>
      <c r="Q97" s="8"/>
      <c r="R97" s="8"/>
      <c r="S97" s="8"/>
      <c r="T97" s="8"/>
      <c r="U97" s="8"/>
      <c r="V97" s="8"/>
      <c r="W97" s="8"/>
    </row>
    <row r="98" spans="2:23" s="179" customFormat="1" ht="18" customHeight="1">
      <c r="B98" s="207"/>
      <c r="C98" s="208" t="s">
        <v>125</v>
      </c>
      <c r="D98" s="209" t="s">
        <v>66</v>
      </c>
      <c r="E98" s="204">
        <v>2</v>
      </c>
      <c r="F98" s="210">
        <v>0</v>
      </c>
      <c r="G98" s="211">
        <f t="shared" ref="G98" si="5">E98*F98</f>
        <v>0</v>
      </c>
      <c r="H98" s="8"/>
      <c r="I98" s="8"/>
      <c r="J98" s="8"/>
      <c r="K98" s="8"/>
      <c r="L98" s="8"/>
      <c r="M98" s="8"/>
      <c r="N98" s="8"/>
      <c r="O98" s="8"/>
      <c r="P98" s="8"/>
      <c r="Q98" s="8"/>
      <c r="R98" s="8"/>
      <c r="S98" s="8"/>
      <c r="T98" s="8"/>
      <c r="U98" s="8"/>
      <c r="V98" s="8"/>
      <c r="W98" s="8"/>
    </row>
    <row r="99" spans="2:23" s="217" customFormat="1">
      <c r="B99" s="201" t="s">
        <v>126</v>
      </c>
      <c r="C99" s="212" t="s">
        <v>127</v>
      </c>
      <c r="D99" s="213"/>
      <c r="E99" s="214"/>
      <c r="F99" s="215"/>
      <c r="G99" s="216"/>
      <c r="H99" s="8"/>
      <c r="I99" s="8"/>
      <c r="J99" s="8"/>
      <c r="K99" s="8"/>
      <c r="L99" s="8"/>
      <c r="M99" s="8"/>
      <c r="N99" s="8"/>
      <c r="O99" s="8"/>
      <c r="P99" s="8"/>
      <c r="Q99" s="8"/>
      <c r="R99" s="8"/>
      <c r="S99" s="8"/>
      <c r="T99" s="8"/>
      <c r="U99" s="8"/>
      <c r="V99" s="8"/>
      <c r="W99" s="8"/>
    </row>
    <row r="100" spans="2:23" s="217" customFormat="1">
      <c r="B100" s="218"/>
      <c r="C100" s="212" t="s">
        <v>181</v>
      </c>
      <c r="D100" s="213"/>
      <c r="E100" s="214"/>
      <c r="F100" s="215"/>
      <c r="G100" s="216"/>
      <c r="H100" s="8"/>
      <c r="I100" s="8"/>
      <c r="J100" s="8"/>
      <c r="K100" s="8"/>
      <c r="L100" s="8"/>
      <c r="M100" s="8"/>
      <c r="N100" s="8"/>
      <c r="O100" s="8"/>
      <c r="P100" s="8"/>
      <c r="Q100" s="8"/>
      <c r="R100" s="8"/>
      <c r="S100" s="8"/>
      <c r="T100" s="8"/>
      <c r="U100" s="8"/>
      <c r="V100" s="8"/>
      <c r="W100" s="8"/>
    </row>
    <row r="101" spans="2:23" s="217" customFormat="1">
      <c r="B101" s="218"/>
      <c r="C101" s="219" t="s">
        <v>182</v>
      </c>
      <c r="D101" s="213" t="s">
        <v>66</v>
      </c>
      <c r="E101" s="214">
        <v>1</v>
      </c>
      <c r="F101" s="220">
        <v>0</v>
      </c>
      <c r="G101" s="221">
        <f t="shared" ref="G101:G107" si="6">E101*F101</f>
        <v>0</v>
      </c>
      <c r="H101" s="8"/>
      <c r="I101" s="8"/>
      <c r="J101" s="8"/>
      <c r="K101" s="8"/>
      <c r="L101" s="8"/>
      <c r="M101" s="8"/>
      <c r="N101" s="8"/>
      <c r="O101" s="8"/>
      <c r="P101" s="8"/>
      <c r="Q101" s="8"/>
      <c r="R101" s="8"/>
      <c r="S101" s="8"/>
      <c r="T101" s="8"/>
      <c r="U101" s="8"/>
      <c r="V101" s="8"/>
      <c r="W101" s="8"/>
    </row>
    <row r="102" spans="2:23" s="217" customFormat="1" ht="38.25" customHeight="1">
      <c r="B102" s="218"/>
      <c r="C102" s="222" t="s">
        <v>130</v>
      </c>
      <c r="D102" s="213" t="s">
        <v>66</v>
      </c>
      <c r="E102" s="214">
        <v>1</v>
      </c>
      <c r="F102" s="220">
        <v>0</v>
      </c>
      <c r="G102" s="221">
        <f t="shared" si="6"/>
        <v>0</v>
      </c>
      <c r="H102" s="8"/>
      <c r="I102" s="8"/>
      <c r="J102" s="8"/>
      <c r="K102" s="8"/>
      <c r="L102" s="8"/>
      <c r="M102" s="8"/>
      <c r="N102" s="8"/>
      <c r="O102" s="8"/>
      <c r="P102" s="8"/>
      <c r="Q102" s="8"/>
      <c r="R102" s="8"/>
      <c r="S102" s="8"/>
      <c r="T102" s="8"/>
      <c r="U102" s="8"/>
      <c r="V102" s="8"/>
      <c r="W102" s="8"/>
    </row>
    <row r="103" spans="2:23" s="217" customFormat="1">
      <c r="B103" s="218"/>
      <c r="C103" s="222" t="s">
        <v>183</v>
      </c>
      <c r="D103" s="213" t="s">
        <v>66</v>
      </c>
      <c r="E103" s="214">
        <v>1</v>
      </c>
      <c r="F103" s="220">
        <v>0</v>
      </c>
      <c r="G103" s="221">
        <f t="shared" si="6"/>
        <v>0</v>
      </c>
      <c r="H103" s="8"/>
      <c r="I103" s="8"/>
      <c r="J103" s="8"/>
      <c r="K103" s="8"/>
      <c r="L103" s="8"/>
      <c r="M103" s="8"/>
      <c r="N103" s="8"/>
      <c r="O103" s="8"/>
      <c r="P103" s="8"/>
      <c r="Q103" s="8"/>
      <c r="R103" s="8"/>
      <c r="S103" s="8"/>
      <c r="T103" s="8"/>
      <c r="U103" s="8"/>
      <c r="V103" s="8"/>
      <c r="W103" s="8"/>
    </row>
    <row r="104" spans="2:23" s="217" customFormat="1">
      <c r="B104" s="218"/>
      <c r="C104" s="222" t="s">
        <v>131</v>
      </c>
      <c r="D104" s="213" t="s">
        <v>66</v>
      </c>
      <c r="E104" s="214">
        <v>1</v>
      </c>
      <c r="F104" s="220">
        <v>0</v>
      </c>
      <c r="G104" s="221">
        <f t="shared" si="6"/>
        <v>0</v>
      </c>
      <c r="H104" s="8"/>
      <c r="I104" s="8"/>
      <c r="J104" s="8"/>
      <c r="K104" s="8"/>
      <c r="L104" s="8"/>
      <c r="M104" s="8"/>
      <c r="N104" s="8"/>
      <c r="O104" s="8"/>
      <c r="P104" s="8"/>
      <c r="Q104" s="8"/>
      <c r="R104" s="8"/>
      <c r="S104" s="8"/>
      <c r="T104" s="8"/>
      <c r="U104" s="8"/>
      <c r="V104" s="8"/>
      <c r="W104" s="8"/>
    </row>
    <row r="105" spans="2:23" s="217" customFormat="1">
      <c r="B105" s="218"/>
      <c r="C105" s="234" t="s">
        <v>184</v>
      </c>
      <c r="D105" s="213" t="s">
        <v>66</v>
      </c>
      <c r="E105" s="214">
        <v>2</v>
      </c>
      <c r="F105" s="220">
        <v>0</v>
      </c>
      <c r="G105" s="221">
        <f t="shared" si="6"/>
        <v>0</v>
      </c>
      <c r="H105" s="8"/>
      <c r="I105" s="8"/>
      <c r="J105" s="8"/>
      <c r="K105" s="8"/>
      <c r="L105" s="8"/>
      <c r="M105" s="8"/>
      <c r="N105" s="8"/>
      <c r="O105" s="8"/>
      <c r="P105" s="8"/>
      <c r="Q105" s="8"/>
      <c r="R105" s="8"/>
      <c r="S105" s="8"/>
      <c r="T105" s="8"/>
      <c r="U105" s="8"/>
      <c r="V105" s="8"/>
      <c r="W105" s="8"/>
    </row>
    <row r="106" spans="2:23" s="217" customFormat="1">
      <c r="B106" s="218"/>
      <c r="C106" s="234" t="s">
        <v>134</v>
      </c>
      <c r="D106" s="213" t="s">
        <v>66</v>
      </c>
      <c r="E106" s="214">
        <v>1</v>
      </c>
      <c r="F106" s="220">
        <v>0</v>
      </c>
      <c r="G106" s="221">
        <f t="shared" si="6"/>
        <v>0</v>
      </c>
      <c r="H106" s="8"/>
      <c r="I106" s="8"/>
      <c r="J106" s="8"/>
      <c r="K106" s="8"/>
      <c r="L106" s="8"/>
      <c r="M106" s="8"/>
      <c r="N106" s="8"/>
      <c r="O106" s="8"/>
      <c r="P106" s="8"/>
      <c r="Q106" s="8"/>
      <c r="R106" s="8"/>
      <c r="S106" s="8"/>
      <c r="T106" s="8"/>
      <c r="U106" s="8"/>
      <c r="V106" s="8"/>
      <c r="W106" s="8"/>
    </row>
    <row r="107" spans="2:23" s="217" customFormat="1">
      <c r="B107" s="218"/>
      <c r="C107" s="235" t="s">
        <v>135</v>
      </c>
      <c r="D107" s="213" t="s">
        <v>66</v>
      </c>
      <c r="E107" s="214">
        <v>1</v>
      </c>
      <c r="F107" s="220">
        <v>0</v>
      </c>
      <c r="G107" s="221">
        <f t="shared" si="6"/>
        <v>0</v>
      </c>
      <c r="H107" s="8"/>
      <c r="I107" s="8"/>
      <c r="J107" s="8"/>
      <c r="K107" s="8"/>
      <c r="L107" s="8"/>
      <c r="M107" s="8"/>
      <c r="N107" s="8"/>
      <c r="O107" s="8"/>
      <c r="P107" s="8"/>
      <c r="Q107" s="8"/>
      <c r="R107" s="8"/>
      <c r="S107" s="8"/>
      <c r="T107" s="8"/>
      <c r="U107" s="8"/>
      <c r="V107" s="8"/>
      <c r="W107" s="8"/>
    </row>
    <row r="108" spans="2:23" s="217" customFormat="1">
      <c r="B108" s="201" t="s">
        <v>136</v>
      </c>
      <c r="C108" s="223" t="s">
        <v>137</v>
      </c>
      <c r="D108" s="224"/>
      <c r="E108" s="225"/>
      <c r="F108" s="226"/>
      <c r="G108" s="227"/>
      <c r="H108" s="8"/>
      <c r="I108" s="8"/>
      <c r="J108" s="8"/>
      <c r="K108" s="8"/>
      <c r="L108" s="8"/>
      <c r="M108" s="8"/>
      <c r="N108" s="8"/>
      <c r="O108" s="8"/>
      <c r="P108" s="8"/>
      <c r="Q108" s="8"/>
      <c r="R108" s="8"/>
      <c r="S108" s="8"/>
      <c r="T108" s="8"/>
      <c r="U108" s="8"/>
      <c r="V108" s="8"/>
      <c r="W108" s="8"/>
    </row>
    <row r="109" spans="2:23" s="217" customFormat="1">
      <c r="B109" s="218"/>
      <c r="C109" s="223" t="s">
        <v>185</v>
      </c>
      <c r="D109" s="224"/>
      <c r="E109" s="225"/>
      <c r="F109" s="226"/>
      <c r="G109" s="227"/>
      <c r="H109" s="8"/>
      <c r="I109" s="8"/>
      <c r="J109" s="8"/>
      <c r="K109" s="8"/>
      <c r="L109" s="8"/>
      <c r="M109" s="8"/>
      <c r="N109" s="8"/>
      <c r="O109" s="8"/>
      <c r="P109" s="8"/>
      <c r="Q109" s="8"/>
      <c r="R109" s="8"/>
      <c r="S109" s="8"/>
      <c r="T109" s="8"/>
      <c r="U109" s="8"/>
      <c r="V109" s="8"/>
      <c r="W109" s="8"/>
    </row>
    <row r="110" spans="2:23" s="217" customFormat="1">
      <c r="B110" s="218"/>
      <c r="C110" s="228" t="s">
        <v>186</v>
      </c>
      <c r="D110" s="224" t="s">
        <v>66</v>
      </c>
      <c r="E110" s="225">
        <v>1</v>
      </c>
      <c r="F110" s="229">
        <v>0</v>
      </c>
      <c r="G110" s="230">
        <f t="shared" ref="G110:G124" si="7">E110*F110</f>
        <v>0</v>
      </c>
      <c r="H110" s="8"/>
      <c r="I110" s="8"/>
      <c r="J110" s="8"/>
      <c r="K110" s="8"/>
      <c r="L110" s="8"/>
      <c r="M110" s="8"/>
      <c r="N110" s="8"/>
      <c r="O110" s="8"/>
      <c r="P110" s="8"/>
      <c r="Q110" s="8"/>
      <c r="R110" s="8"/>
      <c r="S110" s="8"/>
      <c r="T110" s="8"/>
      <c r="U110" s="8"/>
      <c r="V110" s="8"/>
      <c r="W110" s="8"/>
    </row>
    <row r="111" spans="2:23" s="217" customFormat="1">
      <c r="B111" s="218"/>
      <c r="C111" s="228" t="s">
        <v>187</v>
      </c>
      <c r="D111" s="224" t="s">
        <v>66</v>
      </c>
      <c r="E111" s="225">
        <v>1</v>
      </c>
      <c r="F111" s="229">
        <v>0</v>
      </c>
      <c r="G111" s="230">
        <f t="shared" si="7"/>
        <v>0</v>
      </c>
      <c r="H111" s="8"/>
      <c r="I111" s="8"/>
      <c r="J111" s="8"/>
      <c r="K111" s="8"/>
      <c r="L111" s="8"/>
      <c r="M111" s="8"/>
      <c r="N111" s="8"/>
      <c r="O111" s="8"/>
      <c r="P111" s="8"/>
      <c r="Q111" s="8"/>
      <c r="R111" s="8"/>
      <c r="S111" s="8"/>
      <c r="T111" s="8"/>
      <c r="U111" s="8"/>
      <c r="V111" s="8"/>
      <c r="W111" s="8"/>
    </row>
    <row r="112" spans="2:23" s="217" customFormat="1" ht="12.75" customHeight="1">
      <c r="B112" s="218"/>
      <c r="C112" s="231" t="s">
        <v>140</v>
      </c>
      <c r="D112" s="224" t="s">
        <v>66</v>
      </c>
      <c r="E112" s="225">
        <v>1</v>
      </c>
      <c r="F112" s="229">
        <v>0</v>
      </c>
      <c r="G112" s="230">
        <f t="shared" si="7"/>
        <v>0</v>
      </c>
      <c r="H112" s="8"/>
      <c r="I112" s="8"/>
      <c r="J112" s="8"/>
      <c r="K112" s="8"/>
      <c r="L112" s="8"/>
      <c r="M112" s="8"/>
      <c r="N112" s="8"/>
      <c r="O112" s="8"/>
      <c r="P112" s="8"/>
      <c r="Q112" s="8"/>
      <c r="R112" s="8"/>
      <c r="S112" s="8"/>
      <c r="T112" s="8"/>
      <c r="U112" s="8"/>
      <c r="V112" s="8"/>
      <c r="W112" s="8"/>
    </row>
    <row r="113" spans="2:23" s="217" customFormat="1">
      <c r="B113" s="218"/>
      <c r="C113" s="231" t="s">
        <v>141</v>
      </c>
      <c r="D113" s="224" t="s">
        <v>66</v>
      </c>
      <c r="E113" s="225">
        <v>1</v>
      </c>
      <c r="F113" s="229">
        <v>0</v>
      </c>
      <c r="G113" s="230">
        <f t="shared" si="7"/>
        <v>0</v>
      </c>
      <c r="H113" s="8"/>
      <c r="I113" s="8"/>
      <c r="J113" s="8"/>
      <c r="K113" s="8"/>
      <c r="L113" s="8"/>
      <c r="M113" s="8"/>
      <c r="N113" s="8"/>
      <c r="O113" s="8"/>
      <c r="P113" s="8"/>
      <c r="Q113" s="8"/>
      <c r="R113" s="8"/>
      <c r="S113" s="8"/>
      <c r="T113" s="8"/>
      <c r="U113" s="8"/>
      <c r="V113" s="8"/>
      <c r="W113" s="8"/>
    </row>
    <row r="114" spans="2:23" s="217" customFormat="1">
      <c r="B114" s="218"/>
      <c r="C114" s="231" t="s">
        <v>142</v>
      </c>
      <c r="D114" s="224" t="s">
        <v>66</v>
      </c>
      <c r="E114" s="225">
        <v>1</v>
      </c>
      <c r="F114" s="229">
        <v>0</v>
      </c>
      <c r="G114" s="230">
        <f t="shared" si="7"/>
        <v>0</v>
      </c>
      <c r="H114" s="8"/>
      <c r="I114" s="8"/>
      <c r="J114" s="8"/>
      <c r="K114" s="8"/>
      <c r="L114" s="8"/>
      <c r="M114" s="8"/>
      <c r="N114" s="8"/>
      <c r="O114" s="8"/>
      <c r="P114" s="8"/>
      <c r="Q114" s="8"/>
      <c r="R114" s="8"/>
      <c r="S114" s="8"/>
      <c r="T114" s="8"/>
      <c r="U114" s="8"/>
      <c r="V114" s="8"/>
      <c r="W114" s="8"/>
    </row>
    <row r="115" spans="2:23" s="217" customFormat="1">
      <c r="B115" s="218"/>
      <c r="C115" s="231" t="s">
        <v>143</v>
      </c>
      <c r="D115" s="224" t="s">
        <v>66</v>
      </c>
      <c r="E115" s="225">
        <v>1</v>
      </c>
      <c r="F115" s="229">
        <v>0</v>
      </c>
      <c r="G115" s="230">
        <f t="shared" si="7"/>
        <v>0</v>
      </c>
      <c r="H115" s="8"/>
      <c r="I115" s="8"/>
      <c r="J115" s="8"/>
      <c r="K115" s="8"/>
      <c r="L115" s="8"/>
      <c r="M115" s="8"/>
      <c r="N115" s="8"/>
      <c r="O115" s="8"/>
      <c r="P115" s="8"/>
      <c r="Q115" s="8"/>
      <c r="R115" s="8"/>
      <c r="S115" s="8"/>
      <c r="T115" s="8"/>
      <c r="U115" s="8"/>
      <c r="V115" s="8"/>
      <c r="W115" s="8"/>
    </row>
    <row r="116" spans="2:23" s="217" customFormat="1">
      <c r="B116" s="218"/>
      <c r="C116" s="231" t="s">
        <v>155</v>
      </c>
      <c r="D116" s="224" t="s">
        <v>66</v>
      </c>
      <c r="E116" s="225">
        <v>1</v>
      </c>
      <c r="F116" s="229">
        <v>0</v>
      </c>
      <c r="G116" s="230">
        <f t="shared" si="7"/>
        <v>0</v>
      </c>
      <c r="H116" s="8"/>
      <c r="I116" s="8"/>
      <c r="J116" s="8"/>
      <c r="K116" s="8"/>
      <c r="L116" s="8"/>
      <c r="M116" s="8"/>
      <c r="N116" s="8"/>
      <c r="O116" s="8"/>
      <c r="P116" s="8"/>
      <c r="Q116" s="8"/>
      <c r="R116" s="8"/>
      <c r="S116" s="8"/>
      <c r="T116" s="8"/>
      <c r="U116" s="8"/>
      <c r="V116" s="8"/>
      <c r="W116" s="8"/>
    </row>
    <row r="117" spans="2:23" s="217" customFormat="1">
      <c r="B117" s="218"/>
      <c r="C117" s="231" t="s">
        <v>145</v>
      </c>
      <c r="D117" s="224" t="s">
        <v>66</v>
      </c>
      <c r="E117" s="225">
        <v>1</v>
      </c>
      <c r="F117" s="229">
        <v>0</v>
      </c>
      <c r="G117" s="230">
        <f t="shared" si="7"/>
        <v>0</v>
      </c>
      <c r="H117" s="8"/>
      <c r="I117" s="8"/>
      <c r="J117" s="8"/>
      <c r="K117" s="8"/>
      <c r="L117" s="8"/>
      <c r="M117" s="8"/>
      <c r="N117" s="8"/>
      <c r="O117" s="8"/>
      <c r="P117" s="8"/>
      <c r="Q117" s="8"/>
      <c r="R117" s="8"/>
      <c r="S117" s="8"/>
      <c r="T117" s="8"/>
      <c r="U117" s="8"/>
      <c r="V117" s="8"/>
      <c r="W117" s="8"/>
    </row>
    <row r="118" spans="2:23" s="217" customFormat="1">
      <c r="B118" s="218"/>
      <c r="C118" s="231" t="s">
        <v>146</v>
      </c>
      <c r="D118" s="224" t="s">
        <v>66</v>
      </c>
      <c r="E118" s="225">
        <v>1</v>
      </c>
      <c r="F118" s="229">
        <v>0</v>
      </c>
      <c r="G118" s="230">
        <f t="shared" si="7"/>
        <v>0</v>
      </c>
      <c r="H118" s="8"/>
      <c r="I118" s="8"/>
      <c r="J118" s="8"/>
      <c r="K118" s="8"/>
      <c r="L118" s="8"/>
      <c r="M118" s="8"/>
      <c r="N118" s="8"/>
      <c r="O118" s="8"/>
      <c r="P118" s="8"/>
      <c r="Q118" s="8"/>
      <c r="R118" s="8"/>
      <c r="S118" s="8"/>
      <c r="T118" s="8"/>
      <c r="U118" s="8"/>
      <c r="V118" s="8"/>
      <c r="W118" s="8"/>
    </row>
    <row r="119" spans="2:23" s="217" customFormat="1">
      <c r="B119" s="218"/>
      <c r="C119" s="232" t="s">
        <v>147</v>
      </c>
      <c r="D119" s="224" t="s">
        <v>66</v>
      </c>
      <c r="E119" s="225">
        <v>1</v>
      </c>
      <c r="F119" s="229">
        <v>0</v>
      </c>
      <c r="G119" s="230">
        <f t="shared" si="7"/>
        <v>0</v>
      </c>
      <c r="H119" s="8"/>
      <c r="I119" s="8"/>
      <c r="J119" s="8"/>
      <c r="K119" s="8"/>
      <c r="L119" s="8"/>
      <c r="M119" s="8"/>
      <c r="N119" s="8"/>
      <c r="O119" s="8"/>
      <c r="P119" s="8"/>
      <c r="Q119" s="8"/>
      <c r="R119" s="8"/>
      <c r="S119" s="8"/>
      <c r="T119" s="8"/>
      <c r="U119" s="8"/>
      <c r="V119" s="8"/>
      <c r="W119" s="8"/>
    </row>
    <row r="120" spans="2:23" s="217" customFormat="1">
      <c r="B120" s="218"/>
      <c r="C120" s="232" t="s">
        <v>188</v>
      </c>
      <c r="D120" s="224" t="s">
        <v>66</v>
      </c>
      <c r="E120" s="225">
        <v>1</v>
      </c>
      <c r="F120" s="229">
        <v>0</v>
      </c>
      <c r="G120" s="230">
        <f t="shared" si="7"/>
        <v>0</v>
      </c>
      <c r="H120" s="8"/>
      <c r="I120" s="8"/>
      <c r="J120" s="8"/>
      <c r="K120" s="8"/>
      <c r="L120" s="8"/>
      <c r="M120" s="8"/>
      <c r="N120" s="8"/>
      <c r="O120" s="8"/>
      <c r="P120" s="8"/>
      <c r="Q120" s="8"/>
      <c r="R120" s="8"/>
      <c r="S120" s="8"/>
      <c r="T120" s="8"/>
      <c r="U120" s="8"/>
      <c r="V120" s="8"/>
      <c r="W120" s="8"/>
    </row>
    <row r="121" spans="2:23" s="217" customFormat="1">
      <c r="B121" s="218"/>
      <c r="C121" s="232" t="s">
        <v>184</v>
      </c>
      <c r="D121" s="224" t="s">
        <v>66</v>
      </c>
      <c r="E121" s="225">
        <v>2</v>
      </c>
      <c r="F121" s="229">
        <v>0</v>
      </c>
      <c r="G121" s="230">
        <f t="shared" si="7"/>
        <v>0</v>
      </c>
      <c r="H121" s="8"/>
      <c r="I121" s="8"/>
      <c r="J121" s="8"/>
      <c r="K121" s="8"/>
      <c r="L121" s="8"/>
      <c r="M121" s="8"/>
      <c r="N121" s="8"/>
      <c r="O121" s="8"/>
      <c r="P121" s="8"/>
      <c r="Q121" s="8"/>
      <c r="R121" s="8"/>
      <c r="S121" s="8"/>
      <c r="T121" s="8"/>
      <c r="U121" s="8"/>
      <c r="V121" s="8"/>
      <c r="W121" s="8"/>
    </row>
    <row r="122" spans="2:23" s="217" customFormat="1">
      <c r="B122" s="218"/>
      <c r="C122" s="232" t="s">
        <v>149</v>
      </c>
      <c r="D122" s="224" t="s">
        <v>66</v>
      </c>
      <c r="E122" s="225">
        <v>1</v>
      </c>
      <c r="F122" s="229">
        <v>0</v>
      </c>
      <c r="G122" s="230">
        <f t="shared" si="7"/>
        <v>0</v>
      </c>
      <c r="H122" s="8"/>
      <c r="I122" s="8"/>
      <c r="J122" s="8"/>
      <c r="K122" s="8"/>
      <c r="L122" s="8"/>
      <c r="M122" s="8"/>
      <c r="N122" s="8"/>
      <c r="O122" s="8"/>
      <c r="P122" s="8"/>
      <c r="Q122" s="8"/>
      <c r="R122" s="8"/>
      <c r="S122" s="8"/>
      <c r="T122" s="8"/>
      <c r="U122" s="8"/>
      <c r="V122" s="8"/>
      <c r="W122" s="8"/>
    </row>
    <row r="123" spans="2:23" s="217" customFormat="1">
      <c r="B123" s="218"/>
      <c r="C123" s="232" t="s">
        <v>150</v>
      </c>
      <c r="D123" s="224" t="s">
        <v>66</v>
      </c>
      <c r="E123" s="225">
        <v>1</v>
      </c>
      <c r="F123" s="229">
        <v>0</v>
      </c>
      <c r="G123" s="230">
        <f t="shared" si="7"/>
        <v>0</v>
      </c>
      <c r="H123" s="8"/>
      <c r="I123" s="8"/>
      <c r="J123" s="8"/>
      <c r="K123" s="8"/>
      <c r="L123" s="8"/>
      <c r="M123" s="8"/>
      <c r="N123" s="8"/>
      <c r="O123" s="8"/>
      <c r="P123" s="8"/>
      <c r="Q123" s="8"/>
      <c r="R123" s="8"/>
      <c r="S123" s="8"/>
      <c r="T123" s="8"/>
      <c r="U123" s="8"/>
      <c r="V123" s="8"/>
      <c r="W123" s="8"/>
    </row>
    <row r="124" spans="2:23" s="217" customFormat="1">
      <c r="B124" s="218"/>
      <c r="C124" s="233" t="s">
        <v>135</v>
      </c>
      <c r="D124" s="224" t="s">
        <v>66</v>
      </c>
      <c r="E124" s="225">
        <v>2</v>
      </c>
      <c r="F124" s="229">
        <v>0</v>
      </c>
      <c r="G124" s="230">
        <f t="shared" si="7"/>
        <v>0</v>
      </c>
      <c r="H124" s="8"/>
      <c r="I124" s="8"/>
      <c r="J124" s="8"/>
      <c r="K124" s="8"/>
      <c r="L124" s="8"/>
      <c r="M124" s="8"/>
      <c r="N124" s="8"/>
      <c r="O124" s="8"/>
      <c r="P124" s="8"/>
      <c r="Q124" s="8"/>
      <c r="R124" s="8"/>
      <c r="S124" s="8"/>
      <c r="T124" s="8"/>
      <c r="U124" s="8"/>
      <c r="V124" s="8"/>
      <c r="W124" s="8"/>
    </row>
    <row r="125" spans="2:23" s="217" customFormat="1">
      <c r="B125" s="201" t="s">
        <v>151</v>
      </c>
      <c r="C125" s="212" t="s">
        <v>152</v>
      </c>
      <c r="D125" s="213"/>
      <c r="E125" s="214"/>
      <c r="F125" s="215"/>
      <c r="G125" s="216"/>
      <c r="H125" s="8"/>
      <c r="I125" s="8"/>
      <c r="J125" s="8"/>
      <c r="K125" s="8"/>
      <c r="L125" s="8"/>
      <c r="M125" s="8"/>
      <c r="N125" s="8"/>
      <c r="O125" s="8"/>
      <c r="P125" s="8"/>
      <c r="Q125" s="8"/>
      <c r="R125" s="8"/>
      <c r="S125" s="8"/>
      <c r="T125" s="8"/>
      <c r="U125" s="8"/>
      <c r="V125" s="8"/>
      <c r="W125" s="8"/>
    </row>
    <row r="126" spans="2:23" s="217" customFormat="1">
      <c r="B126" s="218"/>
      <c r="C126" s="212" t="s">
        <v>189</v>
      </c>
      <c r="D126" s="213"/>
      <c r="E126" s="214"/>
      <c r="F126" s="215"/>
      <c r="G126" s="216"/>
      <c r="H126" s="8"/>
      <c r="I126" s="8"/>
      <c r="J126" s="8"/>
      <c r="K126" s="8"/>
      <c r="L126" s="8"/>
      <c r="M126" s="8"/>
      <c r="N126" s="8"/>
      <c r="O126" s="8"/>
      <c r="P126" s="8"/>
      <c r="Q126" s="8"/>
      <c r="R126" s="8"/>
      <c r="S126" s="8"/>
      <c r="T126" s="8"/>
      <c r="U126" s="8"/>
      <c r="V126" s="8"/>
      <c r="W126" s="8"/>
    </row>
    <row r="127" spans="2:23" s="217" customFormat="1">
      <c r="B127" s="218"/>
      <c r="C127" s="219" t="s">
        <v>186</v>
      </c>
      <c r="D127" s="213" t="s">
        <v>66</v>
      </c>
      <c r="E127" s="214">
        <v>1</v>
      </c>
      <c r="F127" s="220">
        <v>0</v>
      </c>
      <c r="G127" s="221">
        <f t="shared" ref="G127:G136" si="8">E127*F127</f>
        <v>0</v>
      </c>
      <c r="H127" s="8"/>
      <c r="I127" s="8"/>
      <c r="J127" s="8"/>
      <c r="K127" s="8"/>
      <c r="L127" s="8"/>
      <c r="M127" s="8"/>
      <c r="N127" s="8"/>
      <c r="O127" s="8"/>
      <c r="P127" s="8"/>
      <c r="Q127" s="8"/>
      <c r="R127" s="8"/>
      <c r="S127" s="8"/>
      <c r="T127" s="8"/>
      <c r="U127" s="8"/>
      <c r="V127" s="8"/>
      <c r="W127" s="8"/>
    </row>
    <row r="128" spans="2:23" s="217" customFormat="1" ht="24" customHeight="1">
      <c r="B128" s="218"/>
      <c r="C128" s="222" t="s">
        <v>154</v>
      </c>
      <c r="D128" s="213" t="s">
        <v>66</v>
      </c>
      <c r="E128" s="214">
        <v>1</v>
      </c>
      <c r="F128" s="220">
        <v>0</v>
      </c>
      <c r="G128" s="221">
        <f t="shared" si="8"/>
        <v>0</v>
      </c>
      <c r="H128" s="8"/>
      <c r="I128" s="8"/>
      <c r="J128" s="8"/>
      <c r="K128" s="8"/>
      <c r="L128" s="8"/>
      <c r="M128" s="8"/>
      <c r="N128" s="8"/>
      <c r="O128" s="8"/>
      <c r="P128" s="8"/>
      <c r="Q128" s="8"/>
      <c r="R128" s="8"/>
      <c r="S128" s="8"/>
      <c r="T128" s="8"/>
      <c r="U128" s="8"/>
      <c r="V128" s="8"/>
      <c r="W128" s="8"/>
    </row>
    <row r="129" spans="2:23" s="217" customFormat="1">
      <c r="B129" s="218"/>
      <c r="C129" s="222" t="s">
        <v>155</v>
      </c>
      <c r="D129" s="213" t="s">
        <v>66</v>
      </c>
      <c r="E129" s="214">
        <v>1</v>
      </c>
      <c r="F129" s="220">
        <v>0</v>
      </c>
      <c r="G129" s="221">
        <f t="shared" si="8"/>
        <v>0</v>
      </c>
      <c r="H129" s="8"/>
      <c r="I129" s="8"/>
      <c r="J129" s="8"/>
      <c r="K129" s="8"/>
      <c r="L129" s="8"/>
      <c r="M129" s="8"/>
      <c r="N129" s="8"/>
      <c r="O129" s="8"/>
      <c r="P129" s="8"/>
      <c r="Q129" s="8"/>
      <c r="R129" s="8"/>
      <c r="S129" s="8"/>
      <c r="T129" s="8"/>
      <c r="U129" s="8"/>
      <c r="V129" s="8"/>
      <c r="W129" s="8"/>
    </row>
    <row r="130" spans="2:23" s="217" customFormat="1">
      <c r="B130" s="218"/>
      <c r="C130" s="222" t="s">
        <v>156</v>
      </c>
      <c r="D130" s="213" t="s">
        <v>66</v>
      </c>
      <c r="E130" s="214">
        <v>1</v>
      </c>
      <c r="F130" s="220">
        <v>0</v>
      </c>
      <c r="G130" s="221">
        <f t="shared" si="8"/>
        <v>0</v>
      </c>
      <c r="H130" s="8"/>
      <c r="I130" s="8"/>
      <c r="J130" s="8"/>
      <c r="K130" s="8"/>
      <c r="L130" s="8"/>
      <c r="M130" s="8"/>
      <c r="N130" s="8"/>
      <c r="O130" s="8"/>
      <c r="P130" s="8"/>
      <c r="Q130" s="8"/>
      <c r="R130" s="8"/>
      <c r="S130" s="8"/>
      <c r="T130" s="8"/>
      <c r="U130" s="8"/>
      <c r="V130" s="8"/>
      <c r="W130" s="8"/>
    </row>
    <row r="131" spans="2:23" s="217" customFormat="1">
      <c r="B131" s="218"/>
      <c r="C131" s="222" t="s">
        <v>157</v>
      </c>
      <c r="D131" s="213" t="s">
        <v>66</v>
      </c>
      <c r="E131" s="214">
        <v>1</v>
      </c>
      <c r="F131" s="220">
        <v>0</v>
      </c>
      <c r="G131" s="221">
        <f t="shared" si="8"/>
        <v>0</v>
      </c>
      <c r="H131" s="8"/>
      <c r="I131" s="8"/>
      <c r="J131" s="8"/>
      <c r="K131" s="8"/>
      <c r="L131" s="8"/>
      <c r="M131" s="8"/>
      <c r="N131" s="8"/>
      <c r="O131" s="8"/>
      <c r="P131" s="8"/>
      <c r="Q131" s="8"/>
      <c r="R131" s="8"/>
      <c r="S131" s="8"/>
      <c r="T131" s="8"/>
      <c r="U131" s="8"/>
      <c r="V131" s="8"/>
      <c r="W131" s="8"/>
    </row>
    <row r="132" spans="2:23" s="217" customFormat="1">
      <c r="B132" s="218"/>
      <c r="C132" s="234" t="s">
        <v>158</v>
      </c>
      <c r="D132" s="213" t="s">
        <v>66</v>
      </c>
      <c r="E132" s="214">
        <v>1</v>
      </c>
      <c r="F132" s="220">
        <v>0</v>
      </c>
      <c r="G132" s="221">
        <f t="shared" si="8"/>
        <v>0</v>
      </c>
      <c r="H132" s="8"/>
      <c r="I132" s="8"/>
      <c r="J132" s="8"/>
      <c r="K132" s="8"/>
      <c r="L132" s="8"/>
      <c r="M132" s="8"/>
      <c r="N132" s="8"/>
      <c r="O132" s="8"/>
      <c r="P132" s="8"/>
      <c r="Q132" s="8"/>
      <c r="R132" s="8"/>
      <c r="S132" s="8"/>
      <c r="T132" s="8"/>
      <c r="U132" s="8"/>
      <c r="V132" s="8"/>
      <c r="W132" s="8"/>
    </row>
    <row r="133" spans="2:23" s="217" customFormat="1">
      <c r="B133" s="218"/>
      <c r="C133" s="234" t="s">
        <v>190</v>
      </c>
      <c r="D133" s="213" t="s">
        <v>66</v>
      </c>
      <c r="E133" s="214">
        <v>1</v>
      </c>
      <c r="F133" s="220">
        <v>0</v>
      </c>
      <c r="G133" s="221">
        <f t="shared" si="8"/>
        <v>0</v>
      </c>
      <c r="H133" s="8"/>
      <c r="I133" s="8"/>
      <c r="J133" s="8"/>
      <c r="K133" s="8"/>
      <c r="L133" s="8"/>
      <c r="M133" s="8"/>
      <c r="N133" s="8"/>
      <c r="O133" s="8"/>
      <c r="P133" s="8"/>
      <c r="Q133" s="8"/>
      <c r="R133" s="8"/>
      <c r="S133" s="8"/>
      <c r="T133" s="8"/>
      <c r="U133" s="8"/>
      <c r="V133" s="8"/>
      <c r="W133" s="8"/>
    </row>
    <row r="134" spans="2:23" s="217" customFormat="1">
      <c r="B134" s="218"/>
      <c r="C134" s="234" t="s">
        <v>184</v>
      </c>
      <c r="D134" s="213" t="s">
        <v>66</v>
      </c>
      <c r="E134" s="214">
        <v>2</v>
      </c>
      <c r="F134" s="220">
        <v>0</v>
      </c>
      <c r="G134" s="221">
        <f t="shared" si="8"/>
        <v>0</v>
      </c>
      <c r="H134" s="8"/>
      <c r="I134" s="8"/>
      <c r="J134" s="8"/>
      <c r="K134" s="8"/>
      <c r="L134" s="8"/>
      <c r="M134" s="8"/>
      <c r="N134" s="8"/>
      <c r="O134" s="8"/>
      <c r="P134" s="8"/>
      <c r="Q134" s="8"/>
      <c r="R134" s="8"/>
      <c r="S134" s="8"/>
      <c r="T134" s="8"/>
      <c r="U134" s="8"/>
      <c r="V134" s="8"/>
      <c r="W134" s="8"/>
    </row>
    <row r="135" spans="2:23" s="217" customFormat="1">
      <c r="B135" s="218"/>
      <c r="C135" s="234" t="s">
        <v>150</v>
      </c>
      <c r="D135" s="213" t="s">
        <v>66</v>
      </c>
      <c r="E135" s="214">
        <v>1</v>
      </c>
      <c r="F135" s="220">
        <v>0</v>
      </c>
      <c r="G135" s="221">
        <f t="shared" si="8"/>
        <v>0</v>
      </c>
      <c r="H135" s="8"/>
      <c r="I135" s="8"/>
      <c r="J135" s="8"/>
      <c r="K135" s="8"/>
      <c r="L135" s="8"/>
      <c r="M135" s="8"/>
      <c r="N135" s="8"/>
      <c r="O135" s="8"/>
      <c r="P135" s="8"/>
      <c r="Q135" s="8"/>
      <c r="R135" s="8"/>
      <c r="S135" s="8"/>
      <c r="T135" s="8"/>
      <c r="U135" s="8"/>
      <c r="V135" s="8"/>
      <c r="W135" s="8"/>
    </row>
    <row r="136" spans="2:23" s="217" customFormat="1">
      <c r="B136" s="218"/>
      <c r="C136" s="235" t="s">
        <v>135</v>
      </c>
      <c r="D136" s="213" t="s">
        <v>66</v>
      </c>
      <c r="E136" s="214">
        <v>1</v>
      </c>
      <c r="F136" s="220">
        <v>0</v>
      </c>
      <c r="G136" s="221">
        <f t="shared" si="8"/>
        <v>0</v>
      </c>
      <c r="H136" s="8"/>
      <c r="I136" s="8"/>
      <c r="J136" s="8"/>
      <c r="K136" s="8"/>
      <c r="L136" s="8"/>
      <c r="M136" s="8"/>
      <c r="N136" s="8"/>
      <c r="O136" s="8"/>
      <c r="P136" s="8"/>
      <c r="Q136" s="8"/>
      <c r="R136" s="8"/>
      <c r="S136" s="8"/>
      <c r="T136" s="8"/>
      <c r="U136" s="8"/>
      <c r="V136" s="8"/>
      <c r="W136" s="8"/>
    </row>
    <row r="137" spans="2:23" s="217" customFormat="1">
      <c r="B137" s="218"/>
      <c r="C137" s="212" t="s">
        <v>153</v>
      </c>
      <c r="D137" s="213"/>
      <c r="E137" s="214"/>
      <c r="F137" s="215"/>
      <c r="G137" s="216"/>
      <c r="H137" s="8"/>
      <c r="I137" s="8"/>
      <c r="J137" s="8"/>
      <c r="K137" s="8"/>
      <c r="L137" s="8"/>
      <c r="M137" s="8"/>
      <c r="N137" s="8"/>
      <c r="O137" s="8"/>
      <c r="P137" s="8"/>
      <c r="Q137" s="8"/>
      <c r="R137" s="8"/>
      <c r="S137" s="8"/>
      <c r="T137" s="8"/>
      <c r="U137" s="8"/>
      <c r="V137" s="8"/>
      <c r="W137" s="8"/>
    </row>
    <row r="138" spans="2:23" s="217" customFormat="1">
      <c r="B138" s="218"/>
      <c r="C138" s="219" t="s">
        <v>129</v>
      </c>
      <c r="D138" s="213" t="s">
        <v>66</v>
      </c>
      <c r="E138" s="214">
        <v>1</v>
      </c>
      <c r="F138" s="220">
        <v>0</v>
      </c>
      <c r="G138" s="221">
        <f t="shared" ref="G138:G156" si="9">E138*F138</f>
        <v>0</v>
      </c>
      <c r="H138" s="8"/>
      <c r="I138" s="8"/>
      <c r="J138" s="8"/>
      <c r="K138" s="8"/>
      <c r="L138" s="8"/>
      <c r="M138" s="8"/>
      <c r="N138" s="8"/>
      <c r="O138" s="8"/>
      <c r="P138" s="8"/>
      <c r="Q138" s="8"/>
      <c r="R138" s="8"/>
      <c r="S138" s="8"/>
      <c r="T138" s="8"/>
      <c r="U138" s="8"/>
      <c r="V138" s="8"/>
      <c r="W138" s="8"/>
    </row>
    <row r="139" spans="2:23" s="217" customFormat="1" ht="24.75" customHeight="1">
      <c r="B139" s="218"/>
      <c r="C139" s="222" t="s">
        <v>154</v>
      </c>
      <c r="D139" s="213" t="s">
        <v>66</v>
      </c>
      <c r="E139" s="214">
        <v>1</v>
      </c>
      <c r="F139" s="220">
        <v>0</v>
      </c>
      <c r="G139" s="221">
        <f t="shared" si="9"/>
        <v>0</v>
      </c>
      <c r="H139" s="8"/>
      <c r="I139" s="8"/>
      <c r="J139" s="8"/>
      <c r="K139" s="8"/>
      <c r="L139" s="8"/>
      <c r="M139" s="8"/>
      <c r="N139" s="8"/>
      <c r="O139" s="8"/>
      <c r="P139" s="8"/>
      <c r="Q139" s="8"/>
      <c r="R139" s="8"/>
      <c r="S139" s="8"/>
      <c r="T139" s="8"/>
      <c r="U139" s="8"/>
      <c r="V139" s="8"/>
      <c r="W139" s="8"/>
    </row>
    <row r="140" spans="2:23" s="217" customFormat="1">
      <c r="B140" s="218"/>
      <c r="C140" s="222" t="s">
        <v>155</v>
      </c>
      <c r="D140" s="213" t="s">
        <v>66</v>
      </c>
      <c r="E140" s="214">
        <v>1</v>
      </c>
      <c r="F140" s="220">
        <v>0</v>
      </c>
      <c r="G140" s="221">
        <f t="shared" si="9"/>
        <v>0</v>
      </c>
      <c r="H140" s="8"/>
      <c r="I140" s="8"/>
      <c r="J140" s="8"/>
      <c r="K140" s="8"/>
      <c r="L140" s="8"/>
      <c r="M140" s="8"/>
      <c r="N140" s="8"/>
      <c r="O140" s="8"/>
      <c r="P140" s="8"/>
      <c r="Q140" s="8"/>
      <c r="R140" s="8"/>
      <c r="S140" s="8"/>
      <c r="T140" s="8"/>
      <c r="U140" s="8"/>
      <c r="V140" s="8"/>
      <c r="W140" s="8"/>
    </row>
    <row r="141" spans="2:23" s="217" customFormat="1">
      <c r="B141" s="218"/>
      <c r="C141" s="222" t="s">
        <v>156</v>
      </c>
      <c r="D141" s="213" t="s">
        <v>66</v>
      </c>
      <c r="E141" s="214">
        <v>1</v>
      </c>
      <c r="F141" s="220">
        <v>0</v>
      </c>
      <c r="G141" s="221">
        <f t="shared" si="9"/>
        <v>0</v>
      </c>
      <c r="H141" s="8"/>
      <c r="I141" s="8"/>
      <c r="J141" s="8"/>
      <c r="K141" s="8"/>
      <c r="L141" s="8"/>
      <c r="M141" s="8"/>
      <c r="N141" s="8"/>
      <c r="O141" s="8"/>
      <c r="P141" s="8"/>
      <c r="Q141" s="8"/>
      <c r="R141" s="8"/>
      <c r="S141" s="8"/>
      <c r="T141" s="8"/>
      <c r="U141" s="8"/>
      <c r="V141" s="8"/>
      <c r="W141" s="8"/>
    </row>
    <row r="142" spans="2:23" s="217" customFormat="1">
      <c r="B142" s="218"/>
      <c r="C142" s="222" t="s">
        <v>157</v>
      </c>
      <c r="D142" s="213" t="s">
        <v>66</v>
      </c>
      <c r="E142" s="214">
        <v>1</v>
      </c>
      <c r="F142" s="220">
        <v>0</v>
      </c>
      <c r="G142" s="221">
        <f t="shared" si="9"/>
        <v>0</v>
      </c>
      <c r="H142" s="8"/>
      <c r="I142" s="8"/>
      <c r="J142" s="8"/>
      <c r="K142" s="8"/>
      <c r="L142" s="8"/>
      <c r="M142" s="8"/>
      <c r="N142" s="8"/>
      <c r="O142" s="8"/>
      <c r="P142" s="8"/>
      <c r="Q142" s="8"/>
      <c r="R142" s="8"/>
      <c r="S142" s="8"/>
      <c r="T142" s="8"/>
      <c r="U142" s="8"/>
      <c r="V142" s="8"/>
      <c r="W142" s="8"/>
    </row>
    <row r="143" spans="2:23" s="217" customFormat="1">
      <c r="B143" s="218"/>
      <c r="C143" s="234" t="s">
        <v>132</v>
      </c>
      <c r="D143" s="213" t="s">
        <v>66</v>
      </c>
      <c r="E143" s="214">
        <v>2</v>
      </c>
      <c r="F143" s="220">
        <v>0</v>
      </c>
      <c r="G143" s="221">
        <f t="shared" si="9"/>
        <v>0</v>
      </c>
      <c r="H143" s="8"/>
      <c r="I143" s="8"/>
      <c r="J143" s="8"/>
      <c r="K143" s="8"/>
      <c r="L143" s="8"/>
      <c r="M143" s="8"/>
      <c r="N143" s="8"/>
      <c r="O143" s="8"/>
      <c r="P143" s="8"/>
      <c r="Q143" s="8"/>
      <c r="R143" s="8"/>
      <c r="S143" s="8"/>
      <c r="T143" s="8"/>
      <c r="U143" s="8"/>
      <c r="V143" s="8"/>
      <c r="W143" s="8"/>
    </row>
    <row r="144" spans="2:23" s="217" customFormat="1">
      <c r="B144" s="218"/>
      <c r="C144" s="234" t="s">
        <v>148</v>
      </c>
      <c r="D144" s="213" t="s">
        <v>66</v>
      </c>
      <c r="E144" s="214">
        <v>2</v>
      </c>
      <c r="F144" s="220">
        <v>0</v>
      </c>
      <c r="G144" s="221">
        <f t="shared" si="9"/>
        <v>0</v>
      </c>
      <c r="H144" s="8"/>
      <c r="I144" s="8"/>
      <c r="J144" s="8"/>
      <c r="K144" s="8"/>
      <c r="L144" s="8"/>
      <c r="M144" s="8"/>
      <c r="N144" s="8"/>
      <c r="O144" s="8"/>
      <c r="P144" s="8"/>
      <c r="Q144" s="8"/>
      <c r="R144" s="8"/>
      <c r="S144" s="8"/>
      <c r="T144" s="8"/>
      <c r="U144" s="8"/>
      <c r="V144" s="8"/>
      <c r="W144" s="8"/>
    </row>
    <row r="145" spans="2:23" s="217" customFormat="1">
      <c r="B145" s="218"/>
      <c r="C145" s="234" t="s">
        <v>150</v>
      </c>
      <c r="D145" s="213" t="s">
        <v>66</v>
      </c>
      <c r="E145" s="214">
        <v>1</v>
      </c>
      <c r="F145" s="220">
        <v>0</v>
      </c>
      <c r="G145" s="221">
        <f t="shared" si="9"/>
        <v>0</v>
      </c>
      <c r="H145" s="8"/>
      <c r="I145" s="8"/>
      <c r="J145" s="8"/>
      <c r="K145" s="8"/>
      <c r="L145" s="8"/>
      <c r="M145" s="8"/>
      <c r="N145" s="8"/>
      <c r="O145" s="8"/>
      <c r="P145" s="8"/>
      <c r="Q145" s="8"/>
      <c r="R145" s="8"/>
      <c r="S145" s="8"/>
      <c r="T145" s="8"/>
      <c r="U145" s="8"/>
      <c r="V145" s="8"/>
      <c r="W145" s="8"/>
    </row>
    <row r="146" spans="2:23" s="217" customFormat="1">
      <c r="B146" s="218"/>
      <c r="C146" s="235" t="s">
        <v>135</v>
      </c>
      <c r="D146" s="213" t="s">
        <v>66</v>
      </c>
      <c r="E146" s="214">
        <v>1</v>
      </c>
      <c r="F146" s="220">
        <v>0</v>
      </c>
      <c r="G146" s="221">
        <f t="shared" si="9"/>
        <v>0</v>
      </c>
      <c r="H146" s="8"/>
      <c r="I146" s="8"/>
      <c r="J146" s="8"/>
      <c r="K146" s="8"/>
      <c r="L146" s="8"/>
      <c r="M146" s="8"/>
      <c r="N146" s="8"/>
      <c r="O146" s="8"/>
      <c r="P146" s="8"/>
      <c r="Q146" s="8"/>
      <c r="R146" s="8"/>
      <c r="S146" s="8"/>
      <c r="T146" s="8"/>
      <c r="U146" s="8"/>
      <c r="V146" s="8"/>
      <c r="W146" s="8"/>
    </row>
    <row r="147" spans="2:23" s="217" customFormat="1">
      <c r="B147" s="201" t="s">
        <v>159</v>
      </c>
      <c r="C147" s="223" t="s">
        <v>160</v>
      </c>
      <c r="D147" s="224"/>
      <c r="E147" s="225"/>
      <c r="F147" s="226"/>
      <c r="G147" s="226"/>
      <c r="H147" s="8"/>
      <c r="I147" s="8"/>
      <c r="J147" s="8"/>
      <c r="K147" s="8"/>
      <c r="L147" s="8"/>
      <c r="M147" s="8"/>
      <c r="N147" s="8"/>
      <c r="O147" s="8"/>
      <c r="P147" s="8"/>
      <c r="Q147" s="8"/>
      <c r="R147" s="8"/>
      <c r="S147" s="8"/>
      <c r="T147" s="8"/>
      <c r="U147" s="8"/>
      <c r="V147" s="8"/>
      <c r="W147" s="8"/>
    </row>
    <row r="148" spans="2:23" s="217" customFormat="1">
      <c r="B148" s="218"/>
      <c r="C148" s="223" t="s">
        <v>191</v>
      </c>
      <c r="D148" s="224"/>
      <c r="E148" s="225"/>
      <c r="F148" s="226"/>
      <c r="G148" s="226"/>
      <c r="H148" s="8"/>
      <c r="I148" s="8"/>
      <c r="J148" s="8"/>
      <c r="K148" s="8"/>
      <c r="L148" s="8"/>
      <c r="M148" s="8"/>
      <c r="N148" s="8"/>
      <c r="O148" s="8"/>
      <c r="P148" s="8"/>
      <c r="Q148" s="8"/>
      <c r="R148" s="8"/>
      <c r="S148" s="8"/>
      <c r="T148" s="8"/>
      <c r="U148" s="8"/>
      <c r="V148" s="8"/>
      <c r="W148" s="8"/>
    </row>
    <row r="149" spans="2:23" s="217" customFormat="1" ht="26.25" customHeight="1">
      <c r="B149" s="218"/>
      <c r="C149" s="228" t="s">
        <v>2069</v>
      </c>
      <c r="D149" s="224" t="s">
        <v>66</v>
      </c>
      <c r="E149" s="225">
        <v>1</v>
      </c>
      <c r="F149" s="229">
        <v>0</v>
      </c>
      <c r="G149" s="230">
        <f t="shared" si="9"/>
        <v>0</v>
      </c>
      <c r="H149" s="8"/>
      <c r="I149" s="8"/>
      <c r="J149" s="8"/>
      <c r="K149" s="8"/>
      <c r="L149" s="8"/>
      <c r="M149" s="8"/>
      <c r="N149" s="8"/>
      <c r="O149" s="8"/>
      <c r="P149" s="8"/>
      <c r="Q149" s="8"/>
      <c r="R149" s="8"/>
      <c r="S149" s="8"/>
      <c r="T149" s="8"/>
      <c r="U149" s="8"/>
      <c r="V149" s="8"/>
      <c r="W149" s="8"/>
    </row>
    <row r="150" spans="2:23" s="217" customFormat="1">
      <c r="B150" s="218"/>
      <c r="C150" s="272" t="s">
        <v>184</v>
      </c>
      <c r="D150" s="224" t="s">
        <v>66</v>
      </c>
      <c r="E150" s="225">
        <v>1</v>
      </c>
      <c r="F150" s="229">
        <v>0</v>
      </c>
      <c r="G150" s="230">
        <f t="shared" si="9"/>
        <v>0</v>
      </c>
      <c r="H150" s="8"/>
      <c r="I150" s="8"/>
      <c r="J150" s="8"/>
      <c r="K150" s="8"/>
      <c r="L150" s="8"/>
      <c r="M150" s="8"/>
      <c r="N150" s="8"/>
      <c r="O150" s="8"/>
      <c r="P150" s="8"/>
      <c r="Q150" s="8"/>
      <c r="R150" s="8"/>
      <c r="S150" s="8"/>
      <c r="T150" s="8"/>
      <c r="U150" s="8"/>
      <c r="V150" s="8"/>
      <c r="W150" s="8"/>
    </row>
    <row r="151" spans="2:23" s="217" customFormat="1">
      <c r="B151" s="218"/>
      <c r="C151" s="272" t="s">
        <v>193</v>
      </c>
      <c r="D151" s="224" t="s">
        <v>66</v>
      </c>
      <c r="E151" s="225">
        <v>2</v>
      </c>
      <c r="F151" s="229">
        <v>0</v>
      </c>
      <c r="G151" s="230">
        <f t="shared" si="9"/>
        <v>0</v>
      </c>
      <c r="H151" s="8"/>
      <c r="I151" s="8"/>
      <c r="J151" s="8"/>
      <c r="K151" s="8"/>
      <c r="L151" s="8"/>
      <c r="M151" s="8"/>
      <c r="N151" s="8"/>
      <c r="O151" s="8"/>
      <c r="P151" s="8"/>
      <c r="Q151" s="8"/>
      <c r="R151" s="8"/>
      <c r="S151" s="8"/>
      <c r="T151" s="8"/>
      <c r="U151" s="8"/>
      <c r="V151" s="8"/>
      <c r="W151" s="8"/>
    </row>
    <row r="152" spans="2:23" s="217" customFormat="1">
      <c r="B152" s="218"/>
      <c r="C152" s="228" t="s">
        <v>187</v>
      </c>
      <c r="D152" s="224" t="s">
        <v>66</v>
      </c>
      <c r="E152" s="225">
        <v>2</v>
      </c>
      <c r="F152" s="229">
        <v>0</v>
      </c>
      <c r="G152" s="230">
        <f t="shared" si="9"/>
        <v>0</v>
      </c>
      <c r="H152" s="8"/>
      <c r="I152" s="8"/>
      <c r="J152" s="8"/>
      <c r="K152" s="8"/>
      <c r="L152" s="8"/>
      <c r="M152" s="8"/>
      <c r="N152" s="8"/>
      <c r="O152" s="8"/>
      <c r="P152" s="8"/>
      <c r="Q152" s="8"/>
      <c r="R152" s="8"/>
      <c r="S152" s="8"/>
      <c r="T152" s="8"/>
      <c r="U152" s="8"/>
      <c r="V152" s="8"/>
      <c r="W152" s="8"/>
    </row>
    <row r="153" spans="2:23" s="217" customFormat="1">
      <c r="B153" s="218"/>
      <c r="C153" s="232" t="s">
        <v>132</v>
      </c>
      <c r="D153" s="224" t="s">
        <v>66</v>
      </c>
      <c r="E153" s="225">
        <v>2</v>
      </c>
      <c r="F153" s="229">
        <v>0</v>
      </c>
      <c r="G153" s="230">
        <f t="shared" si="9"/>
        <v>0</v>
      </c>
      <c r="H153" s="8"/>
      <c r="I153" s="8"/>
      <c r="J153" s="8"/>
      <c r="K153" s="8"/>
      <c r="L153" s="8"/>
      <c r="M153" s="8"/>
      <c r="N153" s="8"/>
      <c r="O153" s="8"/>
      <c r="P153" s="8"/>
      <c r="Q153" s="8"/>
      <c r="R153" s="8"/>
      <c r="S153" s="8"/>
      <c r="T153" s="8"/>
      <c r="U153" s="8"/>
      <c r="V153" s="8"/>
      <c r="W153" s="8"/>
    </row>
    <row r="154" spans="2:23" s="217" customFormat="1">
      <c r="B154" s="218"/>
      <c r="C154" s="232" t="s">
        <v>148</v>
      </c>
      <c r="D154" s="224" t="s">
        <v>66</v>
      </c>
      <c r="E154" s="225">
        <v>2</v>
      </c>
      <c r="F154" s="229">
        <v>0</v>
      </c>
      <c r="G154" s="230">
        <f t="shared" si="9"/>
        <v>0</v>
      </c>
      <c r="H154" s="8"/>
      <c r="I154" s="8"/>
      <c r="J154" s="8"/>
      <c r="K154" s="8"/>
      <c r="L154" s="8"/>
      <c r="M154" s="8"/>
      <c r="N154" s="8"/>
      <c r="O154" s="8"/>
      <c r="P154" s="8"/>
      <c r="Q154" s="8"/>
      <c r="R154" s="8"/>
      <c r="S154" s="8"/>
      <c r="T154" s="8"/>
      <c r="U154" s="8"/>
      <c r="V154" s="8"/>
      <c r="W154" s="8"/>
    </row>
    <row r="155" spans="2:23" s="217" customFormat="1">
      <c r="B155" s="218"/>
      <c r="C155" s="272" t="s">
        <v>150</v>
      </c>
      <c r="D155" s="224" t="s">
        <v>66</v>
      </c>
      <c r="E155" s="225">
        <v>3</v>
      </c>
      <c r="F155" s="229">
        <v>0</v>
      </c>
      <c r="G155" s="230">
        <f t="shared" si="9"/>
        <v>0</v>
      </c>
      <c r="H155" s="8"/>
      <c r="I155" s="8"/>
      <c r="J155" s="8"/>
      <c r="K155" s="8"/>
      <c r="L155" s="8"/>
      <c r="M155" s="8"/>
      <c r="N155" s="8"/>
      <c r="O155" s="8"/>
      <c r="P155" s="8"/>
      <c r="Q155" s="8"/>
      <c r="R155" s="8"/>
      <c r="S155" s="8"/>
      <c r="T155" s="8"/>
      <c r="U155" s="8"/>
      <c r="V155" s="8"/>
      <c r="W155" s="8"/>
    </row>
    <row r="156" spans="2:23" s="217" customFormat="1">
      <c r="B156" s="218"/>
      <c r="C156" s="273" t="s">
        <v>135</v>
      </c>
      <c r="D156" s="224" t="s">
        <v>66</v>
      </c>
      <c r="E156" s="225">
        <v>3</v>
      </c>
      <c r="F156" s="229">
        <v>0</v>
      </c>
      <c r="G156" s="230">
        <f t="shared" si="9"/>
        <v>0</v>
      </c>
      <c r="H156" s="8"/>
      <c r="I156" s="8"/>
      <c r="J156" s="8"/>
      <c r="K156" s="8"/>
      <c r="L156" s="8"/>
      <c r="M156" s="8"/>
      <c r="N156" s="8"/>
      <c r="O156" s="8"/>
      <c r="P156" s="8"/>
      <c r="Q156" s="8"/>
      <c r="R156" s="8"/>
      <c r="S156" s="8"/>
      <c r="T156" s="8"/>
      <c r="U156" s="8"/>
      <c r="V156" s="8"/>
      <c r="W156" s="8"/>
    </row>
    <row r="157" spans="2:23" s="217" customFormat="1">
      <c r="B157" s="218"/>
      <c r="C157" s="223" t="s">
        <v>194</v>
      </c>
      <c r="D157" s="224"/>
      <c r="E157" s="225"/>
      <c r="F157" s="226"/>
      <c r="G157" s="227"/>
      <c r="H157" s="8"/>
      <c r="I157" s="8"/>
      <c r="J157" s="8"/>
      <c r="K157" s="8"/>
      <c r="L157" s="8"/>
      <c r="M157" s="8"/>
      <c r="N157" s="8"/>
      <c r="O157" s="8"/>
      <c r="P157" s="8"/>
      <c r="Q157" s="8"/>
      <c r="R157" s="8"/>
      <c r="S157" s="8"/>
      <c r="T157" s="8"/>
      <c r="U157" s="8"/>
      <c r="V157" s="8"/>
      <c r="W157" s="8"/>
    </row>
    <row r="158" spans="2:23" s="217" customFormat="1" ht="27" customHeight="1">
      <c r="B158" s="218"/>
      <c r="C158" s="228" t="s">
        <v>2068</v>
      </c>
      <c r="D158" s="224" t="s">
        <v>66</v>
      </c>
      <c r="E158" s="225">
        <v>1</v>
      </c>
      <c r="F158" s="229">
        <v>0</v>
      </c>
      <c r="G158" s="230">
        <f t="shared" ref="G158:G163" si="10">E158*F158</f>
        <v>0</v>
      </c>
      <c r="H158" s="8"/>
      <c r="I158" s="8"/>
      <c r="J158" s="8"/>
      <c r="K158" s="8"/>
      <c r="L158" s="8"/>
      <c r="M158" s="8"/>
      <c r="N158" s="8"/>
      <c r="O158" s="8"/>
      <c r="P158" s="8"/>
      <c r="Q158" s="8"/>
      <c r="R158" s="8"/>
      <c r="S158" s="8"/>
      <c r="T158" s="8"/>
      <c r="U158" s="8"/>
      <c r="V158" s="8"/>
      <c r="W158" s="8"/>
    </row>
    <row r="159" spans="2:23" s="217" customFormat="1">
      <c r="B159" s="218"/>
      <c r="C159" s="236" t="s">
        <v>162</v>
      </c>
      <c r="D159" s="224" t="s">
        <v>66</v>
      </c>
      <c r="E159" s="225">
        <v>2</v>
      </c>
      <c r="F159" s="229">
        <v>0</v>
      </c>
      <c r="G159" s="230">
        <f t="shared" si="10"/>
        <v>0</v>
      </c>
      <c r="H159" s="8"/>
      <c r="I159" s="8"/>
      <c r="J159" s="8"/>
      <c r="K159" s="8"/>
      <c r="L159" s="8"/>
      <c r="M159" s="8"/>
      <c r="N159" s="8"/>
      <c r="O159" s="8"/>
      <c r="P159" s="8"/>
      <c r="Q159" s="8"/>
      <c r="R159" s="8"/>
      <c r="S159" s="8"/>
      <c r="T159" s="8"/>
      <c r="U159" s="8"/>
      <c r="V159" s="8"/>
      <c r="W159" s="8"/>
    </row>
    <row r="160" spans="2:23" s="217" customFormat="1">
      <c r="B160" s="218"/>
      <c r="C160" s="236" t="s">
        <v>184</v>
      </c>
      <c r="D160" s="224" t="s">
        <v>66</v>
      </c>
      <c r="E160" s="225">
        <v>1</v>
      </c>
      <c r="F160" s="229">
        <v>0</v>
      </c>
      <c r="G160" s="230">
        <f t="shared" si="10"/>
        <v>0</v>
      </c>
      <c r="H160" s="8"/>
      <c r="I160" s="8"/>
      <c r="J160" s="8"/>
      <c r="K160" s="8"/>
      <c r="L160" s="8"/>
      <c r="M160" s="8"/>
      <c r="N160" s="8"/>
      <c r="O160" s="8"/>
      <c r="P160" s="8"/>
      <c r="Q160" s="8"/>
      <c r="R160" s="8"/>
      <c r="S160" s="8"/>
      <c r="T160" s="8"/>
      <c r="U160" s="8"/>
      <c r="V160" s="8"/>
      <c r="W160" s="8"/>
    </row>
    <row r="161" spans="2:23" s="217" customFormat="1">
      <c r="B161" s="218"/>
      <c r="C161" s="236" t="s">
        <v>195</v>
      </c>
      <c r="D161" s="224" t="s">
        <v>66</v>
      </c>
      <c r="E161" s="225">
        <v>2</v>
      </c>
      <c r="F161" s="229">
        <v>0</v>
      </c>
      <c r="G161" s="230">
        <f t="shared" si="10"/>
        <v>0</v>
      </c>
      <c r="H161" s="8"/>
      <c r="I161" s="8"/>
      <c r="J161" s="8"/>
      <c r="K161" s="8"/>
      <c r="L161" s="8"/>
      <c r="M161" s="8"/>
      <c r="N161" s="8"/>
      <c r="O161" s="8"/>
      <c r="P161" s="8"/>
      <c r="Q161" s="8"/>
      <c r="R161" s="8"/>
      <c r="S161" s="8"/>
      <c r="T161" s="8"/>
      <c r="U161" s="8"/>
      <c r="V161" s="8"/>
      <c r="W161" s="8"/>
    </row>
    <row r="162" spans="2:23" s="217" customFormat="1">
      <c r="B162" s="218"/>
      <c r="C162" s="236" t="s">
        <v>150</v>
      </c>
      <c r="D162" s="224" t="s">
        <v>66</v>
      </c>
      <c r="E162" s="225">
        <v>1</v>
      </c>
      <c r="F162" s="229">
        <v>0</v>
      </c>
      <c r="G162" s="230">
        <f t="shared" si="10"/>
        <v>0</v>
      </c>
      <c r="H162" s="8"/>
      <c r="I162" s="8"/>
      <c r="J162" s="8"/>
      <c r="K162" s="8"/>
      <c r="L162" s="8"/>
      <c r="M162" s="8"/>
      <c r="N162" s="8"/>
      <c r="O162" s="8"/>
      <c r="P162" s="8"/>
      <c r="Q162" s="8"/>
      <c r="R162" s="8"/>
      <c r="S162" s="8"/>
      <c r="T162" s="8"/>
      <c r="U162" s="8"/>
      <c r="V162" s="8"/>
      <c r="W162" s="8"/>
    </row>
    <row r="163" spans="2:23" s="217" customFormat="1">
      <c r="B163" s="218"/>
      <c r="C163" s="237" t="s">
        <v>135</v>
      </c>
      <c r="D163" s="224" t="s">
        <v>66</v>
      </c>
      <c r="E163" s="225">
        <v>1</v>
      </c>
      <c r="F163" s="229">
        <v>0</v>
      </c>
      <c r="G163" s="230">
        <f t="shared" si="10"/>
        <v>0</v>
      </c>
      <c r="H163" s="8"/>
      <c r="I163" s="8"/>
      <c r="J163" s="8"/>
      <c r="K163" s="8"/>
      <c r="L163" s="8"/>
      <c r="M163" s="8"/>
      <c r="N163" s="8"/>
      <c r="O163" s="8"/>
      <c r="P163" s="8"/>
      <c r="Q163" s="8"/>
      <c r="R163" s="8"/>
      <c r="S163" s="8"/>
      <c r="T163" s="8"/>
      <c r="U163" s="8"/>
      <c r="V163" s="8"/>
      <c r="W163" s="8"/>
    </row>
    <row r="164" spans="2:23" s="217" customFormat="1">
      <c r="B164" s="218"/>
      <c r="C164" s="223" t="s">
        <v>196</v>
      </c>
      <c r="D164" s="224"/>
      <c r="E164" s="225"/>
      <c r="F164" s="226"/>
      <c r="G164" s="227"/>
      <c r="H164" s="8"/>
      <c r="I164" s="8"/>
      <c r="J164" s="8"/>
      <c r="K164" s="8"/>
      <c r="L164" s="8"/>
      <c r="M164" s="8"/>
      <c r="N164" s="8"/>
      <c r="O164" s="8"/>
      <c r="P164" s="8"/>
      <c r="Q164" s="8"/>
      <c r="R164" s="8"/>
      <c r="S164" s="8"/>
      <c r="T164" s="8"/>
      <c r="U164" s="8"/>
      <c r="V164" s="8"/>
      <c r="W164" s="8"/>
    </row>
    <row r="165" spans="2:23" s="217" customFormat="1" ht="24.75" customHeight="1">
      <c r="B165" s="218"/>
      <c r="C165" s="228" t="s">
        <v>2067</v>
      </c>
      <c r="D165" s="224" t="s">
        <v>66</v>
      </c>
      <c r="E165" s="225">
        <v>1</v>
      </c>
      <c r="F165" s="229">
        <v>0</v>
      </c>
      <c r="G165" s="230">
        <f t="shared" ref="G165:G169" si="11">E165*F165</f>
        <v>0</v>
      </c>
      <c r="H165" s="8"/>
      <c r="I165" s="8"/>
      <c r="J165" s="8"/>
      <c r="K165" s="8"/>
      <c r="L165" s="8"/>
      <c r="M165" s="8"/>
      <c r="N165" s="8"/>
      <c r="O165" s="8"/>
      <c r="P165" s="8"/>
      <c r="Q165" s="8"/>
      <c r="R165" s="8"/>
      <c r="S165" s="8"/>
      <c r="T165" s="8"/>
      <c r="U165" s="8"/>
      <c r="V165" s="8"/>
      <c r="W165" s="8"/>
    </row>
    <row r="166" spans="2:23" s="217" customFormat="1">
      <c r="B166" s="218"/>
      <c r="C166" s="232" t="s">
        <v>132</v>
      </c>
      <c r="D166" s="224" t="s">
        <v>66</v>
      </c>
      <c r="E166" s="225">
        <v>3</v>
      </c>
      <c r="F166" s="229">
        <v>0</v>
      </c>
      <c r="G166" s="230">
        <f t="shared" si="11"/>
        <v>0</v>
      </c>
      <c r="H166" s="8"/>
      <c r="I166" s="8"/>
      <c r="J166" s="8"/>
      <c r="K166" s="8"/>
      <c r="L166" s="8"/>
      <c r="M166" s="8"/>
      <c r="N166" s="8"/>
      <c r="O166" s="8"/>
      <c r="P166" s="8"/>
      <c r="Q166" s="8"/>
      <c r="R166" s="8"/>
      <c r="S166" s="8"/>
      <c r="T166" s="8"/>
      <c r="U166" s="8"/>
      <c r="V166" s="8"/>
      <c r="W166" s="8"/>
    </row>
    <row r="167" spans="2:23" s="217" customFormat="1">
      <c r="B167" s="218"/>
      <c r="C167" s="232" t="s">
        <v>148</v>
      </c>
      <c r="D167" s="224" t="s">
        <v>66</v>
      </c>
      <c r="E167" s="225">
        <v>3</v>
      </c>
      <c r="F167" s="229">
        <v>0</v>
      </c>
      <c r="G167" s="230">
        <f t="shared" si="11"/>
        <v>0</v>
      </c>
      <c r="H167" s="8"/>
      <c r="I167" s="8"/>
      <c r="J167" s="8"/>
      <c r="K167" s="8"/>
      <c r="L167" s="8"/>
      <c r="M167" s="8"/>
      <c r="N167" s="8"/>
      <c r="O167" s="8"/>
      <c r="P167" s="8"/>
      <c r="Q167" s="8"/>
      <c r="R167" s="8"/>
      <c r="S167" s="8"/>
      <c r="T167" s="8"/>
      <c r="U167" s="8"/>
      <c r="V167" s="8"/>
      <c r="W167" s="8"/>
    </row>
    <row r="168" spans="2:23" s="217" customFormat="1">
      <c r="B168" s="218"/>
      <c r="C168" s="232" t="s">
        <v>150</v>
      </c>
      <c r="D168" s="224" t="s">
        <v>66</v>
      </c>
      <c r="E168" s="225">
        <v>1</v>
      </c>
      <c r="F168" s="229">
        <v>0</v>
      </c>
      <c r="G168" s="230">
        <f t="shared" si="11"/>
        <v>0</v>
      </c>
      <c r="H168" s="8"/>
      <c r="I168" s="8"/>
      <c r="J168" s="8"/>
      <c r="K168" s="8"/>
      <c r="L168" s="8"/>
      <c r="M168" s="8"/>
      <c r="N168" s="8"/>
      <c r="O168" s="8"/>
      <c r="P168" s="8"/>
      <c r="Q168" s="8"/>
      <c r="R168" s="8"/>
      <c r="S168" s="8"/>
      <c r="T168" s="8"/>
      <c r="U168" s="8"/>
      <c r="V168" s="8"/>
      <c r="W168" s="8"/>
    </row>
    <row r="169" spans="2:23" s="217" customFormat="1">
      <c r="B169" s="218"/>
      <c r="C169" s="233" t="s">
        <v>135</v>
      </c>
      <c r="D169" s="224" t="s">
        <v>66</v>
      </c>
      <c r="E169" s="225">
        <v>1</v>
      </c>
      <c r="F169" s="229">
        <v>0</v>
      </c>
      <c r="G169" s="230">
        <f t="shared" si="11"/>
        <v>0</v>
      </c>
      <c r="H169" s="8"/>
      <c r="I169" s="8"/>
      <c r="J169" s="8"/>
      <c r="K169" s="8"/>
      <c r="L169" s="8"/>
      <c r="M169" s="8"/>
      <c r="N169" s="8"/>
      <c r="O169" s="8"/>
      <c r="P169" s="8"/>
      <c r="Q169" s="8"/>
      <c r="R169" s="8"/>
      <c r="S169" s="8"/>
      <c r="T169" s="8"/>
      <c r="U169" s="8"/>
      <c r="V169" s="8"/>
      <c r="W169" s="8"/>
    </row>
    <row r="170" spans="2:23" s="217" customFormat="1">
      <c r="B170" s="218"/>
      <c r="C170" s="223" t="s">
        <v>164</v>
      </c>
      <c r="D170" s="224"/>
      <c r="E170" s="225"/>
      <c r="F170" s="226"/>
      <c r="G170" s="227"/>
      <c r="H170" s="8"/>
      <c r="I170" s="8"/>
      <c r="J170" s="8"/>
      <c r="K170" s="8"/>
      <c r="L170" s="8"/>
      <c r="M170" s="8"/>
      <c r="N170" s="8"/>
      <c r="O170" s="8"/>
      <c r="P170" s="8"/>
      <c r="Q170" s="8"/>
      <c r="R170" s="8"/>
      <c r="S170" s="8"/>
      <c r="T170" s="8"/>
      <c r="U170" s="8"/>
      <c r="V170" s="8"/>
      <c r="W170" s="8"/>
    </row>
    <row r="171" spans="2:23" s="217" customFormat="1" ht="28.5" customHeight="1">
      <c r="B171" s="218"/>
      <c r="C171" s="228" t="s">
        <v>2066</v>
      </c>
      <c r="D171" s="224" t="s">
        <v>66</v>
      </c>
      <c r="E171" s="225">
        <v>1</v>
      </c>
      <c r="F171" s="229">
        <v>0</v>
      </c>
      <c r="G171" s="230">
        <f t="shared" ref="G171:G177" si="12">E171*F171</f>
        <v>0</v>
      </c>
      <c r="H171" s="8"/>
      <c r="I171" s="8"/>
      <c r="J171" s="8"/>
      <c r="K171" s="8"/>
      <c r="L171" s="8"/>
      <c r="M171" s="8"/>
      <c r="N171" s="8"/>
      <c r="O171" s="8"/>
      <c r="P171" s="8"/>
      <c r="Q171" s="8"/>
      <c r="R171" s="8"/>
      <c r="S171" s="8"/>
      <c r="T171" s="8"/>
      <c r="U171" s="8"/>
      <c r="V171" s="8"/>
      <c r="W171" s="8"/>
    </row>
    <row r="172" spans="2:23" s="217" customFormat="1">
      <c r="B172" s="218"/>
      <c r="C172" s="232" t="s">
        <v>132</v>
      </c>
      <c r="D172" s="224" t="s">
        <v>66</v>
      </c>
      <c r="E172" s="225">
        <v>2</v>
      </c>
      <c r="F172" s="229">
        <v>0</v>
      </c>
      <c r="G172" s="230">
        <f t="shared" si="12"/>
        <v>0</v>
      </c>
      <c r="H172" s="8"/>
      <c r="I172" s="8"/>
      <c r="J172" s="8"/>
      <c r="K172" s="8"/>
      <c r="L172" s="8"/>
      <c r="M172" s="8"/>
      <c r="N172" s="8"/>
      <c r="O172" s="8"/>
      <c r="P172" s="8"/>
      <c r="Q172" s="8"/>
      <c r="R172" s="8"/>
      <c r="S172" s="8"/>
      <c r="T172" s="8"/>
      <c r="U172" s="8"/>
      <c r="V172" s="8"/>
      <c r="W172" s="8"/>
    </row>
    <row r="173" spans="2:23" s="217" customFormat="1">
      <c r="B173" s="218"/>
      <c r="C173" s="232" t="s">
        <v>166</v>
      </c>
      <c r="D173" s="224" t="s">
        <v>66</v>
      </c>
      <c r="E173" s="225">
        <v>1</v>
      </c>
      <c r="F173" s="229">
        <v>0</v>
      </c>
      <c r="G173" s="230">
        <f t="shared" si="12"/>
        <v>0</v>
      </c>
      <c r="H173" s="8"/>
      <c r="I173" s="8"/>
      <c r="J173" s="8"/>
      <c r="K173" s="8"/>
      <c r="L173" s="8"/>
      <c r="M173" s="8"/>
      <c r="N173" s="8"/>
      <c r="O173" s="8"/>
      <c r="P173" s="8"/>
      <c r="Q173" s="8"/>
      <c r="R173" s="8"/>
      <c r="S173" s="8"/>
      <c r="T173" s="8"/>
      <c r="U173" s="8"/>
      <c r="V173" s="8"/>
      <c r="W173" s="8"/>
    </row>
    <row r="174" spans="2:23" s="217" customFormat="1">
      <c r="B174" s="218"/>
      <c r="C174" s="232" t="s">
        <v>148</v>
      </c>
      <c r="D174" s="224" t="s">
        <v>66</v>
      </c>
      <c r="E174" s="225">
        <v>2</v>
      </c>
      <c r="F174" s="229">
        <v>0</v>
      </c>
      <c r="G174" s="230">
        <f t="shared" si="12"/>
        <v>0</v>
      </c>
      <c r="H174" s="8"/>
      <c r="I174" s="8"/>
      <c r="J174" s="8"/>
      <c r="K174" s="8"/>
      <c r="L174" s="8"/>
      <c r="M174" s="8"/>
      <c r="N174" s="8"/>
      <c r="O174" s="8"/>
      <c r="P174" s="8"/>
      <c r="Q174" s="8"/>
      <c r="R174" s="8"/>
      <c r="S174" s="8"/>
      <c r="T174" s="8"/>
      <c r="U174" s="8"/>
      <c r="V174" s="8"/>
      <c r="W174" s="8"/>
    </row>
    <row r="175" spans="2:23" s="217" customFormat="1">
      <c r="B175" s="218"/>
      <c r="C175" s="232" t="s">
        <v>167</v>
      </c>
      <c r="D175" s="224" t="s">
        <v>66</v>
      </c>
      <c r="E175" s="225">
        <v>1</v>
      </c>
      <c r="F175" s="229">
        <v>0</v>
      </c>
      <c r="G175" s="230">
        <f t="shared" si="12"/>
        <v>0</v>
      </c>
      <c r="H175" s="8"/>
      <c r="I175" s="8"/>
      <c r="J175" s="8"/>
      <c r="K175" s="8"/>
      <c r="L175" s="8"/>
      <c r="M175" s="8"/>
      <c r="N175" s="8"/>
      <c r="O175" s="8"/>
      <c r="P175" s="8"/>
      <c r="Q175" s="8"/>
      <c r="R175" s="8"/>
      <c r="S175" s="8"/>
      <c r="T175" s="8"/>
      <c r="U175" s="8"/>
      <c r="V175" s="8"/>
      <c r="W175" s="8"/>
    </row>
    <row r="176" spans="2:23" s="217" customFormat="1">
      <c r="B176" s="218"/>
      <c r="C176" s="232" t="s">
        <v>150</v>
      </c>
      <c r="D176" s="224" t="s">
        <v>66</v>
      </c>
      <c r="E176" s="225">
        <v>1</v>
      </c>
      <c r="F176" s="229">
        <v>0</v>
      </c>
      <c r="G176" s="230">
        <f t="shared" si="12"/>
        <v>0</v>
      </c>
      <c r="H176" s="8"/>
      <c r="I176" s="8"/>
      <c r="J176" s="8"/>
      <c r="K176" s="8"/>
      <c r="L176" s="8"/>
      <c r="M176" s="8"/>
      <c r="N176" s="8"/>
      <c r="O176" s="8"/>
      <c r="P176" s="8"/>
      <c r="Q176" s="8"/>
      <c r="R176" s="8"/>
      <c r="S176" s="8"/>
      <c r="T176" s="8"/>
      <c r="U176" s="8"/>
      <c r="V176" s="8"/>
      <c r="W176" s="8"/>
    </row>
    <row r="177" spans="2:23" s="217" customFormat="1">
      <c r="B177" s="218"/>
      <c r="C177" s="233" t="s">
        <v>135</v>
      </c>
      <c r="D177" s="224" t="s">
        <v>66</v>
      </c>
      <c r="E177" s="225">
        <v>1</v>
      </c>
      <c r="F177" s="229">
        <v>0</v>
      </c>
      <c r="G177" s="230">
        <f t="shared" si="12"/>
        <v>0</v>
      </c>
      <c r="H177" s="8"/>
      <c r="I177" s="8"/>
      <c r="J177" s="8"/>
      <c r="K177" s="8"/>
      <c r="L177" s="8"/>
      <c r="M177" s="8"/>
      <c r="N177" s="8"/>
      <c r="O177" s="8"/>
      <c r="P177" s="8"/>
      <c r="Q177" s="8"/>
      <c r="R177" s="8"/>
      <c r="S177" s="8"/>
      <c r="T177" s="8"/>
      <c r="U177" s="8"/>
      <c r="V177" s="8"/>
      <c r="W177" s="8"/>
    </row>
    <row r="178" spans="2:23" s="217" customFormat="1">
      <c r="B178" s="201" t="s">
        <v>168</v>
      </c>
      <c r="C178" s="238" t="s">
        <v>169</v>
      </c>
      <c r="D178" s="239"/>
      <c r="E178" s="240"/>
      <c r="F178" s="241"/>
      <c r="G178" s="242"/>
      <c r="H178" s="8"/>
      <c r="I178" s="8"/>
      <c r="J178" s="8"/>
      <c r="K178" s="8"/>
      <c r="L178" s="8"/>
      <c r="M178" s="8"/>
      <c r="N178" s="8"/>
      <c r="O178" s="8"/>
      <c r="P178" s="8"/>
      <c r="Q178" s="8"/>
      <c r="R178" s="8"/>
      <c r="S178" s="8"/>
      <c r="T178" s="8"/>
      <c r="U178" s="8"/>
      <c r="V178" s="8"/>
      <c r="W178" s="8"/>
    </row>
    <row r="179" spans="2:23" s="217" customFormat="1">
      <c r="B179" s="218"/>
      <c r="C179" s="238" t="s">
        <v>198</v>
      </c>
      <c r="D179" s="239"/>
      <c r="E179" s="240"/>
      <c r="F179" s="241"/>
      <c r="G179" s="242"/>
      <c r="H179" s="8"/>
      <c r="I179" s="8"/>
      <c r="J179" s="8"/>
      <c r="K179" s="8"/>
      <c r="L179" s="8"/>
      <c r="M179" s="8"/>
      <c r="N179" s="8"/>
      <c r="O179" s="8"/>
      <c r="P179" s="8"/>
      <c r="Q179" s="8"/>
      <c r="R179" s="8"/>
      <c r="S179" s="8"/>
      <c r="T179" s="8"/>
      <c r="U179" s="8"/>
      <c r="V179" s="8"/>
      <c r="W179" s="8"/>
    </row>
    <row r="180" spans="2:23" s="217" customFormat="1" ht="36">
      <c r="B180" s="218"/>
      <c r="C180" s="243" t="s">
        <v>2065</v>
      </c>
      <c r="D180" s="239" t="s">
        <v>66</v>
      </c>
      <c r="E180" s="240">
        <v>2</v>
      </c>
      <c r="F180" s="244">
        <v>0</v>
      </c>
      <c r="G180" s="245">
        <f t="shared" ref="G180:G182" si="13">E180*F180</f>
        <v>0</v>
      </c>
      <c r="H180" s="8"/>
      <c r="I180" s="8"/>
      <c r="J180" s="8"/>
      <c r="K180" s="8"/>
      <c r="L180" s="8"/>
      <c r="M180" s="8"/>
      <c r="N180" s="8"/>
      <c r="O180" s="8"/>
      <c r="P180" s="8"/>
      <c r="Q180" s="8"/>
      <c r="R180" s="8"/>
      <c r="S180" s="8"/>
      <c r="T180" s="8"/>
      <c r="U180" s="8"/>
      <c r="V180" s="8"/>
      <c r="W180" s="8"/>
    </row>
    <row r="181" spans="2:23" s="217" customFormat="1">
      <c r="B181" s="218"/>
      <c r="C181" s="246" t="s">
        <v>171</v>
      </c>
      <c r="D181" s="239" t="s">
        <v>66</v>
      </c>
      <c r="E181" s="240">
        <v>2</v>
      </c>
      <c r="F181" s="244">
        <v>0</v>
      </c>
      <c r="G181" s="245">
        <f t="shared" si="13"/>
        <v>0</v>
      </c>
      <c r="H181" s="8"/>
      <c r="I181" s="8"/>
      <c r="J181" s="8"/>
      <c r="K181" s="8"/>
      <c r="L181" s="8"/>
      <c r="M181" s="8"/>
      <c r="N181" s="8"/>
      <c r="O181" s="8"/>
      <c r="P181" s="8"/>
      <c r="Q181" s="8"/>
      <c r="R181" s="8"/>
      <c r="S181" s="8"/>
      <c r="T181" s="8"/>
      <c r="U181" s="8"/>
      <c r="V181" s="8"/>
      <c r="W181" s="8"/>
    </row>
    <row r="182" spans="2:23" s="217" customFormat="1">
      <c r="B182" s="218"/>
      <c r="C182" s="247" t="s">
        <v>135</v>
      </c>
      <c r="D182" s="239" t="s">
        <v>66</v>
      </c>
      <c r="E182" s="240">
        <v>2</v>
      </c>
      <c r="F182" s="244">
        <v>0</v>
      </c>
      <c r="G182" s="245">
        <f t="shared" si="13"/>
        <v>0</v>
      </c>
      <c r="H182" s="8"/>
      <c r="I182" s="8"/>
      <c r="J182" s="8"/>
      <c r="K182" s="8"/>
      <c r="L182" s="8"/>
      <c r="M182" s="8"/>
      <c r="N182" s="8"/>
      <c r="O182" s="8"/>
      <c r="P182" s="8"/>
      <c r="Q182" s="8"/>
      <c r="R182" s="8"/>
      <c r="S182" s="8"/>
      <c r="T182" s="8"/>
      <c r="U182" s="8"/>
      <c r="V182" s="8"/>
      <c r="W182" s="8"/>
    </row>
    <row r="183" spans="2:23" s="217" customFormat="1">
      <c r="B183" s="218"/>
      <c r="C183" s="238" t="s">
        <v>170</v>
      </c>
      <c r="D183" s="239"/>
      <c r="E183" s="240"/>
      <c r="F183" s="241"/>
      <c r="G183" s="242"/>
      <c r="H183" s="8"/>
      <c r="I183" s="8"/>
      <c r="J183" s="8"/>
      <c r="K183" s="8"/>
      <c r="L183" s="8"/>
      <c r="M183" s="8"/>
      <c r="N183" s="8"/>
      <c r="O183" s="8"/>
      <c r="P183" s="8"/>
      <c r="Q183" s="8"/>
      <c r="R183" s="8"/>
      <c r="S183" s="8"/>
      <c r="T183" s="8"/>
      <c r="U183" s="8"/>
      <c r="V183" s="8"/>
      <c r="W183" s="8"/>
    </row>
    <row r="184" spans="2:23" s="217" customFormat="1" ht="36">
      <c r="B184" s="218"/>
      <c r="C184" s="243" t="s">
        <v>2063</v>
      </c>
      <c r="D184" s="239" t="s">
        <v>66</v>
      </c>
      <c r="E184" s="240">
        <v>5</v>
      </c>
      <c r="F184" s="244">
        <v>0</v>
      </c>
      <c r="G184" s="245">
        <f t="shared" ref="G184:G186" si="14">E184*F184</f>
        <v>0</v>
      </c>
      <c r="H184" s="8"/>
      <c r="I184" s="8"/>
      <c r="J184" s="8"/>
      <c r="K184" s="8"/>
      <c r="L184" s="8"/>
      <c r="M184" s="8"/>
      <c r="N184" s="8"/>
      <c r="O184" s="8"/>
      <c r="P184" s="8"/>
      <c r="Q184" s="8"/>
      <c r="R184" s="8"/>
      <c r="S184" s="8"/>
      <c r="T184" s="8"/>
      <c r="U184" s="8"/>
      <c r="V184" s="8"/>
      <c r="W184" s="8"/>
    </row>
    <row r="185" spans="2:23" s="217" customFormat="1">
      <c r="B185" s="218"/>
      <c r="C185" s="246" t="s">
        <v>171</v>
      </c>
      <c r="D185" s="239" t="s">
        <v>66</v>
      </c>
      <c r="E185" s="240">
        <v>5</v>
      </c>
      <c r="F185" s="244">
        <v>0</v>
      </c>
      <c r="G185" s="245">
        <f t="shared" si="14"/>
        <v>0</v>
      </c>
      <c r="H185" s="8"/>
      <c r="I185" s="8"/>
      <c r="J185" s="8"/>
      <c r="K185" s="8"/>
      <c r="L185" s="8"/>
      <c r="M185" s="8"/>
      <c r="N185" s="8"/>
      <c r="O185" s="8"/>
      <c r="P185" s="8"/>
      <c r="Q185" s="8"/>
      <c r="R185" s="8"/>
      <c r="S185" s="8"/>
      <c r="T185" s="8"/>
      <c r="U185" s="8"/>
      <c r="V185" s="8"/>
      <c r="W185" s="8"/>
    </row>
    <row r="186" spans="2:23" s="217" customFormat="1">
      <c r="B186" s="218"/>
      <c r="C186" s="247" t="s">
        <v>135</v>
      </c>
      <c r="D186" s="239" t="s">
        <v>66</v>
      </c>
      <c r="E186" s="240">
        <v>5</v>
      </c>
      <c r="F186" s="244">
        <v>0</v>
      </c>
      <c r="G186" s="245">
        <f t="shared" si="14"/>
        <v>0</v>
      </c>
      <c r="H186" s="8"/>
      <c r="I186" s="8"/>
      <c r="J186" s="8"/>
      <c r="K186" s="8"/>
      <c r="L186" s="8"/>
      <c r="M186" s="8"/>
      <c r="N186" s="8"/>
      <c r="O186" s="8"/>
      <c r="P186" s="8"/>
      <c r="Q186" s="8"/>
      <c r="R186" s="8"/>
      <c r="S186" s="8"/>
      <c r="T186" s="8"/>
      <c r="U186" s="8"/>
      <c r="V186" s="8"/>
      <c r="W186" s="8"/>
    </row>
    <row r="187" spans="2:23">
      <c r="B187" s="201" t="s">
        <v>172</v>
      </c>
      <c r="C187" s="248" t="s">
        <v>173</v>
      </c>
      <c r="D187" s="249"/>
      <c r="E187" s="250"/>
      <c r="F187" s="251"/>
      <c r="G187" s="252"/>
      <c r="I187" s="8"/>
      <c r="J187" s="8"/>
      <c r="K187" s="8"/>
      <c r="L187" s="8"/>
      <c r="M187" s="8"/>
      <c r="N187" s="8"/>
      <c r="O187" s="8"/>
      <c r="P187" s="8"/>
      <c r="Q187" s="8"/>
      <c r="R187" s="8"/>
      <c r="S187" s="8"/>
      <c r="T187" s="8"/>
      <c r="U187" s="8"/>
      <c r="V187" s="8"/>
      <c r="W187" s="8"/>
    </row>
    <row r="188" spans="2:23" s="217" customFormat="1" ht="63" customHeight="1">
      <c r="B188" s="218"/>
      <c r="C188" s="253" t="s">
        <v>174</v>
      </c>
      <c r="D188" s="254" t="s">
        <v>66</v>
      </c>
      <c r="E188" s="255">
        <v>1</v>
      </c>
      <c r="F188" s="256">
        <v>0</v>
      </c>
      <c r="G188" s="257">
        <f t="shared" ref="G188" si="15">E188*F188</f>
        <v>0</v>
      </c>
      <c r="H188" s="8"/>
      <c r="I188" s="8"/>
      <c r="J188" s="8"/>
      <c r="K188" s="8"/>
      <c r="L188" s="8"/>
      <c r="M188" s="8"/>
      <c r="N188" s="8"/>
      <c r="O188" s="8"/>
      <c r="P188" s="8"/>
      <c r="Q188" s="8"/>
      <c r="R188" s="8"/>
      <c r="S188" s="8"/>
      <c r="T188" s="8"/>
      <c r="U188" s="8"/>
      <c r="V188" s="8"/>
      <c r="W188" s="8"/>
    </row>
    <row r="189" spans="2:23" s="179" customFormat="1" ht="16.5" customHeight="1">
      <c r="B189" s="258" t="s">
        <v>47</v>
      </c>
      <c r="C189" s="259" t="s">
        <v>175</v>
      </c>
      <c r="D189" s="260"/>
      <c r="E189" s="261"/>
      <c r="F189" s="262"/>
      <c r="G189" s="263">
        <f>SUM(G82:G188)</f>
        <v>0</v>
      </c>
      <c r="H189" s="8"/>
      <c r="I189" s="8"/>
      <c r="J189" s="8"/>
      <c r="K189" s="8"/>
      <c r="L189" s="8"/>
      <c r="M189" s="8"/>
      <c r="N189" s="8"/>
      <c r="O189" s="8"/>
      <c r="P189" s="8"/>
      <c r="Q189" s="8"/>
      <c r="R189" s="8"/>
      <c r="S189" s="8"/>
      <c r="T189" s="8"/>
      <c r="U189" s="8"/>
      <c r="V189" s="8"/>
      <c r="W189" s="8"/>
    </row>
  </sheetData>
  <mergeCells count="7">
    <mergeCell ref="B89:B90"/>
    <mergeCell ref="B41:G41"/>
    <mergeCell ref="B50:B51"/>
    <mergeCell ref="B63:B64"/>
    <mergeCell ref="B79:G79"/>
    <mergeCell ref="B80:G80"/>
    <mergeCell ref="B81:G81"/>
  </mergeCells>
  <pageMargins left="0.7" right="0.7" top="0.75" bottom="0.75" header="0.3" footer="0.3"/>
  <pageSetup paperSize="9" scale="88" orientation="portrait" r:id="rId1"/>
  <headerFooter alignWithMargins="0">
    <oddFooter>&amp;C&amp;8&amp;P/&amp;N</oddFooter>
  </headerFooter>
  <rowBreaks count="6" manualBreakCount="6">
    <brk id="18" max="16383" man="1"/>
    <brk id="37" max="16383" man="1"/>
    <brk id="54" min="1" max="6" man="1"/>
    <brk id="71" max="16383" man="1"/>
    <brk id="107" min="1" max="6" man="1"/>
    <brk id="163"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3B72A-7CC8-46A3-A6F7-6676DE8BB539}">
  <sheetPr>
    <tabColor rgb="FF00B0F0"/>
  </sheetPr>
  <dimension ref="A2:Z66"/>
  <sheetViews>
    <sheetView showZeros="0" topLeftCell="A25" zoomScale="110" zoomScaleNormal="110" zoomScaleSheetLayoutView="110" workbookViewId="0">
      <selection activeCell="B29" sqref="B29:B37"/>
    </sheetView>
  </sheetViews>
  <sheetFormatPr defaultColWidth="10.42578125" defaultRowHeight="12.75"/>
  <cols>
    <col min="1" max="1" width="4.42578125" style="1" customWidth="1"/>
    <col min="2" max="2" width="7.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26" ht="16.149999999999999" customHeight="1">
      <c r="B2" s="2"/>
      <c r="C2" s="72" t="s">
        <v>0</v>
      </c>
      <c r="D2" s="4"/>
      <c r="E2" s="5"/>
      <c r="F2" s="671"/>
      <c r="G2" s="672" t="s">
        <v>1</v>
      </c>
    </row>
    <row r="4" spans="1:26" s="73" customFormat="1" ht="15">
      <c r="B4" s="74" t="s">
        <v>35</v>
      </c>
      <c r="C4" s="673" t="s">
        <v>1417</v>
      </c>
      <c r="D4" s="76"/>
      <c r="E4" s="77"/>
      <c r="F4" s="674"/>
      <c r="G4" s="79"/>
      <c r="H4" s="37"/>
    </row>
    <row r="5" spans="1:26" s="73" customFormat="1" ht="12" customHeight="1">
      <c r="B5" s="80"/>
      <c r="C5" s="81"/>
      <c r="D5" s="82"/>
      <c r="E5" s="83"/>
      <c r="F5" s="675"/>
      <c r="G5" s="85"/>
      <c r="H5" s="37"/>
    </row>
    <row r="6" spans="1:26" s="86" customFormat="1" ht="21" customHeight="1">
      <c r="B6" s="676" t="s">
        <v>37</v>
      </c>
      <c r="C6" s="677" t="s">
        <v>1418</v>
      </c>
      <c r="D6" s="678"/>
      <c r="E6" s="679"/>
      <c r="F6" s="680"/>
      <c r="G6" s="681"/>
      <c r="H6" s="27"/>
      <c r="I6" s="87"/>
    </row>
    <row r="7" spans="1:26" s="86" customFormat="1" ht="21" customHeight="1">
      <c r="B7" s="80"/>
      <c r="C7" s="81"/>
      <c r="D7" s="82"/>
      <c r="E7" s="83"/>
      <c r="F7" s="675"/>
      <c r="G7" s="88"/>
      <c r="H7" s="27"/>
      <c r="I7" s="87"/>
    </row>
    <row r="8" spans="1:26" s="86" customFormat="1" ht="14.25">
      <c r="B8" s="682" t="s">
        <v>551</v>
      </c>
      <c r="C8" s="683" t="s">
        <v>1419</v>
      </c>
      <c r="D8" s="684"/>
      <c r="E8" s="685"/>
      <c r="F8" s="686"/>
      <c r="G8" s="687"/>
      <c r="H8" s="27"/>
      <c r="I8" s="87"/>
    </row>
    <row r="9" spans="1:26" s="86" customFormat="1" ht="14.25">
      <c r="B9" s="80"/>
      <c r="C9" s="81"/>
      <c r="D9" s="82"/>
      <c r="E9" s="83"/>
      <c r="F9" s="675"/>
      <c r="G9" s="88"/>
      <c r="H9" s="27"/>
      <c r="I9" s="87"/>
    </row>
    <row r="10" spans="1:26" s="14" customFormat="1" ht="18" customHeight="1">
      <c r="A10" s="9"/>
      <c r="B10" s="10" t="s">
        <v>38</v>
      </c>
      <c r="C10" s="11"/>
      <c r="D10" s="13"/>
      <c r="E10" s="12"/>
      <c r="F10" s="688"/>
      <c r="G10" s="13"/>
    </row>
    <row r="11" spans="1:26" s="14" customFormat="1" ht="18" customHeight="1">
      <c r="A11" s="15"/>
      <c r="B11" s="16" t="s">
        <v>39</v>
      </c>
      <c r="C11" s="17"/>
      <c r="D11" s="18"/>
      <c r="E11" s="19"/>
      <c r="F11" s="689"/>
      <c r="G11" s="18"/>
    </row>
    <row r="12" spans="1:26" s="14" customFormat="1" ht="18" customHeight="1">
      <c r="A12" s="9"/>
      <c r="B12" s="10" t="s">
        <v>4</v>
      </c>
      <c r="C12" s="11"/>
      <c r="D12" s="12"/>
      <c r="E12" s="12"/>
      <c r="F12" s="688"/>
      <c r="G12" s="13"/>
    </row>
    <row r="13" spans="1:26" s="14" customFormat="1" ht="18" customHeight="1">
      <c r="A13" s="15"/>
      <c r="B13" s="16" t="s">
        <v>5</v>
      </c>
      <c r="C13" s="17"/>
      <c r="D13" s="19"/>
      <c r="E13" s="19"/>
      <c r="F13" s="689"/>
      <c r="G13" s="18"/>
    </row>
    <row r="14" spans="1:26" s="86" customFormat="1" ht="14.25">
      <c r="B14" s="89"/>
      <c r="C14" s="90"/>
      <c r="D14" s="91"/>
      <c r="E14" s="92"/>
      <c r="F14" s="690"/>
      <c r="G14" s="94"/>
      <c r="H14" s="27"/>
      <c r="I14" s="87"/>
    </row>
    <row r="15" spans="1:26" s="86" customFormat="1" ht="18.75" customHeight="1">
      <c r="B15" s="95"/>
      <c r="C15" s="96" t="s">
        <v>40</v>
      </c>
      <c r="D15" s="97"/>
      <c r="E15" s="98"/>
      <c r="F15" s="691"/>
      <c r="G15" s="100"/>
      <c r="H15" s="27"/>
      <c r="I15" s="87"/>
    </row>
    <row r="16" spans="1:26"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c r="Z16" s="73"/>
    </row>
    <row r="17" spans="2:26" s="101" customFormat="1" ht="18.75" customHeight="1">
      <c r="B17" s="693" t="s">
        <v>43</v>
      </c>
      <c r="C17" s="694" t="s">
        <v>44</v>
      </c>
      <c r="D17" s="109"/>
      <c r="E17" s="110"/>
      <c r="F17" s="695"/>
      <c r="G17" s="1408">
        <f>G39</f>
        <v>0</v>
      </c>
      <c r="H17" s="37"/>
      <c r="I17" s="73"/>
      <c r="J17" s="73"/>
      <c r="K17" s="73"/>
      <c r="L17" s="73"/>
      <c r="M17" s="73"/>
      <c r="N17" s="73"/>
      <c r="O17" s="73"/>
      <c r="P17" s="73"/>
      <c r="Q17" s="73"/>
      <c r="R17" s="73"/>
      <c r="S17" s="73"/>
      <c r="T17" s="73"/>
      <c r="U17" s="73"/>
      <c r="V17" s="73"/>
      <c r="W17" s="73"/>
      <c r="X17" s="73"/>
      <c r="Y17" s="73"/>
      <c r="Z17" s="73"/>
    </row>
    <row r="18" spans="2:26" s="101" customFormat="1" ht="18.75" customHeight="1">
      <c r="B18" s="693" t="s">
        <v>45</v>
      </c>
      <c r="C18" s="694" t="s">
        <v>46</v>
      </c>
      <c r="D18" s="109"/>
      <c r="E18" s="110"/>
      <c r="F18" s="695"/>
      <c r="G18" s="1408">
        <f>G65</f>
        <v>0</v>
      </c>
      <c r="H18" s="37"/>
      <c r="I18" s="73"/>
      <c r="J18" s="73"/>
      <c r="K18" s="73"/>
      <c r="L18" s="73"/>
      <c r="M18" s="73"/>
      <c r="N18" s="73"/>
      <c r="O18" s="73"/>
      <c r="P18" s="73"/>
      <c r="Q18" s="73"/>
      <c r="R18" s="73"/>
      <c r="S18" s="73"/>
      <c r="T18" s="73"/>
      <c r="U18" s="73"/>
      <c r="V18" s="73"/>
      <c r="W18" s="73"/>
      <c r="X18" s="73"/>
      <c r="Y18" s="73"/>
      <c r="Z18" s="73"/>
    </row>
    <row r="19" spans="2:26" s="101" customFormat="1" ht="18.75" customHeight="1">
      <c r="B19" s="113"/>
      <c r="C19" s="114" t="s">
        <v>49</v>
      </c>
      <c r="D19" s="115"/>
      <c r="E19" s="116"/>
      <c r="F19" s="2372"/>
      <c r="G19" s="1415">
        <f>SUM(G17:G18)</f>
        <v>0</v>
      </c>
      <c r="H19" s="37"/>
      <c r="I19" s="73"/>
      <c r="J19" s="73"/>
      <c r="K19" s="73"/>
      <c r="L19" s="73"/>
      <c r="M19" s="73"/>
      <c r="N19" s="73"/>
      <c r="O19" s="73"/>
      <c r="P19" s="73"/>
      <c r="Q19" s="73"/>
      <c r="R19" s="73"/>
      <c r="S19" s="73"/>
      <c r="T19" s="73"/>
      <c r="U19" s="73"/>
      <c r="V19" s="73"/>
      <c r="W19" s="73"/>
      <c r="X19" s="73"/>
      <c r="Y19" s="73"/>
      <c r="Z19" s="73"/>
    </row>
    <row r="20" spans="2:26">
      <c r="B20" s="61"/>
      <c r="C20" s="62"/>
      <c r="D20" s="63"/>
      <c r="E20" s="64"/>
      <c r="F20" s="701"/>
    </row>
    <row r="21" spans="2:26">
      <c r="G21" s="118"/>
    </row>
    <row r="22" spans="2:26" ht="24">
      <c r="B22" s="119" t="s">
        <v>41</v>
      </c>
      <c r="C22" s="120" t="s">
        <v>51</v>
      </c>
      <c r="D22" s="121" t="s">
        <v>52</v>
      </c>
      <c r="E22" s="122" t="s">
        <v>53</v>
      </c>
      <c r="F22" s="756" t="s">
        <v>54</v>
      </c>
      <c r="G22" s="124" t="s">
        <v>55</v>
      </c>
    </row>
    <row r="23" spans="2:26">
      <c r="B23" s="125"/>
      <c r="C23" s="126"/>
      <c r="D23" s="127"/>
      <c r="E23" s="128"/>
      <c r="F23" s="708"/>
      <c r="G23" s="130"/>
    </row>
    <row r="24" spans="2:26" s="138" customFormat="1" ht="20.25">
      <c r="B24" s="131" t="s">
        <v>43</v>
      </c>
      <c r="C24" s="132" t="s">
        <v>44</v>
      </c>
      <c r="D24" s="133"/>
      <c r="E24" s="134"/>
      <c r="F24" s="709"/>
      <c r="G24" s="136"/>
      <c r="H24" s="137"/>
    </row>
    <row r="25" spans="2:26" ht="24">
      <c r="B25" s="125">
        <v>1</v>
      </c>
      <c r="C25" s="144" t="s">
        <v>56</v>
      </c>
      <c r="D25" s="140" t="s">
        <v>57</v>
      </c>
      <c r="E25" s="1081">
        <v>168</v>
      </c>
      <c r="F25" s="1082">
        <v>0</v>
      </c>
      <c r="G25" s="1083">
        <f t="shared" ref="G25" si="0">E25*F25</f>
        <v>0</v>
      </c>
    </row>
    <row r="26" spans="2:26">
      <c r="B26" s="125">
        <v>2</v>
      </c>
      <c r="C26" s="144" t="s">
        <v>58</v>
      </c>
      <c r="D26" s="140" t="s">
        <v>57</v>
      </c>
      <c r="E26" s="1081">
        <f>E25</f>
        <v>168</v>
      </c>
      <c r="F26" s="1082">
        <v>0</v>
      </c>
      <c r="G26" s="1083">
        <f>E26*F26</f>
        <v>0</v>
      </c>
    </row>
    <row r="27" spans="2:26" ht="51.75" customHeight="1">
      <c r="B27" s="125">
        <v>3</v>
      </c>
      <c r="C27" s="144" t="s">
        <v>245</v>
      </c>
      <c r="D27" s="140" t="s">
        <v>60</v>
      </c>
      <c r="E27" s="1081">
        <v>1</v>
      </c>
      <c r="F27" s="1082">
        <v>0</v>
      </c>
      <c r="G27" s="1083">
        <f t="shared" ref="G27:G37" si="1">E27*F27</f>
        <v>0</v>
      </c>
    </row>
    <row r="28" spans="2:26" ht="124.5" customHeight="1">
      <c r="B28" s="125">
        <v>4</v>
      </c>
      <c r="C28" s="144" t="s">
        <v>61</v>
      </c>
      <c r="D28" s="145" t="s">
        <v>60</v>
      </c>
      <c r="E28" s="1081">
        <v>1</v>
      </c>
      <c r="F28" s="1082">
        <v>0</v>
      </c>
      <c r="G28" s="1083">
        <f t="shared" si="1"/>
        <v>0</v>
      </c>
    </row>
    <row r="29" spans="2:26" ht="24">
      <c r="B29" s="125">
        <v>5</v>
      </c>
      <c r="C29" s="144" t="s">
        <v>1389</v>
      </c>
      <c r="D29" s="146" t="s">
        <v>60</v>
      </c>
      <c r="E29" s="1081">
        <v>1</v>
      </c>
      <c r="F29" s="1082">
        <v>0</v>
      </c>
      <c r="G29" s="1083">
        <f t="shared" si="1"/>
        <v>0</v>
      </c>
    </row>
    <row r="30" spans="2:26" ht="24">
      <c r="B30" s="125">
        <v>6</v>
      </c>
      <c r="C30" s="1084" t="s">
        <v>63</v>
      </c>
      <c r="D30" s="140" t="s">
        <v>57</v>
      </c>
      <c r="E30" s="1081">
        <f>E25</f>
        <v>168</v>
      </c>
      <c r="F30" s="1082">
        <v>0</v>
      </c>
      <c r="G30" s="1083">
        <f t="shared" si="1"/>
        <v>0</v>
      </c>
    </row>
    <row r="31" spans="2:26" ht="48">
      <c r="B31" s="125">
        <v>7</v>
      </c>
      <c r="C31" s="1084" t="s">
        <v>64</v>
      </c>
      <c r="D31" s="146" t="s">
        <v>60</v>
      </c>
      <c r="E31" s="1081">
        <v>1</v>
      </c>
      <c r="F31" s="1082">
        <v>0</v>
      </c>
      <c r="G31" s="1083">
        <f t="shared" si="1"/>
        <v>0</v>
      </c>
    </row>
    <row r="32" spans="2:26" ht="57.75" customHeight="1">
      <c r="B32" s="125">
        <v>8</v>
      </c>
      <c r="C32" s="1080" t="s">
        <v>2292</v>
      </c>
      <c r="D32" s="146" t="s">
        <v>66</v>
      </c>
      <c r="E32" s="1081">
        <v>5</v>
      </c>
      <c r="F32" s="1082">
        <v>0</v>
      </c>
      <c r="G32" s="1083">
        <f t="shared" si="1"/>
        <v>0</v>
      </c>
    </row>
    <row r="33" spans="1:26" ht="36">
      <c r="B33" s="125">
        <v>9</v>
      </c>
      <c r="C33" s="1080" t="s">
        <v>2295</v>
      </c>
      <c r="D33" s="146" t="s">
        <v>57</v>
      </c>
      <c r="E33" s="1081">
        <f>E25</f>
        <v>168</v>
      </c>
      <c r="F33" s="1082">
        <v>0</v>
      </c>
      <c r="G33" s="1083">
        <f t="shared" si="1"/>
        <v>0</v>
      </c>
    </row>
    <row r="34" spans="1:26" ht="24">
      <c r="B34" s="125">
        <v>10</v>
      </c>
      <c r="C34" s="1080" t="s">
        <v>2293</v>
      </c>
      <c r="D34" s="146" t="s">
        <v>57</v>
      </c>
      <c r="E34" s="1081">
        <f>E25</f>
        <v>168</v>
      </c>
      <c r="F34" s="1082">
        <v>0</v>
      </c>
      <c r="G34" s="1083">
        <f t="shared" si="1"/>
        <v>0</v>
      </c>
    </row>
    <row r="35" spans="1:26">
      <c r="B35" s="125">
        <v>11</v>
      </c>
      <c r="C35" s="1084" t="s">
        <v>67</v>
      </c>
      <c r="D35" s="146" t="s">
        <v>60</v>
      </c>
      <c r="E35" s="1081">
        <v>1</v>
      </c>
      <c r="F35" s="1082">
        <v>0</v>
      </c>
      <c r="G35" s="1083">
        <f t="shared" si="1"/>
        <v>0</v>
      </c>
    </row>
    <row r="36" spans="1:26" ht="36">
      <c r="B36" s="125">
        <v>12</v>
      </c>
      <c r="C36" s="952" t="s">
        <v>68</v>
      </c>
      <c r="D36" s="146" t="s">
        <v>60</v>
      </c>
      <c r="E36" s="1085">
        <v>1</v>
      </c>
      <c r="F36" s="1082">
        <v>0</v>
      </c>
      <c r="G36" s="1083">
        <f t="shared" si="1"/>
        <v>0</v>
      </c>
    </row>
    <row r="37" spans="1:26" ht="36">
      <c r="B37" s="125">
        <v>13</v>
      </c>
      <c r="C37" s="952" t="s">
        <v>69</v>
      </c>
      <c r="D37" s="146" t="s">
        <v>60</v>
      </c>
      <c r="E37" s="1085">
        <v>1</v>
      </c>
      <c r="F37" s="1082">
        <v>0</v>
      </c>
      <c r="G37" s="1083">
        <f t="shared" si="1"/>
        <v>0</v>
      </c>
    </row>
    <row r="38" spans="1:26">
      <c r="B38" s="125"/>
      <c r="C38" s="150"/>
      <c r="D38" s="146"/>
      <c r="E38" s="1085"/>
      <c r="F38" s="1082"/>
      <c r="G38" s="1083"/>
    </row>
    <row r="39" spans="1:26">
      <c r="B39" s="151" t="s">
        <v>43</v>
      </c>
      <c r="C39" s="1086" t="s">
        <v>1390</v>
      </c>
      <c r="D39" s="1087"/>
      <c r="E39" s="1088"/>
      <c r="F39" s="1089"/>
      <c r="G39" s="1090">
        <f>SUM(G25:G37)</f>
        <v>0</v>
      </c>
    </row>
    <row r="40" spans="1:26" s="8" customFormat="1">
      <c r="A40" s="1"/>
      <c r="B40" s="125"/>
      <c r="C40" s="126"/>
      <c r="D40" s="127"/>
      <c r="E40" s="128"/>
      <c r="F40" s="129"/>
      <c r="G40" s="130"/>
      <c r="I40" s="1"/>
      <c r="J40" s="1"/>
      <c r="K40" s="1"/>
      <c r="L40" s="1"/>
      <c r="M40" s="1"/>
      <c r="N40" s="1"/>
      <c r="O40" s="1"/>
      <c r="P40" s="1"/>
      <c r="Q40" s="1"/>
      <c r="R40" s="1"/>
      <c r="S40" s="1"/>
      <c r="T40" s="1"/>
      <c r="U40" s="1"/>
      <c r="V40" s="1"/>
      <c r="W40" s="1"/>
      <c r="X40" s="1"/>
      <c r="Y40" s="1"/>
      <c r="Z40" s="1"/>
    </row>
    <row r="41" spans="1:26" s="8" customFormat="1" ht="24">
      <c r="A41" s="1"/>
      <c r="B41" s="157" t="s">
        <v>50</v>
      </c>
      <c r="C41" s="158" t="s">
        <v>51</v>
      </c>
      <c r="D41" s="159" t="s">
        <v>52</v>
      </c>
      <c r="E41" s="160" t="s">
        <v>53</v>
      </c>
      <c r="F41" s="161" t="s">
        <v>54</v>
      </c>
      <c r="G41" s="162" t="s">
        <v>55</v>
      </c>
      <c r="I41" s="1"/>
      <c r="J41" s="1"/>
      <c r="K41" s="1"/>
      <c r="L41" s="1"/>
      <c r="M41" s="1"/>
      <c r="N41" s="1"/>
      <c r="O41" s="1"/>
      <c r="P41" s="1"/>
      <c r="Q41" s="1"/>
      <c r="R41" s="1"/>
      <c r="S41" s="1"/>
      <c r="T41" s="1"/>
      <c r="U41" s="1"/>
      <c r="V41" s="1"/>
      <c r="W41" s="1"/>
      <c r="X41" s="1"/>
      <c r="Y41" s="1"/>
      <c r="Z41" s="1"/>
    </row>
    <row r="42" spans="1:26" s="8" customFormat="1">
      <c r="A42" s="1"/>
      <c r="B42" s="125"/>
      <c r="C42" s="163"/>
      <c r="D42" s="140"/>
      <c r="E42" s="128"/>
      <c r="F42" s="129"/>
      <c r="G42" s="130"/>
      <c r="I42" s="1"/>
      <c r="J42" s="1"/>
      <c r="K42" s="1"/>
      <c r="L42" s="1"/>
      <c r="M42" s="1"/>
      <c r="N42" s="1"/>
      <c r="O42" s="1"/>
      <c r="P42" s="1"/>
      <c r="Q42" s="1"/>
      <c r="R42" s="1"/>
      <c r="S42" s="1"/>
      <c r="T42" s="1"/>
      <c r="U42" s="1"/>
      <c r="V42" s="1"/>
      <c r="W42" s="1"/>
      <c r="X42" s="1"/>
      <c r="Y42" s="1"/>
      <c r="Z42" s="1"/>
    </row>
    <row r="43" spans="1:26" s="8" customFormat="1" ht="40.5">
      <c r="A43" s="1"/>
      <c r="B43" s="131" t="s">
        <v>45</v>
      </c>
      <c r="C43" s="164" t="s">
        <v>871</v>
      </c>
      <c r="D43" s="165"/>
      <c r="E43" s="134"/>
      <c r="F43" s="135"/>
      <c r="G43" s="136"/>
      <c r="I43" s="1"/>
      <c r="J43" s="1"/>
      <c r="K43" s="1"/>
      <c r="L43" s="1"/>
      <c r="M43" s="1"/>
      <c r="N43" s="1"/>
      <c r="O43" s="1"/>
      <c r="P43" s="1"/>
      <c r="Q43" s="1"/>
      <c r="R43" s="1"/>
      <c r="S43" s="1"/>
      <c r="T43" s="1"/>
      <c r="U43" s="1"/>
      <c r="V43" s="1"/>
      <c r="W43" s="1"/>
      <c r="X43" s="1"/>
      <c r="Y43" s="1"/>
      <c r="Z43" s="1"/>
    </row>
    <row r="44" spans="1:26" s="8" customFormat="1" ht="67.5" customHeight="1">
      <c r="A44" s="1"/>
      <c r="B44" s="2399" t="s">
        <v>72</v>
      </c>
      <c r="C44" s="2400"/>
      <c r="D44" s="2400"/>
      <c r="E44" s="2400"/>
      <c r="F44" s="2400"/>
      <c r="G44" s="2401"/>
      <c r="I44" s="1"/>
      <c r="J44" s="1"/>
      <c r="K44" s="1"/>
      <c r="L44" s="1"/>
      <c r="M44" s="1"/>
      <c r="N44" s="1"/>
      <c r="O44" s="1"/>
      <c r="P44" s="1"/>
      <c r="Q44" s="1"/>
      <c r="R44" s="1"/>
      <c r="S44" s="1"/>
      <c r="T44" s="1"/>
      <c r="U44" s="1"/>
      <c r="V44" s="1"/>
      <c r="W44" s="1"/>
      <c r="X44" s="1"/>
      <c r="Y44" s="1"/>
      <c r="Z44" s="1"/>
    </row>
    <row r="45" spans="1:26" s="8" customFormat="1" ht="24">
      <c r="A45" s="1"/>
      <c r="B45" s="167">
        <v>1</v>
      </c>
      <c r="C45" s="139" t="s">
        <v>73</v>
      </c>
      <c r="D45" s="140" t="s">
        <v>74</v>
      </c>
      <c r="E45" s="1091">
        <f>122*0.2*1.4</f>
        <v>34.160000000000004</v>
      </c>
      <c r="F45" s="1092">
        <v>0</v>
      </c>
      <c r="G45" s="1093">
        <f t="shared" ref="G45:G63" si="2">E45*F45</f>
        <v>0</v>
      </c>
      <c r="I45" s="1"/>
      <c r="J45" s="1"/>
      <c r="K45" s="1"/>
      <c r="L45" s="1"/>
      <c r="M45" s="1"/>
      <c r="N45" s="1"/>
      <c r="O45" s="1"/>
      <c r="P45" s="1"/>
      <c r="Q45" s="1"/>
      <c r="R45" s="1"/>
      <c r="S45" s="1"/>
      <c r="T45" s="1"/>
      <c r="U45" s="1"/>
      <c r="V45" s="1"/>
      <c r="W45" s="1"/>
      <c r="X45" s="1"/>
      <c r="Y45" s="1"/>
      <c r="Z45" s="1"/>
    </row>
    <row r="46" spans="1:26" s="8" customFormat="1" ht="41.25" customHeight="1">
      <c r="A46" s="1"/>
      <c r="B46" s="717">
        <v>2</v>
      </c>
      <c r="C46" s="139" t="s">
        <v>75</v>
      </c>
      <c r="D46" s="140" t="s">
        <v>74</v>
      </c>
      <c r="E46" s="1091">
        <f>E25*1.5*1.2*0.15</f>
        <v>45.359999999999992</v>
      </c>
      <c r="F46" s="1092">
        <v>0</v>
      </c>
      <c r="G46" s="1093">
        <f t="shared" si="2"/>
        <v>0</v>
      </c>
      <c r="I46" s="1"/>
      <c r="J46" s="1"/>
      <c r="K46" s="1"/>
      <c r="L46" s="1"/>
      <c r="M46" s="1"/>
      <c r="N46" s="1"/>
      <c r="O46" s="1"/>
      <c r="P46" s="1"/>
      <c r="Q46" s="1"/>
      <c r="R46" s="1"/>
      <c r="S46" s="1"/>
      <c r="T46" s="1"/>
      <c r="U46" s="1"/>
      <c r="V46" s="1"/>
      <c r="W46" s="1"/>
      <c r="X46" s="1"/>
      <c r="Y46" s="1"/>
      <c r="Z46" s="1"/>
    </row>
    <row r="47" spans="1:26" s="8" customFormat="1" ht="41.25" customHeight="1">
      <c r="A47" s="1"/>
      <c r="B47" s="167">
        <v>3</v>
      </c>
      <c r="C47" s="139" t="s">
        <v>76</v>
      </c>
      <c r="D47" s="145" t="s">
        <v>74</v>
      </c>
      <c r="E47" s="1094">
        <f>E25*1.5*1.2*0.85</f>
        <v>257.03999999999996</v>
      </c>
      <c r="F47" s="1092">
        <v>0</v>
      </c>
      <c r="G47" s="142">
        <f t="shared" si="2"/>
        <v>0</v>
      </c>
      <c r="I47" s="1"/>
      <c r="J47" s="1"/>
      <c r="K47" s="1"/>
      <c r="L47" s="1"/>
      <c r="M47" s="1"/>
      <c r="N47" s="1"/>
      <c r="O47" s="1"/>
      <c r="P47" s="1"/>
      <c r="Q47" s="1"/>
      <c r="R47" s="1"/>
      <c r="S47" s="1"/>
      <c r="T47" s="1"/>
      <c r="U47" s="1"/>
      <c r="V47" s="1"/>
      <c r="W47" s="1"/>
      <c r="X47" s="1"/>
      <c r="Y47" s="1"/>
      <c r="Z47" s="1"/>
    </row>
    <row r="48" spans="1:26" s="8" customFormat="1" ht="27.75" customHeight="1">
      <c r="A48" s="1"/>
      <c r="B48" s="717">
        <v>4</v>
      </c>
      <c r="C48" s="126" t="s">
        <v>77</v>
      </c>
      <c r="D48" s="140" t="s">
        <v>78</v>
      </c>
      <c r="E48" s="1094">
        <f>E25*1.5</f>
        <v>252</v>
      </c>
      <c r="F48" s="1092">
        <v>0</v>
      </c>
      <c r="G48" s="1083">
        <f t="shared" si="2"/>
        <v>0</v>
      </c>
      <c r="I48" s="1"/>
      <c r="J48" s="1"/>
      <c r="K48" s="1"/>
      <c r="L48" s="1"/>
      <c r="M48" s="1"/>
      <c r="N48" s="1"/>
      <c r="O48" s="1"/>
      <c r="P48" s="1"/>
      <c r="Q48" s="1"/>
      <c r="R48" s="1"/>
      <c r="S48" s="1"/>
      <c r="T48" s="1"/>
      <c r="U48" s="1"/>
      <c r="V48" s="1"/>
      <c r="W48" s="1"/>
      <c r="X48" s="1"/>
      <c r="Y48" s="1"/>
      <c r="Z48" s="1"/>
    </row>
    <row r="49" spans="1:26" s="8" customFormat="1" ht="27.75" customHeight="1">
      <c r="A49" s="1"/>
      <c r="B49" s="717">
        <v>5</v>
      </c>
      <c r="C49" s="126" t="s">
        <v>79</v>
      </c>
      <c r="D49" s="145" t="s">
        <v>78</v>
      </c>
      <c r="E49" s="1094">
        <f>E25</f>
        <v>168</v>
      </c>
      <c r="F49" s="1092">
        <v>0</v>
      </c>
      <c r="G49" s="1083">
        <f t="shared" si="2"/>
        <v>0</v>
      </c>
      <c r="I49" s="1"/>
      <c r="J49" s="1"/>
      <c r="K49" s="1"/>
      <c r="L49" s="1"/>
      <c r="M49" s="1"/>
      <c r="N49" s="1"/>
      <c r="O49" s="1"/>
      <c r="P49" s="1"/>
      <c r="Q49" s="1"/>
      <c r="R49" s="1"/>
      <c r="S49" s="1"/>
      <c r="T49" s="1"/>
      <c r="U49" s="1"/>
      <c r="V49" s="1"/>
      <c r="W49" s="1"/>
      <c r="X49" s="1"/>
      <c r="Y49" s="1"/>
      <c r="Z49" s="1"/>
    </row>
    <row r="50" spans="1:26" s="8" customFormat="1" ht="27.75" customHeight="1">
      <c r="A50" s="1"/>
      <c r="B50" s="717">
        <v>6</v>
      </c>
      <c r="C50" s="139" t="s">
        <v>247</v>
      </c>
      <c r="D50" s="145" t="s">
        <v>74</v>
      </c>
      <c r="E50" s="1094">
        <f>E25*1.2*1</f>
        <v>201.6</v>
      </c>
      <c r="F50" s="1092">
        <v>0</v>
      </c>
      <c r="G50" s="1083">
        <f t="shared" si="2"/>
        <v>0</v>
      </c>
      <c r="I50" s="1"/>
      <c r="J50" s="1"/>
      <c r="K50" s="1"/>
      <c r="L50" s="1"/>
      <c r="M50" s="1"/>
      <c r="N50" s="1"/>
      <c r="O50" s="1"/>
      <c r="P50" s="1"/>
      <c r="Q50" s="1"/>
      <c r="R50" s="1"/>
      <c r="S50" s="1"/>
      <c r="T50" s="1"/>
      <c r="U50" s="1"/>
      <c r="V50" s="1"/>
      <c r="W50" s="1"/>
      <c r="X50" s="1"/>
      <c r="Y50" s="1"/>
      <c r="Z50" s="1"/>
    </row>
    <row r="51" spans="1:26" s="8" customFormat="1" ht="40.5" customHeight="1">
      <c r="A51" s="1"/>
      <c r="B51" s="717">
        <v>8</v>
      </c>
      <c r="C51" s="139" t="s">
        <v>82</v>
      </c>
      <c r="D51" s="146" t="s">
        <v>74</v>
      </c>
      <c r="E51" s="1094">
        <f>E25*1.5*0.4</f>
        <v>100.80000000000001</v>
      </c>
      <c r="F51" s="1092">
        <v>0</v>
      </c>
      <c r="G51" s="1083">
        <f t="shared" si="2"/>
        <v>0</v>
      </c>
      <c r="I51" s="1"/>
      <c r="J51" s="1"/>
      <c r="K51" s="1"/>
      <c r="L51" s="1"/>
      <c r="M51" s="1"/>
      <c r="N51" s="1"/>
      <c r="O51" s="1"/>
      <c r="P51" s="1"/>
      <c r="Q51" s="1"/>
      <c r="R51" s="1"/>
      <c r="S51" s="1"/>
      <c r="T51" s="1"/>
      <c r="U51" s="1"/>
      <c r="V51" s="1"/>
      <c r="W51" s="1"/>
      <c r="X51" s="1"/>
      <c r="Y51" s="1"/>
      <c r="Z51" s="1"/>
    </row>
    <row r="52" spans="1:26" s="8" customFormat="1" ht="27" customHeight="1">
      <c r="A52" s="1"/>
      <c r="B52" s="717">
        <v>9</v>
      </c>
      <c r="C52" s="1095" t="s">
        <v>85</v>
      </c>
      <c r="D52" s="140" t="s">
        <v>57</v>
      </c>
      <c r="E52" s="1094">
        <v>7</v>
      </c>
      <c r="F52" s="1092">
        <v>0</v>
      </c>
      <c r="G52" s="1083">
        <f t="shared" si="2"/>
        <v>0</v>
      </c>
      <c r="I52" s="1"/>
      <c r="J52" s="1"/>
      <c r="K52" s="1"/>
      <c r="L52" s="1"/>
      <c r="M52" s="1"/>
      <c r="N52" s="1"/>
      <c r="O52" s="1"/>
      <c r="P52" s="1"/>
      <c r="Q52" s="1"/>
      <c r="R52" s="1"/>
      <c r="S52" s="1"/>
      <c r="T52" s="1"/>
      <c r="U52" s="1"/>
      <c r="V52" s="1"/>
      <c r="W52" s="1"/>
      <c r="X52" s="1"/>
      <c r="Y52" s="1"/>
      <c r="Z52" s="1"/>
    </row>
    <row r="53" spans="1:26" s="8" customFormat="1" ht="24">
      <c r="A53" s="1"/>
      <c r="B53" s="717">
        <v>10</v>
      </c>
      <c r="C53" s="1095" t="s">
        <v>1391</v>
      </c>
      <c r="D53" s="140" t="s">
        <v>78</v>
      </c>
      <c r="E53" s="1094">
        <f>E25*1.2</f>
        <v>201.6</v>
      </c>
      <c r="F53" s="1092">
        <v>0</v>
      </c>
      <c r="G53" s="1083">
        <f t="shared" si="2"/>
        <v>0</v>
      </c>
      <c r="I53" s="1"/>
      <c r="J53" s="1"/>
      <c r="K53" s="1"/>
      <c r="L53" s="1"/>
      <c r="M53" s="1"/>
      <c r="N53" s="1"/>
      <c r="O53" s="1"/>
      <c r="P53" s="1"/>
      <c r="Q53" s="1"/>
      <c r="R53" s="1"/>
      <c r="S53" s="1"/>
      <c r="T53" s="1"/>
      <c r="U53" s="1"/>
      <c r="V53" s="1"/>
      <c r="W53" s="1"/>
      <c r="X53" s="1"/>
      <c r="Y53" s="1"/>
      <c r="Z53" s="1"/>
    </row>
    <row r="54" spans="1:26" s="8" customFormat="1" ht="51.75" customHeight="1">
      <c r="A54" s="1"/>
      <c r="B54" s="717">
        <v>11</v>
      </c>
      <c r="C54" s="397" t="s">
        <v>879</v>
      </c>
      <c r="D54" s="145" t="s">
        <v>78</v>
      </c>
      <c r="E54" s="1094">
        <v>5</v>
      </c>
      <c r="F54" s="1092">
        <v>0</v>
      </c>
      <c r="G54" s="1083">
        <f t="shared" si="2"/>
        <v>0</v>
      </c>
      <c r="I54" s="1"/>
      <c r="J54" s="1"/>
      <c r="K54" s="1"/>
      <c r="L54" s="1"/>
      <c r="M54" s="1"/>
      <c r="N54" s="1"/>
      <c r="O54" s="1"/>
      <c r="P54" s="1"/>
      <c r="Q54" s="1"/>
      <c r="R54" s="1"/>
      <c r="S54" s="1"/>
      <c r="T54" s="1"/>
      <c r="U54" s="1"/>
      <c r="V54" s="1"/>
      <c r="W54" s="1"/>
      <c r="X54" s="1"/>
      <c r="Y54" s="1"/>
      <c r="Z54" s="1"/>
    </row>
    <row r="55" spans="1:26" s="8" customFormat="1" ht="14.25" customHeight="1">
      <c r="A55" s="1"/>
      <c r="B55" s="167">
        <v>12</v>
      </c>
      <c r="C55" s="139" t="s">
        <v>264</v>
      </c>
      <c r="D55" s="145" t="s">
        <v>74</v>
      </c>
      <c r="E55" s="128">
        <f>E46+E47+(E53*0.06)-E50</f>
        <v>112.89599999999999</v>
      </c>
      <c r="F55" s="1092">
        <v>0</v>
      </c>
      <c r="G55" s="142">
        <f t="shared" si="2"/>
        <v>0</v>
      </c>
      <c r="I55" s="1"/>
      <c r="J55" s="1"/>
      <c r="K55" s="1"/>
      <c r="L55" s="1"/>
      <c r="M55" s="1"/>
      <c r="N55" s="1"/>
      <c r="O55" s="1"/>
      <c r="P55" s="1"/>
      <c r="Q55" s="1"/>
      <c r="R55" s="1"/>
      <c r="S55" s="1"/>
      <c r="T55" s="1"/>
      <c r="U55" s="1"/>
      <c r="V55" s="1"/>
      <c r="W55" s="1"/>
      <c r="X55" s="1"/>
      <c r="Y55" s="1"/>
      <c r="Z55" s="1"/>
    </row>
    <row r="56" spans="1:26" s="8" customFormat="1">
      <c r="A56" s="1"/>
      <c r="B56" s="167">
        <v>13</v>
      </c>
      <c r="C56" s="139" t="s">
        <v>265</v>
      </c>
      <c r="D56" s="145" t="s">
        <v>74</v>
      </c>
      <c r="E56" s="128">
        <f>E55</f>
        <v>112.89599999999999</v>
      </c>
      <c r="F56" s="1092">
        <v>0</v>
      </c>
      <c r="G56" s="142">
        <f t="shared" si="2"/>
        <v>0</v>
      </c>
      <c r="I56" s="1"/>
      <c r="J56" s="1"/>
      <c r="K56" s="1"/>
      <c r="L56" s="1"/>
      <c r="M56" s="1"/>
      <c r="N56" s="1"/>
      <c r="O56" s="1"/>
      <c r="P56" s="1"/>
      <c r="Q56" s="1"/>
      <c r="R56" s="1"/>
      <c r="S56" s="1"/>
      <c r="T56" s="1"/>
      <c r="U56" s="1"/>
      <c r="V56" s="1"/>
      <c r="W56" s="1"/>
      <c r="X56" s="1"/>
      <c r="Y56" s="1"/>
      <c r="Z56" s="1"/>
    </row>
    <row r="57" spans="1:26" s="8" customFormat="1" ht="24">
      <c r="A57" s="1"/>
      <c r="B57" s="717">
        <v>14</v>
      </c>
      <c r="C57" s="126" t="s">
        <v>95</v>
      </c>
      <c r="D57" s="140" t="s">
        <v>74</v>
      </c>
      <c r="E57" s="1094">
        <f>E25*0.75*0.1</f>
        <v>12.600000000000001</v>
      </c>
      <c r="F57" s="1092">
        <v>0</v>
      </c>
      <c r="G57" s="1083">
        <f t="shared" si="2"/>
        <v>0</v>
      </c>
      <c r="I57" s="1"/>
      <c r="J57" s="1"/>
      <c r="K57" s="1"/>
      <c r="L57" s="1"/>
      <c r="M57" s="1"/>
      <c r="N57" s="1"/>
      <c r="O57" s="1"/>
      <c r="P57" s="1"/>
      <c r="Q57" s="1"/>
      <c r="R57" s="1"/>
      <c r="S57" s="1"/>
      <c r="T57" s="1"/>
      <c r="U57" s="1"/>
      <c r="V57" s="1"/>
      <c r="W57" s="1"/>
      <c r="X57" s="1"/>
      <c r="Y57" s="1"/>
      <c r="Z57" s="1"/>
    </row>
    <row r="58" spans="1:26" s="8" customFormat="1" ht="48">
      <c r="A58" s="1"/>
      <c r="B58" s="2408">
        <v>15</v>
      </c>
      <c r="C58" s="429" t="s">
        <v>292</v>
      </c>
      <c r="D58" s="194"/>
      <c r="E58" s="128"/>
      <c r="F58" s="141"/>
      <c r="G58" s="142"/>
      <c r="I58" s="1"/>
      <c r="J58" s="1"/>
      <c r="K58" s="1"/>
      <c r="L58" s="1"/>
      <c r="M58" s="1"/>
      <c r="N58" s="1"/>
      <c r="O58" s="1"/>
      <c r="P58" s="1"/>
      <c r="Q58" s="1"/>
      <c r="R58" s="1"/>
      <c r="S58" s="1"/>
      <c r="T58" s="1"/>
      <c r="U58" s="1"/>
      <c r="V58" s="1"/>
      <c r="W58" s="1"/>
      <c r="X58" s="1"/>
      <c r="Y58" s="1"/>
      <c r="Z58" s="1"/>
    </row>
    <row r="59" spans="1:26" s="8" customFormat="1">
      <c r="A59" s="1"/>
      <c r="B59" s="2607"/>
      <c r="C59" s="195" t="s">
        <v>293</v>
      </c>
      <c r="D59" s="194" t="s">
        <v>57</v>
      </c>
      <c r="E59" s="128">
        <v>12</v>
      </c>
      <c r="F59" s="141">
        <v>0</v>
      </c>
      <c r="G59" s="142">
        <f>E59*F59</f>
        <v>0</v>
      </c>
      <c r="I59" s="1"/>
      <c r="J59" s="1"/>
      <c r="K59" s="1"/>
      <c r="L59" s="1"/>
      <c r="M59" s="1"/>
      <c r="N59" s="1"/>
      <c r="O59" s="1"/>
      <c r="P59" s="1"/>
      <c r="Q59" s="1"/>
      <c r="R59" s="1"/>
      <c r="S59" s="1"/>
      <c r="T59" s="1"/>
      <c r="U59" s="1"/>
      <c r="V59" s="1"/>
      <c r="W59" s="1"/>
      <c r="X59" s="1"/>
      <c r="Y59" s="1"/>
      <c r="Z59" s="1"/>
    </row>
    <row r="60" spans="1:26" s="8" customFormat="1" ht="39" customHeight="1">
      <c r="A60" s="1"/>
      <c r="B60" s="717">
        <v>16</v>
      </c>
      <c r="C60" s="1096" t="s">
        <v>1393</v>
      </c>
      <c r="D60" s="182" t="s">
        <v>74</v>
      </c>
      <c r="E60" s="1097">
        <v>2</v>
      </c>
      <c r="F60" s="141">
        <v>0</v>
      </c>
      <c r="G60" s="1083">
        <f t="shared" si="2"/>
        <v>0</v>
      </c>
      <c r="I60" s="1"/>
      <c r="J60" s="1"/>
      <c r="K60" s="1"/>
      <c r="L60" s="1"/>
      <c r="M60" s="1"/>
      <c r="N60" s="1"/>
      <c r="O60" s="1"/>
      <c r="P60" s="1"/>
      <c r="Q60" s="1"/>
      <c r="R60" s="1"/>
      <c r="S60" s="1"/>
      <c r="T60" s="1"/>
      <c r="U60" s="1"/>
      <c r="V60" s="1"/>
      <c r="W60" s="1"/>
      <c r="X60" s="1"/>
      <c r="Y60" s="1"/>
      <c r="Z60" s="1"/>
    </row>
    <row r="61" spans="1:26" s="8" customFormat="1" ht="39" customHeight="1">
      <c r="A61" s="1"/>
      <c r="B61" s="717">
        <v>17</v>
      </c>
      <c r="C61" s="1096" t="s">
        <v>270</v>
      </c>
      <c r="D61" s="182" t="s">
        <v>66</v>
      </c>
      <c r="E61" s="1097">
        <v>5</v>
      </c>
      <c r="F61" s="141">
        <v>0</v>
      </c>
      <c r="G61" s="1083">
        <f t="shared" si="2"/>
        <v>0</v>
      </c>
      <c r="I61" s="1"/>
      <c r="J61" s="1"/>
      <c r="K61" s="1"/>
      <c r="L61" s="1"/>
      <c r="M61" s="1"/>
      <c r="N61" s="1"/>
      <c r="O61" s="1"/>
      <c r="P61" s="1"/>
      <c r="Q61" s="1"/>
      <c r="R61" s="1"/>
      <c r="S61" s="1"/>
      <c r="T61" s="1"/>
      <c r="U61" s="1"/>
      <c r="V61" s="1"/>
      <c r="W61" s="1"/>
      <c r="X61" s="1"/>
      <c r="Y61" s="1"/>
      <c r="Z61" s="1"/>
    </row>
    <row r="62" spans="1:26" s="8" customFormat="1" ht="24">
      <c r="A62" s="1"/>
      <c r="B62" s="717">
        <v>18</v>
      </c>
      <c r="C62" s="1096" t="s">
        <v>99</v>
      </c>
      <c r="D62" s="182" t="s">
        <v>74</v>
      </c>
      <c r="E62" s="1097">
        <v>1</v>
      </c>
      <c r="F62" s="141">
        <v>0</v>
      </c>
      <c r="G62" s="1083">
        <f t="shared" si="2"/>
        <v>0</v>
      </c>
      <c r="I62" s="1"/>
      <c r="J62" s="1"/>
      <c r="K62" s="1"/>
      <c r="L62" s="1"/>
      <c r="M62" s="1"/>
      <c r="N62" s="1"/>
      <c r="O62" s="1"/>
      <c r="P62" s="1"/>
      <c r="Q62" s="1"/>
      <c r="R62" s="1"/>
      <c r="S62" s="1"/>
      <c r="T62" s="1"/>
      <c r="U62" s="1"/>
      <c r="V62" s="1"/>
      <c r="W62" s="1"/>
      <c r="X62" s="1"/>
      <c r="Y62" s="1"/>
      <c r="Z62" s="1"/>
    </row>
    <row r="63" spans="1:26" s="8" customFormat="1" ht="27.75" customHeight="1">
      <c r="A63" s="1"/>
      <c r="B63" s="717">
        <v>19</v>
      </c>
      <c r="C63" s="1096" t="s">
        <v>100</v>
      </c>
      <c r="D63" s="182" t="s">
        <v>65</v>
      </c>
      <c r="E63" s="1097">
        <v>10</v>
      </c>
      <c r="F63" s="141">
        <v>0</v>
      </c>
      <c r="G63" s="1083">
        <f t="shared" si="2"/>
        <v>0</v>
      </c>
      <c r="I63" s="1"/>
      <c r="J63" s="1"/>
      <c r="K63" s="1"/>
      <c r="L63" s="1"/>
      <c r="M63" s="1"/>
      <c r="N63" s="1"/>
      <c r="O63" s="1"/>
      <c r="P63" s="1"/>
      <c r="Q63" s="1"/>
      <c r="R63" s="1"/>
      <c r="S63" s="1"/>
      <c r="T63" s="1"/>
      <c r="U63" s="1"/>
      <c r="V63" s="1"/>
      <c r="W63" s="1"/>
      <c r="X63" s="1"/>
      <c r="Y63" s="1"/>
      <c r="Z63" s="1"/>
    </row>
    <row r="64" spans="1:26" s="8" customFormat="1">
      <c r="A64" s="1"/>
      <c r="B64" s="167"/>
      <c r="C64" s="1098"/>
      <c r="D64" s="1099"/>
      <c r="E64" s="1100"/>
      <c r="F64" s="1101"/>
      <c r="G64" s="1102"/>
      <c r="I64" s="1"/>
      <c r="J64" s="1"/>
      <c r="K64" s="1"/>
      <c r="L64" s="1"/>
      <c r="M64" s="1"/>
      <c r="N64" s="1"/>
      <c r="O64" s="1"/>
      <c r="P64" s="1"/>
      <c r="Q64" s="1"/>
      <c r="R64" s="1"/>
      <c r="S64" s="1"/>
      <c r="T64" s="1"/>
      <c r="U64" s="1"/>
      <c r="V64" s="1"/>
      <c r="W64" s="1"/>
      <c r="X64" s="1"/>
      <c r="Y64" s="1"/>
      <c r="Z64" s="1"/>
    </row>
    <row r="65" spans="1:26" s="8" customFormat="1">
      <c r="A65" s="1"/>
      <c r="B65" s="151" t="s">
        <v>45</v>
      </c>
      <c r="C65" s="1086" t="s">
        <v>101</v>
      </c>
      <c r="D65" s="1103"/>
      <c r="E65" s="1088"/>
      <c r="F65" s="1089"/>
      <c r="G65" s="1090">
        <f>SUM(G45:G63)</f>
        <v>0</v>
      </c>
      <c r="I65" s="1"/>
      <c r="J65" s="1"/>
      <c r="K65" s="1"/>
      <c r="L65" s="1"/>
      <c r="M65" s="1"/>
      <c r="N65" s="1"/>
      <c r="O65" s="1"/>
      <c r="P65" s="1"/>
      <c r="Q65" s="1"/>
      <c r="R65" s="1"/>
      <c r="S65" s="1"/>
      <c r="T65" s="1"/>
      <c r="U65" s="1"/>
      <c r="V65" s="1"/>
      <c r="W65" s="1"/>
      <c r="X65" s="1"/>
      <c r="Y65" s="1"/>
      <c r="Z65" s="1"/>
    </row>
    <row r="66" spans="1:26" s="8" customFormat="1">
      <c r="A66" s="1"/>
      <c r="B66" s="67"/>
      <c r="C66" s="68"/>
      <c r="D66" s="69"/>
      <c r="E66" s="1104"/>
      <c r="F66" s="1105"/>
      <c r="G66" s="1106"/>
      <c r="I66" s="1"/>
      <c r="J66" s="1"/>
      <c r="K66" s="1"/>
      <c r="L66" s="1"/>
      <c r="M66" s="1"/>
      <c r="N66" s="1"/>
      <c r="O66" s="1"/>
      <c r="P66" s="1"/>
      <c r="Q66" s="1"/>
      <c r="R66" s="1"/>
      <c r="S66" s="1"/>
      <c r="T66" s="1"/>
      <c r="U66" s="1"/>
      <c r="V66" s="1"/>
      <c r="W66" s="1"/>
      <c r="X66" s="1"/>
      <c r="Y66" s="1"/>
      <c r="Z66" s="1"/>
    </row>
  </sheetData>
  <mergeCells count="2">
    <mergeCell ref="B44:G44"/>
    <mergeCell ref="B58:B59"/>
  </mergeCells>
  <pageMargins left="0.7" right="0.7" top="0.75" bottom="0.75" header="0.3" footer="0.3"/>
  <pageSetup paperSize="9" scale="84" orientation="portrait" r:id="rId1"/>
  <headerFooter alignWithMargins="0">
    <oddFooter>&amp;C&amp;8&amp;P/&amp;N</oddFooter>
  </headerFooter>
  <rowBreaks count="1" manualBreakCount="1">
    <brk id="2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1844-F675-43C2-8EF1-A6FFB951FD43}">
  <sheetPr>
    <tabColor rgb="FF00B0F0"/>
  </sheetPr>
  <dimension ref="A2:Y217"/>
  <sheetViews>
    <sheetView showZeros="0" topLeftCell="A28"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2.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1420</v>
      </c>
      <c r="D4" s="76"/>
      <c r="E4" s="77"/>
      <c r="F4" s="674"/>
      <c r="G4" s="79"/>
      <c r="H4" s="37"/>
    </row>
    <row r="5" spans="1:25" s="73" customFormat="1" ht="12" customHeight="1">
      <c r="B5" s="80"/>
      <c r="C5" s="81"/>
      <c r="D5" s="82"/>
      <c r="E5" s="83"/>
      <c r="F5" s="675"/>
      <c r="G5" s="85"/>
      <c r="H5" s="37"/>
    </row>
    <row r="6" spans="1:25" s="86" customFormat="1" ht="21" customHeight="1">
      <c r="B6" s="676" t="s">
        <v>37</v>
      </c>
      <c r="C6" s="677" t="s">
        <v>1421</v>
      </c>
      <c r="D6" s="678"/>
      <c r="E6" s="679"/>
      <c r="F6" s="680"/>
      <c r="G6" s="681"/>
      <c r="H6" s="27"/>
    </row>
    <row r="7" spans="1:25" s="86" customFormat="1" ht="21" customHeight="1">
      <c r="B7" s="80"/>
      <c r="C7" s="81"/>
      <c r="D7" s="82"/>
      <c r="E7" s="83"/>
      <c r="F7" s="675"/>
      <c r="G7" s="88"/>
      <c r="H7" s="27"/>
    </row>
    <row r="8" spans="1:25" s="86" customFormat="1" ht="14.25">
      <c r="B8" s="682" t="s">
        <v>551</v>
      </c>
      <c r="C8" s="683" t="s">
        <v>1422</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G65</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G217</f>
        <v>0</v>
      </c>
      <c r="H19" s="37"/>
      <c r="I19" s="73"/>
      <c r="J19" s="73"/>
      <c r="K19" s="73"/>
      <c r="L19" s="73"/>
      <c r="M19" s="73"/>
      <c r="N19" s="73"/>
      <c r="O19" s="73"/>
      <c r="P19" s="73"/>
      <c r="Q19" s="73"/>
      <c r="R19" s="73"/>
      <c r="S19" s="73"/>
      <c r="T19" s="73"/>
      <c r="U19" s="73"/>
      <c r="V19" s="73"/>
      <c r="W19" s="73"/>
      <c r="X19" s="73"/>
      <c r="Y19" s="73"/>
    </row>
    <row r="20" spans="2:25" s="101" customFormat="1" ht="18.75" customHeight="1">
      <c r="B20" s="696"/>
      <c r="C20" s="697" t="s">
        <v>49</v>
      </c>
      <c r="D20" s="698"/>
      <c r="E20" s="699"/>
      <c r="F20" s="700"/>
      <c r="G20" s="2308">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702" t="s">
        <v>41</v>
      </c>
      <c r="C23" s="703" t="s">
        <v>51</v>
      </c>
      <c r="D23" s="704" t="s">
        <v>52</v>
      </c>
      <c r="E23" s="705" t="s">
        <v>53</v>
      </c>
      <c r="F23" s="706" t="s">
        <v>54</v>
      </c>
      <c r="G23" s="707"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939</v>
      </c>
      <c r="F26" s="1082">
        <v>0</v>
      </c>
      <c r="G26" s="1083">
        <f t="shared" ref="G26" si="0">E26*F26</f>
        <v>0</v>
      </c>
    </row>
    <row r="27" spans="2:25">
      <c r="B27" s="125">
        <v>2</v>
      </c>
      <c r="C27" s="144" t="s">
        <v>58</v>
      </c>
      <c r="D27" s="140" t="s">
        <v>57</v>
      </c>
      <c r="E27" s="1081">
        <f>E26</f>
        <v>939</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24">
      <c r="B31" s="125">
        <v>6</v>
      </c>
      <c r="C31" s="1084" t="s">
        <v>63</v>
      </c>
      <c r="D31" s="140" t="s">
        <v>57</v>
      </c>
      <c r="E31" s="1081">
        <f>E26</f>
        <v>939</v>
      </c>
      <c r="F31" s="1082">
        <v>0</v>
      </c>
      <c r="G31" s="1083">
        <f t="shared" si="1"/>
        <v>0</v>
      </c>
    </row>
    <row r="32" spans="2:25" ht="48">
      <c r="B32" s="125">
        <v>7</v>
      </c>
      <c r="C32" s="1084" t="s">
        <v>64</v>
      </c>
      <c r="D32" s="146" t="s">
        <v>60</v>
      </c>
      <c r="E32" s="1081">
        <v>1</v>
      </c>
      <c r="F32" s="1082">
        <v>0</v>
      </c>
      <c r="G32" s="1083">
        <f t="shared" si="1"/>
        <v>0</v>
      </c>
    </row>
    <row r="33" spans="1:25" ht="56.25" customHeight="1">
      <c r="B33" s="125">
        <v>8</v>
      </c>
      <c r="C33" s="1080" t="s">
        <v>2292</v>
      </c>
      <c r="D33" s="146" t="s">
        <v>66</v>
      </c>
      <c r="E33" s="1081">
        <v>51</v>
      </c>
      <c r="F33" s="1082">
        <v>0</v>
      </c>
      <c r="G33" s="1083">
        <f t="shared" si="1"/>
        <v>0</v>
      </c>
    </row>
    <row r="34" spans="1:25" ht="36">
      <c r="B34" s="125">
        <v>9</v>
      </c>
      <c r="C34" s="1080" t="s">
        <v>2295</v>
      </c>
      <c r="D34" s="146" t="s">
        <v>57</v>
      </c>
      <c r="E34" s="1081">
        <f>E26+E85+E86</f>
        <v>1213</v>
      </c>
      <c r="F34" s="1082">
        <v>0</v>
      </c>
      <c r="G34" s="1083">
        <f t="shared" si="1"/>
        <v>0</v>
      </c>
    </row>
    <row r="35" spans="1:25" ht="24">
      <c r="B35" s="125">
        <v>10</v>
      </c>
      <c r="C35" s="1080" t="s">
        <v>2293</v>
      </c>
      <c r="D35" s="146" t="s">
        <v>57</v>
      </c>
      <c r="E35" s="1081">
        <f>E26+E85+E86</f>
        <v>1213</v>
      </c>
      <c r="F35" s="1082">
        <v>0</v>
      </c>
      <c r="G35" s="1083">
        <f t="shared" si="1"/>
        <v>0</v>
      </c>
    </row>
    <row r="36" spans="1:25">
      <c r="B36" s="125">
        <v>11</v>
      </c>
      <c r="C36" s="1084" t="s">
        <v>67</v>
      </c>
      <c r="D36" s="146" t="s">
        <v>60</v>
      </c>
      <c r="E36" s="1081">
        <v>1</v>
      </c>
      <c r="F36" s="1082">
        <v>0</v>
      </c>
      <c r="G36" s="1083">
        <f t="shared" si="1"/>
        <v>0</v>
      </c>
    </row>
    <row r="37" spans="1:25" ht="36">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20</v>
      </c>
      <c r="F46" s="1092">
        <v>0</v>
      </c>
      <c r="G46" s="1093">
        <f t="shared" ref="G46:G63"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253.53</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1436.67</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1408.5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939</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1126.8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563.4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30</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1391</v>
      </c>
      <c r="D54" s="140" t="s">
        <v>78</v>
      </c>
      <c r="E54" s="1094">
        <f>E26*1.2</f>
        <v>1126.8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631.00800000000004</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631.00800000000004</v>
      </c>
      <c r="F57" s="1092">
        <v>0</v>
      </c>
      <c r="G57" s="142">
        <f t="shared" si="2"/>
        <v>0</v>
      </c>
      <c r="I57" s="1"/>
      <c r="J57" s="1"/>
      <c r="K57" s="1"/>
      <c r="L57" s="1"/>
      <c r="M57" s="1"/>
      <c r="N57" s="1"/>
      <c r="O57" s="1"/>
      <c r="P57" s="1"/>
      <c r="Q57" s="1"/>
      <c r="R57" s="1"/>
      <c r="S57" s="1"/>
      <c r="T57" s="1"/>
      <c r="U57" s="1"/>
      <c r="V57" s="1"/>
      <c r="W57" s="1"/>
      <c r="X57" s="1"/>
      <c r="Y57" s="1"/>
    </row>
    <row r="58" spans="1:25" s="8" customFormat="1" ht="24">
      <c r="A58" s="1"/>
      <c r="B58" s="167">
        <v>13</v>
      </c>
      <c r="C58" s="126" t="s">
        <v>95</v>
      </c>
      <c r="D58" s="140" t="s">
        <v>74</v>
      </c>
      <c r="E58" s="1094">
        <f>E26*0.75*0.1</f>
        <v>70.424999999999997</v>
      </c>
      <c r="F58" s="1092">
        <v>0</v>
      </c>
      <c r="G58" s="1083">
        <f t="shared" si="2"/>
        <v>0</v>
      </c>
      <c r="I58" s="1"/>
      <c r="J58" s="1"/>
      <c r="K58" s="1"/>
      <c r="L58" s="1"/>
      <c r="M58" s="1"/>
      <c r="N58" s="1"/>
      <c r="O58" s="1"/>
      <c r="P58" s="1"/>
      <c r="Q58" s="1"/>
      <c r="R58" s="1"/>
      <c r="S58" s="1"/>
      <c r="T58" s="1"/>
      <c r="U58" s="1"/>
      <c r="V58" s="1"/>
      <c r="W58" s="1"/>
      <c r="X58" s="1"/>
      <c r="Y58" s="1"/>
    </row>
    <row r="59" spans="1:25" s="8" customFormat="1" ht="48">
      <c r="A59" s="1"/>
      <c r="B59" s="717">
        <v>14</v>
      </c>
      <c r="C59" s="1096" t="s">
        <v>1393</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167">
        <v>15</v>
      </c>
      <c r="C60" s="1096" t="s">
        <v>270</v>
      </c>
      <c r="D60" s="182" t="s">
        <v>66</v>
      </c>
      <c r="E60" s="1097">
        <v>32</v>
      </c>
      <c r="F60" s="1092">
        <v>0</v>
      </c>
      <c r="G60" s="1083">
        <f t="shared" si="2"/>
        <v>0</v>
      </c>
      <c r="I60" s="1"/>
      <c r="J60" s="1"/>
      <c r="K60" s="1"/>
      <c r="L60" s="1"/>
      <c r="M60" s="1"/>
      <c r="N60" s="1"/>
      <c r="O60" s="1"/>
      <c r="P60" s="1"/>
      <c r="Q60" s="1"/>
      <c r="R60" s="1"/>
      <c r="S60" s="1"/>
      <c r="T60" s="1"/>
      <c r="U60" s="1"/>
      <c r="V60" s="1"/>
      <c r="W60" s="1"/>
      <c r="X60" s="1"/>
      <c r="Y60" s="1"/>
    </row>
    <row r="61" spans="1:25" s="8" customFormat="1" ht="24">
      <c r="A61" s="1"/>
      <c r="B61" s="717">
        <v>16</v>
      </c>
      <c r="C61" s="1096" t="s">
        <v>99</v>
      </c>
      <c r="D61" s="182" t="s">
        <v>74</v>
      </c>
      <c r="E61" s="1097">
        <v>3</v>
      </c>
      <c r="F61" s="109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167">
        <v>17</v>
      </c>
      <c r="C62" s="1096" t="s">
        <v>100</v>
      </c>
      <c r="D62" s="182" t="s">
        <v>65</v>
      </c>
      <c r="E62" s="1097">
        <v>10</v>
      </c>
      <c r="F62" s="1092">
        <v>0</v>
      </c>
      <c r="G62" s="1083">
        <f t="shared" si="2"/>
        <v>0</v>
      </c>
      <c r="I62" s="1"/>
      <c r="J62" s="1"/>
      <c r="K62" s="1"/>
      <c r="L62" s="1"/>
      <c r="M62" s="1"/>
      <c r="N62" s="1"/>
      <c r="O62" s="1"/>
      <c r="P62" s="1"/>
      <c r="Q62" s="1"/>
      <c r="R62" s="1"/>
      <c r="S62" s="1"/>
      <c r="T62" s="1"/>
      <c r="U62" s="1"/>
      <c r="V62" s="1"/>
      <c r="W62" s="1"/>
      <c r="X62" s="1"/>
      <c r="Y62" s="1"/>
    </row>
    <row r="63" spans="1:25" s="8" customFormat="1" ht="48">
      <c r="A63" s="1"/>
      <c r="B63" s="717">
        <v>18</v>
      </c>
      <c r="C63" s="139" t="s">
        <v>1394</v>
      </c>
      <c r="D63" s="140" t="s">
        <v>78</v>
      </c>
      <c r="E63" s="1091">
        <f>E26*1</f>
        <v>939</v>
      </c>
      <c r="F63" s="1092">
        <v>0</v>
      </c>
      <c r="G63" s="1093">
        <f t="shared" si="2"/>
        <v>0</v>
      </c>
      <c r="I63" s="1"/>
      <c r="J63" s="1"/>
      <c r="K63" s="1"/>
      <c r="L63" s="1"/>
      <c r="M63" s="1"/>
      <c r="N63" s="1"/>
      <c r="O63" s="1"/>
      <c r="P63" s="1"/>
      <c r="Q63" s="1"/>
      <c r="R63" s="1"/>
      <c r="S63" s="1"/>
      <c r="T63" s="1"/>
      <c r="U63" s="1"/>
      <c r="V63" s="1"/>
      <c r="W63" s="1"/>
      <c r="X63" s="1"/>
      <c r="Y63" s="1"/>
    </row>
    <row r="64" spans="1:25" s="8" customFormat="1">
      <c r="A64" s="1"/>
      <c r="B64" s="167"/>
      <c r="C64" s="1098"/>
      <c r="D64" s="1099"/>
      <c r="E64" s="1100"/>
      <c r="F64" s="1101"/>
      <c r="G64" s="1102"/>
      <c r="I64" s="1"/>
      <c r="J64" s="1"/>
      <c r="K64" s="1"/>
      <c r="L64" s="1"/>
      <c r="M64" s="1"/>
      <c r="N64" s="1"/>
      <c r="O64" s="1"/>
      <c r="P64" s="1"/>
      <c r="Q64" s="1"/>
      <c r="R64" s="1"/>
      <c r="S64" s="1"/>
      <c r="T64" s="1"/>
      <c r="U64" s="1"/>
      <c r="V64" s="1"/>
      <c r="W64" s="1"/>
      <c r="X64" s="1"/>
      <c r="Y64" s="1"/>
    </row>
    <row r="65" spans="1:25" s="8" customFormat="1">
      <c r="A65" s="1"/>
      <c r="B65" s="151" t="s">
        <v>45</v>
      </c>
      <c r="C65" s="1086" t="s">
        <v>101</v>
      </c>
      <c r="D65" s="1103"/>
      <c r="E65" s="1088"/>
      <c r="F65" s="1089"/>
      <c r="G65" s="263">
        <f>SUM(G46:G63)</f>
        <v>0</v>
      </c>
      <c r="I65" s="1"/>
      <c r="J65" s="1"/>
      <c r="K65" s="1"/>
      <c r="L65" s="1"/>
      <c r="M65" s="1"/>
      <c r="N65" s="1"/>
      <c r="O65" s="1"/>
      <c r="P65" s="1"/>
      <c r="Q65" s="1"/>
      <c r="R65" s="1"/>
      <c r="S65" s="1"/>
      <c r="T65" s="1"/>
      <c r="U65" s="1"/>
      <c r="V65" s="1"/>
      <c r="W65" s="1"/>
      <c r="X65" s="1"/>
      <c r="Y65" s="1"/>
    </row>
    <row r="66" spans="1:25" s="8" customFormat="1">
      <c r="A66" s="1"/>
      <c r="B66" s="67"/>
      <c r="C66" s="68"/>
      <c r="D66" s="69"/>
      <c r="E66" s="1104"/>
      <c r="F66" s="1105"/>
      <c r="G66" s="1106"/>
      <c r="I66" s="1"/>
      <c r="J66" s="1"/>
      <c r="K66" s="1"/>
      <c r="L66" s="1"/>
      <c r="M66" s="1"/>
      <c r="N66" s="1"/>
      <c r="O66" s="1"/>
      <c r="P66" s="1"/>
      <c r="Q66" s="1"/>
      <c r="R66" s="1"/>
      <c r="S66" s="1"/>
      <c r="T66" s="1"/>
      <c r="U66" s="1"/>
      <c r="V66" s="1"/>
      <c r="W66" s="1"/>
      <c r="X66" s="1"/>
      <c r="Y66" s="1"/>
    </row>
    <row r="67" spans="1:25" s="8" customFormat="1" ht="24">
      <c r="A67" s="1"/>
      <c r="B67" s="119" t="s">
        <v>50</v>
      </c>
      <c r="C67" s="120" t="s">
        <v>51</v>
      </c>
      <c r="D67" s="121" t="s">
        <v>52</v>
      </c>
      <c r="E67" s="122" t="s">
        <v>53</v>
      </c>
      <c r="F67" s="123" t="s">
        <v>54</v>
      </c>
      <c r="G67" s="124" t="s">
        <v>55</v>
      </c>
      <c r="I67" s="1"/>
      <c r="J67" s="1"/>
      <c r="K67" s="1"/>
      <c r="L67" s="1"/>
      <c r="M67" s="1"/>
      <c r="N67" s="1"/>
      <c r="O67" s="1"/>
      <c r="P67" s="1"/>
      <c r="Q67" s="1"/>
      <c r="R67" s="1"/>
      <c r="S67" s="1"/>
      <c r="T67" s="1"/>
      <c r="U67" s="1"/>
      <c r="V67" s="1"/>
      <c r="W67" s="1"/>
      <c r="X67" s="1"/>
      <c r="Y67" s="1"/>
    </row>
    <row r="68" spans="1:25" s="8" customFormat="1">
      <c r="A68" s="1"/>
      <c r="B68" s="125"/>
      <c r="C68" s="126"/>
      <c r="D68" s="127"/>
      <c r="E68" s="719"/>
      <c r="F68" s="1107"/>
      <c r="G68" s="731"/>
      <c r="I68" s="1"/>
      <c r="J68" s="1"/>
      <c r="K68" s="1"/>
      <c r="L68" s="1"/>
      <c r="M68" s="1"/>
      <c r="N68" s="1"/>
      <c r="O68" s="1"/>
      <c r="P68" s="1"/>
      <c r="Q68" s="1"/>
      <c r="R68" s="1"/>
      <c r="S68" s="1"/>
      <c r="T68" s="1"/>
      <c r="U68" s="1"/>
      <c r="V68" s="1"/>
      <c r="W68" s="1"/>
      <c r="X68" s="1"/>
      <c r="Y68" s="1"/>
    </row>
    <row r="69" spans="1:25" s="8" customFormat="1" ht="20.25">
      <c r="A69" s="1"/>
      <c r="B69" s="186" t="s">
        <v>47</v>
      </c>
      <c r="C69" s="187" t="s">
        <v>48</v>
      </c>
      <c r="D69" s="165"/>
      <c r="E69" s="134"/>
      <c r="F69" s="135"/>
      <c r="G69" s="136"/>
      <c r="I69" s="1"/>
      <c r="J69" s="1"/>
      <c r="K69" s="1"/>
      <c r="L69" s="1"/>
      <c r="M69" s="1"/>
      <c r="N69" s="1"/>
      <c r="O69" s="1"/>
      <c r="P69" s="1"/>
      <c r="Q69" s="1"/>
      <c r="R69" s="1"/>
      <c r="S69" s="1"/>
      <c r="T69" s="1"/>
      <c r="U69" s="1"/>
      <c r="V69" s="1"/>
      <c r="W69" s="1"/>
      <c r="X69" s="1"/>
      <c r="Y69" s="1"/>
    </row>
    <row r="70" spans="1:25" s="8" customFormat="1">
      <c r="A70" s="1"/>
      <c r="B70" s="1108" t="s">
        <v>38</v>
      </c>
      <c r="C70" s="1109"/>
      <c r="D70" s="1110"/>
      <c r="E70" s="1109"/>
      <c r="F70" s="1109"/>
      <c r="G70" s="1110"/>
      <c r="I70" s="1"/>
      <c r="J70" s="1"/>
      <c r="K70" s="1"/>
      <c r="L70" s="1"/>
      <c r="M70" s="1"/>
      <c r="N70" s="1"/>
      <c r="O70" s="1"/>
      <c r="P70" s="1"/>
      <c r="Q70" s="1"/>
      <c r="R70" s="1"/>
      <c r="S70" s="1"/>
      <c r="T70" s="1"/>
      <c r="U70" s="1"/>
      <c r="V70" s="1"/>
      <c r="W70" s="1"/>
      <c r="X70" s="1"/>
      <c r="Y70" s="1"/>
    </row>
    <row r="71" spans="1:25" s="8" customFormat="1">
      <c r="A71" s="1"/>
      <c r="B71" s="1111" t="s">
        <v>39</v>
      </c>
      <c r="C71" s="1112"/>
      <c r="D71" s="1112"/>
      <c r="E71" s="1112"/>
      <c r="F71" s="1112"/>
      <c r="G71" s="1113"/>
      <c r="I71" s="1"/>
      <c r="J71" s="1"/>
      <c r="K71" s="1"/>
      <c r="L71" s="1"/>
      <c r="M71" s="1"/>
      <c r="N71" s="1"/>
      <c r="O71" s="1"/>
      <c r="P71" s="1"/>
      <c r="Q71" s="1"/>
      <c r="R71" s="1"/>
      <c r="S71" s="1"/>
      <c r="T71" s="1"/>
      <c r="U71" s="1"/>
      <c r="V71" s="1"/>
      <c r="W71" s="1"/>
      <c r="X71" s="1"/>
      <c r="Y71" s="1"/>
    </row>
    <row r="72" spans="1:25" s="8" customFormat="1">
      <c r="A72" s="1"/>
      <c r="B72" s="1108" t="s">
        <v>4</v>
      </c>
      <c r="C72" s="1109"/>
      <c r="D72" s="1114"/>
      <c r="E72" s="1109"/>
      <c r="F72" s="1109"/>
      <c r="G72" s="1110"/>
      <c r="I72" s="1"/>
      <c r="J72" s="1"/>
      <c r="K72" s="1"/>
      <c r="L72" s="1"/>
      <c r="M72" s="1"/>
      <c r="N72" s="1"/>
      <c r="O72" s="1"/>
      <c r="P72" s="1"/>
      <c r="Q72" s="1"/>
      <c r="R72" s="1"/>
      <c r="S72" s="1"/>
      <c r="T72" s="1"/>
      <c r="U72" s="1"/>
      <c r="V72" s="1"/>
      <c r="W72" s="1"/>
      <c r="X72" s="1"/>
      <c r="Y72" s="1"/>
    </row>
    <row r="73" spans="1:25" s="8" customFormat="1">
      <c r="A73" s="1"/>
      <c r="B73" s="1111" t="s">
        <v>5</v>
      </c>
      <c r="C73" s="1112"/>
      <c r="D73" s="1112"/>
      <c r="E73" s="1112"/>
      <c r="F73" s="1112"/>
      <c r="G73" s="1113"/>
      <c r="I73" s="1"/>
      <c r="J73" s="1"/>
      <c r="K73" s="1"/>
      <c r="L73" s="1"/>
      <c r="M73" s="1"/>
      <c r="N73" s="1"/>
      <c r="O73" s="1"/>
      <c r="P73" s="1"/>
      <c r="Q73" s="1"/>
      <c r="R73" s="1"/>
      <c r="S73" s="1"/>
      <c r="T73" s="1"/>
      <c r="U73" s="1"/>
      <c r="V73" s="1"/>
      <c r="W73" s="1"/>
      <c r="X73" s="1"/>
      <c r="Y73" s="1"/>
    </row>
    <row r="74" spans="1:25" s="8" customFormat="1">
      <c r="A74" s="1"/>
      <c r="B74" s="2399" t="s">
        <v>271</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2399" t="s">
        <v>104</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105</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1115"/>
      <c r="C77" s="1116"/>
      <c r="D77" s="1116"/>
      <c r="E77" s="1116"/>
      <c r="F77" s="1116"/>
      <c r="G77" s="1117"/>
      <c r="I77" s="1"/>
      <c r="J77" s="1"/>
      <c r="K77" s="1"/>
      <c r="L77" s="1"/>
      <c r="M77" s="1"/>
      <c r="N77" s="1"/>
      <c r="O77" s="1"/>
      <c r="P77" s="1"/>
      <c r="Q77" s="1"/>
      <c r="R77" s="1"/>
      <c r="S77" s="1"/>
      <c r="T77" s="1"/>
      <c r="U77" s="1"/>
      <c r="V77" s="1"/>
      <c r="W77" s="1"/>
      <c r="X77" s="1"/>
      <c r="Y77" s="1"/>
    </row>
    <row r="78" spans="1:25" ht="24">
      <c r="B78" s="188">
        <v>1</v>
      </c>
      <c r="C78" s="189" t="s">
        <v>106</v>
      </c>
      <c r="D78" s="190"/>
      <c r="E78" s="719"/>
      <c r="F78" s="1107"/>
      <c r="G78" s="731"/>
    </row>
    <row r="79" spans="1:25">
      <c r="B79" s="191"/>
      <c r="C79" s="271" t="s">
        <v>179</v>
      </c>
      <c r="D79" s="190" t="s">
        <v>57</v>
      </c>
      <c r="E79" s="719">
        <f>193*0.9</f>
        <v>173.70000000000002</v>
      </c>
      <c r="F79" s="1092">
        <v>0</v>
      </c>
      <c r="G79" s="1093">
        <f>E79*F79</f>
        <v>0</v>
      </c>
    </row>
    <row r="80" spans="1:25">
      <c r="B80" s="191"/>
      <c r="C80" s="271" t="s">
        <v>180</v>
      </c>
      <c r="D80" s="190" t="s">
        <v>57</v>
      </c>
      <c r="E80" s="719">
        <f>193*0.1</f>
        <v>19.3</v>
      </c>
      <c r="F80" s="1092">
        <v>0</v>
      </c>
      <c r="G80" s="1093">
        <f>E80*F80</f>
        <v>0</v>
      </c>
    </row>
    <row r="81" spans="2:7">
      <c r="B81" s="191"/>
      <c r="C81" s="192" t="s">
        <v>107</v>
      </c>
      <c r="D81" s="190" t="s">
        <v>57</v>
      </c>
      <c r="E81" s="719">
        <f>288*0.9</f>
        <v>259.2</v>
      </c>
      <c r="F81" s="1092">
        <v>0</v>
      </c>
      <c r="G81" s="1093">
        <f t="shared" ref="G81:G82" si="3">E81*F81</f>
        <v>0</v>
      </c>
    </row>
    <row r="82" spans="2:7" ht="24">
      <c r="B82" s="191"/>
      <c r="C82" s="192" t="s">
        <v>884</v>
      </c>
      <c r="D82" s="190" t="s">
        <v>57</v>
      </c>
      <c r="E82" s="719">
        <f>288*0.1</f>
        <v>28.8</v>
      </c>
      <c r="F82" s="1092">
        <v>0</v>
      </c>
      <c r="G82" s="1093">
        <f t="shared" si="3"/>
        <v>0</v>
      </c>
    </row>
    <row r="83" spans="2:7">
      <c r="B83" s="191"/>
      <c r="C83" s="192" t="s">
        <v>226</v>
      </c>
      <c r="D83" s="190" t="s">
        <v>57</v>
      </c>
      <c r="E83" s="719">
        <f>458*0.9</f>
        <v>412.2</v>
      </c>
      <c r="F83" s="1092">
        <v>0</v>
      </c>
      <c r="G83" s="1093">
        <f>E83*F83</f>
        <v>0</v>
      </c>
    </row>
    <row r="84" spans="2:7" ht="24">
      <c r="B84" s="191"/>
      <c r="C84" s="192" t="s">
        <v>1423</v>
      </c>
      <c r="D84" s="190" t="s">
        <v>57</v>
      </c>
      <c r="E84" s="719">
        <f>458*0.1</f>
        <v>45.800000000000004</v>
      </c>
      <c r="F84" s="1092">
        <v>0</v>
      </c>
      <c r="G84" s="1093">
        <f>E84*F84</f>
        <v>0</v>
      </c>
    </row>
    <row r="85" spans="2:7">
      <c r="B85" s="191"/>
      <c r="C85" s="192" t="s">
        <v>109</v>
      </c>
      <c r="D85" s="190" t="s">
        <v>57</v>
      </c>
      <c r="E85" s="719">
        <f>274*0.9</f>
        <v>246.6</v>
      </c>
      <c r="F85" s="1092">
        <v>0</v>
      </c>
      <c r="G85" s="1093">
        <f t="shared" ref="G85:G91" si="4">E85*F85</f>
        <v>0</v>
      </c>
    </row>
    <row r="86" spans="2:7" ht="24">
      <c r="B86" s="191"/>
      <c r="C86" s="192" t="s">
        <v>1424</v>
      </c>
      <c r="D86" s="190" t="s">
        <v>57</v>
      </c>
      <c r="E86" s="719">
        <f>274*0.1</f>
        <v>27.400000000000002</v>
      </c>
      <c r="F86" s="1092">
        <v>0</v>
      </c>
      <c r="G86" s="1093">
        <f t="shared" si="4"/>
        <v>0</v>
      </c>
    </row>
    <row r="87" spans="2:7" ht="36">
      <c r="B87" s="2404" t="s">
        <v>111</v>
      </c>
      <c r="C87" s="193" t="s">
        <v>112</v>
      </c>
      <c r="D87" s="194"/>
      <c r="E87" s="719"/>
      <c r="F87" s="1092"/>
      <c r="G87" s="1093"/>
    </row>
    <row r="88" spans="2:7">
      <c r="B88" s="2405"/>
      <c r="C88" s="195" t="s">
        <v>113</v>
      </c>
      <c r="D88" s="194" t="s">
        <v>57</v>
      </c>
      <c r="E88" s="719">
        <v>29</v>
      </c>
      <c r="F88" s="1092">
        <v>0</v>
      </c>
      <c r="G88" s="1093">
        <f>E88*F88</f>
        <v>0</v>
      </c>
    </row>
    <row r="89" spans="2:7">
      <c r="B89" s="2405"/>
      <c r="C89" s="195" t="s">
        <v>274</v>
      </c>
      <c r="D89" s="194" t="s">
        <v>57</v>
      </c>
      <c r="E89" s="719">
        <v>44</v>
      </c>
      <c r="F89" s="1092">
        <v>0</v>
      </c>
      <c r="G89" s="1093">
        <f>E89*F89</f>
        <v>0</v>
      </c>
    </row>
    <row r="90" spans="2:7">
      <c r="B90" s="2413"/>
      <c r="C90" s="195" t="s">
        <v>275</v>
      </c>
      <c r="D90" s="194" t="s">
        <v>57</v>
      </c>
      <c r="E90" s="719">
        <v>42</v>
      </c>
      <c r="F90" s="1092">
        <v>0</v>
      </c>
      <c r="G90" s="1093">
        <f>E90*F90</f>
        <v>0</v>
      </c>
    </row>
    <row r="91" spans="2:7" ht="36">
      <c r="B91" s="196">
        <v>2</v>
      </c>
      <c r="C91" s="197" t="s">
        <v>114</v>
      </c>
      <c r="D91" s="145" t="s">
        <v>57</v>
      </c>
      <c r="E91" s="732">
        <f>SUM(E79:E86)</f>
        <v>1213</v>
      </c>
      <c r="F91" s="1092">
        <v>0</v>
      </c>
      <c r="G91" s="1093">
        <f t="shared" si="4"/>
        <v>0</v>
      </c>
    </row>
    <row r="92" spans="2:7" ht="36">
      <c r="B92" s="199" t="s">
        <v>115</v>
      </c>
      <c r="C92" s="197" t="s">
        <v>116</v>
      </c>
      <c r="D92" s="145" t="s">
        <v>57</v>
      </c>
      <c r="E92" s="732">
        <f>E91</f>
        <v>1213</v>
      </c>
      <c r="F92" s="1092">
        <v>0</v>
      </c>
      <c r="G92" s="1093">
        <f>E92*F92</f>
        <v>0</v>
      </c>
    </row>
    <row r="93" spans="2:7" ht="24">
      <c r="B93" s="199" t="s">
        <v>117</v>
      </c>
      <c r="C93" s="197" t="s">
        <v>118</v>
      </c>
      <c r="D93" s="145" t="s">
        <v>57</v>
      </c>
      <c r="E93" s="732">
        <f>E91</f>
        <v>1213</v>
      </c>
      <c r="F93" s="1092">
        <v>0</v>
      </c>
      <c r="G93" s="1093">
        <f>E93*F93</f>
        <v>0</v>
      </c>
    </row>
    <row r="94" spans="2:7" ht="36">
      <c r="B94" s="199" t="s">
        <v>119</v>
      </c>
      <c r="C94" s="197" t="s">
        <v>120</v>
      </c>
      <c r="D94" s="145" t="s">
        <v>57</v>
      </c>
      <c r="E94" s="732">
        <f>E91</f>
        <v>1213</v>
      </c>
      <c r="F94" s="1092">
        <v>0</v>
      </c>
      <c r="G94" s="1093">
        <f>E94*F94</f>
        <v>0</v>
      </c>
    </row>
    <row r="95" spans="2:7" ht="24">
      <c r="B95" s="188">
        <v>3</v>
      </c>
      <c r="C95" s="200" t="s">
        <v>121</v>
      </c>
      <c r="D95" s="127"/>
      <c r="E95" s="719"/>
      <c r="F95" s="1107"/>
      <c r="G95" s="731"/>
    </row>
    <row r="96" spans="2:7">
      <c r="B96" s="201" t="s">
        <v>122</v>
      </c>
      <c r="C96" s="202" t="s">
        <v>123</v>
      </c>
      <c r="D96" s="203"/>
      <c r="E96" s="204"/>
      <c r="F96" s="205"/>
      <c r="G96" s="206"/>
    </row>
    <row r="97" spans="2:7">
      <c r="B97" s="125"/>
      <c r="C97" s="202" t="s">
        <v>210</v>
      </c>
      <c r="D97" s="203"/>
      <c r="E97" s="204"/>
      <c r="F97" s="205"/>
      <c r="G97" s="206"/>
    </row>
    <row r="98" spans="2:7">
      <c r="B98" s="125"/>
      <c r="C98" s="280" t="s">
        <v>211</v>
      </c>
      <c r="D98" s="209" t="s">
        <v>66</v>
      </c>
      <c r="E98" s="204">
        <v>1</v>
      </c>
      <c r="F98" s="210">
        <v>0</v>
      </c>
      <c r="G98" s="211">
        <f>E98*F98</f>
        <v>0</v>
      </c>
    </row>
    <row r="99" spans="2:7">
      <c r="B99" s="125"/>
      <c r="C99" s="280" t="s">
        <v>212</v>
      </c>
      <c r="D99" s="209" t="s">
        <v>66</v>
      </c>
      <c r="E99" s="204">
        <v>1</v>
      </c>
      <c r="F99" s="210">
        <v>0</v>
      </c>
      <c r="G99" s="211">
        <f>E99*F99</f>
        <v>0</v>
      </c>
    </row>
    <row r="100" spans="2:7">
      <c r="B100" s="125"/>
      <c r="C100" s="280" t="s">
        <v>885</v>
      </c>
      <c r="D100" s="209" t="s">
        <v>66</v>
      </c>
      <c r="E100" s="204">
        <v>1</v>
      </c>
      <c r="F100" s="210">
        <v>0</v>
      </c>
      <c r="G100" s="211">
        <f>E100*F100</f>
        <v>0</v>
      </c>
    </row>
    <row r="101" spans="2:7">
      <c r="B101" s="125"/>
      <c r="C101" s="280" t="s">
        <v>213</v>
      </c>
      <c r="D101" s="209" t="s">
        <v>66</v>
      </c>
      <c r="E101" s="204">
        <v>2</v>
      </c>
      <c r="F101" s="210">
        <v>0</v>
      </c>
      <c r="G101" s="211">
        <f>E101*F101</f>
        <v>0</v>
      </c>
    </row>
    <row r="102" spans="2:7">
      <c r="B102" s="207"/>
      <c r="C102" s="208" t="s">
        <v>214</v>
      </c>
      <c r="D102" s="209" t="s">
        <v>66</v>
      </c>
      <c r="E102" s="204">
        <v>10</v>
      </c>
      <c r="F102" s="210">
        <v>0</v>
      </c>
      <c r="G102" s="211">
        <f>E102*F102</f>
        <v>0</v>
      </c>
    </row>
    <row r="103" spans="2:7">
      <c r="B103" s="201" t="s">
        <v>126</v>
      </c>
      <c r="C103" s="212" t="s">
        <v>127</v>
      </c>
      <c r="D103" s="213"/>
      <c r="E103" s="214"/>
      <c r="F103" s="215"/>
      <c r="G103" s="216"/>
    </row>
    <row r="104" spans="2:7">
      <c r="B104" s="218"/>
      <c r="C104" s="212" t="s">
        <v>181</v>
      </c>
      <c r="D104" s="735"/>
      <c r="E104" s="736"/>
      <c r="F104" s="1601"/>
      <c r="G104" s="1121"/>
    </row>
    <row r="105" spans="2:7">
      <c r="B105" s="218"/>
      <c r="C105" s="219" t="s">
        <v>182</v>
      </c>
      <c r="D105" s="213" t="s">
        <v>66</v>
      </c>
      <c r="E105" s="214">
        <v>2</v>
      </c>
      <c r="F105" s="1599">
        <v>0</v>
      </c>
      <c r="G105" s="221">
        <f t="shared" ref="G105:G131" si="5">E105*F105</f>
        <v>0</v>
      </c>
    </row>
    <row r="106" spans="2:7" ht="36">
      <c r="B106" s="218"/>
      <c r="C106" s="222" t="s">
        <v>130</v>
      </c>
      <c r="D106" s="213" t="s">
        <v>66</v>
      </c>
      <c r="E106" s="214">
        <v>2</v>
      </c>
      <c r="F106" s="1599">
        <v>0</v>
      </c>
      <c r="G106" s="221">
        <f t="shared" si="5"/>
        <v>0</v>
      </c>
    </row>
    <row r="107" spans="2:7">
      <c r="B107" s="218"/>
      <c r="C107" s="222" t="s">
        <v>183</v>
      </c>
      <c r="D107" s="213" t="s">
        <v>66</v>
      </c>
      <c r="E107" s="214">
        <v>2</v>
      </c>
      <c r="F107" s="1599">
        <v>0</v>
      </c>
      <c r="G107" s="221">
        <f t="shared" si="5"/>
        <v>0</v>
      </c>
    </row>
    <row r="108" spans="2:7">
      <c r="B108" s="218"/>
      <c r="C108" s="222" t="s">
        <v>131</v>
      </c>
      <c r="D108" s="213" t="s">
        <v>66</v>
      </c>
      <c r="E108" s="214">
        <v>2</v>
      </c>
      <c r="F108" s="1599">
        <v>0</v>
      </c>
      <c r="G108" s="221">
        <f t="shared" si="5"/>
        <v>0</v>
      </c>
    </row>
    <row r="109" spans="2:7">
      <c r="B109" s="218"/>
      <c r="C109" s="234" t="s">
        <v>184</v>
      </c>
      <c r="D109" s="213" t="s">
        <v>66</v>
      </c>
      <c r="E109" s="214">
        <v>4</v>
      </c>
      <c r="F109" s="1599">
        <v>0</v>
      </c>
      <c r="G109" s="221">
        <f t="shared" si="5"/>
        <v>0</v>
      </c>
    </row>
    <row r="110" spans="2:7">
      <c r="B110" s="218"/>
      <c r="C110" s="234" t="s">
        <v>134</v>
      </c>
      <c r="D110" s="213" t="s">
        <v>66</v>
      </c>
      <c r="E110" s="214">
        <v>2</v>
      </c>
      <c r="F110" s="1599">
        <v>0</v>
      </c>
      <c r="G110" s="221">
        <f t="shared" si="5"/>
        <v>0</v>
      </c>
    </row>
    <row r="111" spans="2:7">
      <c r="B111" s="218"/>
      <c r="C111" s="235" t="s">
        <v>135</v>
      </c>
      <c r="D111" s="213" t="s">
        <v>66</v>
      </c>
      <c r="E111" s="214">
        <v>2</v>
      </c>
      <c r="F111" s="1599">
        <v>0</v>
      </c>
      <c r="G111" s="221">
        <f t="shared" si="5"/>
        <v>0</v>
      </c>
    </row>
    <row r="112" spans="2:7">
      <c r="B112" s="218"/>
      <c r="C112" s="212" t="s">
        <v>128</v>
      </c>
      <c r="D112" s="735"/>
      <c r="E112" s="736"/>
      <c r="F112" s="1599"/>
      <c r="G112" s="221"/>
    </row>
    <row r="113" spans="2:7">
      <c r="B113" s="218"/>
      <c r="C113" s="219" t="s">
        <v>129</v>
      </c>
      <c r="D113" s="213" t="s">
        <v>66</v>
      </c>
      <c r="E113" s="214">
        <v>1</v>
      </c>
      <c r="F113" s="1599">
        <v>0</v>
      </c>
      <c r="G113" s="221">
        <f t="shared" si="5"/>
        <v>0</v>
      </c>
    </row>
    <row r="114" spans="2:7" ht="36">
      <c r="B114" s="218"/>
      <c r="C114" s="222" t="s">
        <v>130</v>
      </c>
      <c r="D114" s="213" t="s">
        <v>66</v>
      </c>
      <c r="E114" s="214">
        <v>1</v>
      </c>
      <c r="F114" s="1599">
        <v>0</v>
      </c>
      <c r="G114" s="221">
        <f t="shared" si="5"/>
        <v>0</v>
      </c>
    </row>
    <row r="115" spans="2:7">
      <c r="B115" s="218"/>
      <c r="C115" s="222" t="s">
        <v>183</v>
      </c>
      <c r="D115" s="213" t="s">
        <v>66</v>
      </c>
      <c r="E115" s="214">
        <v>1</v>
      </c>
      <c r="F115" s="1599">
        <v>0</v>
      </c>
      <c r="G115" s="221">
        <f t="shared" si="5"/>
        <v>0</v>
      </c>
    </row>
    <row r="116" spans="2:7">
      <c r="B116" s="218"/>
      <c r="C116" s="222" t="s">
        <v>131</v>
      </c>
      <c r="D116" s="213" t="s">
        <v>66</v>
      </c>
      <c r="E116" s="214">
        <v>1</v>
      </c>
      <c r="F116" s="1599">
        <v>0</v>
      </c>
      <c r="G116" s="221">
        <f t="shared" si="5"/>
        <v>0</v>
      </c>
    </row>
    <row r="117" spans="2:7">
      <c r="B117" s="218"/>
      <c r="C117" s="222" t="s">
        <v>132</v>
      </c>
      <c r="D117" s="213" t="s">
        <v>66</v>
      </c>
      <c r="E117" s="214">
        <v>2</v>
      </c>
      <c r="F117" s="1599">
        <v>0</v>
      </c>
      <c r="G117" s="221">
        <f t="shared" si="5"/>
        <v>0</v>
      </c>
    </row>
    <row r="118" spans="2:7">
      <c r="B118" s="218"/>
      <c r="C118" s="222" t="s">
        <v>133</v>
      </c>
      <c r="D118" s="213" t="s">
        <v>66</v>
      </c>
      <c r="E118" s="214">
        <v>2</v>
      </c>
      <c r="F118" s="1599">
        <v>0</v>
      </c>
      <c r="G118" s="221">
        <f t="shared" si="5"/>
        <v>0</v>
      </c>
    </row>
    <row r="119" spans="2:7">
      <c r="B119" s="218"/>
      <c r="C119" s="222" t="s">
        <v>134</v>
      </c>
      <c r="D119" s="213" t="s">
        <v>66</v>
      </c>
      <c r="E119" s="214">
        <v>1</v>
      </c>
      <c r="F119" s="1599">
        <v>0</v>
      </c>
      <c r="G119" s="221">
        <f t="shared" si="5"/>
        <v>0</v>
      </c>
    </row>
    <row r="120" spans="2:7">
      <c r="B120" s="218"/>
      <c r="C120" s="222" t="s">
        <v>135</v>
      </c>
      <c r="D120" s="213" t="s">
        <v>66</v>
      </c>
      <c r="E120" s="214">
        <v>1</v>
      </c>
      <c r="F120" s="1599">
        <v>0</v>
      </c>
      <c r="G120" s="221">
        <f t="shared" si="5"/>
        <v>0</v>
      </c>
    </row>
    <row r="121" spans="2:7">
      <c r="B121" s="218"/>
      <c r="C121" s="212" t="s">
        <v>318</v>
      </c>
      <c r="D121" s="735"/>
      <c r="E121" s="736"/>
      <c r="F121" s="1599"/>
      <c r="G121" s="221"/>
    </row>
    <row r="122" spans="2:7">
      <c r="B122" s="218"/>
      <c r="C122" s="219" t="s">
        <v>319</v>
      </c>
      <c r="D122" s="213" t="s">
        <v>66</v>
      </c>
      <c r="E122" s="214">
        <v>1</v>
      </c>
      <c r="F122" s="1599">
        <v>0</v>
      </c>
      <c r="G122" s="221">
        <f t="shared" si="5"/>
        <v>0</v>
      </c>
    </row>
    <row r="123" spans="2:7" ht="36">
      <c r="B123" s="218"/>
      <c r="C123" s="222" t="s">
        <v>283</v>
      </c>
      <c r="D123" s="213" t="s">
        <v>66</v>
      </c>
      <c r="E123" s="214">
        <v>1</v>
      </c>
      <c r="F123" s="1599">
        <v>0</v>
      </c>
      <c r="G123" s="221">
        <f t="shared" si="5"/>
        <v>0</v>
      </c>
    </row>
    <row r="124" spans="2:7">
      <c r="B124" s="218"/>
      <c r="C124" s="222" t="s">
        <v>183</v>
      </c>
      <c r="D124" s="213" t="s">
        <v>66</v>
      </c>
      <c r="E124" s="214">
        <v>1</v>
      </c>
      <c r="F124" s="1599">
        <v>0</v>
      </c>
      <c r="G124" s="221">
        <f t="shared" si="5"/>
        <v>0</v>
      </c>
    </row>
    <row r="125" spans="2:7">
      <c r="B125" s="218"/>
      <c r="C125" s="222" t="s">
        <v>131</v>
      </c>
      <c r="D125" s="213" t="s">
        <v>66</v>
      </c>
      <c r="E125" s="214">
        <v>1</v>
      </c>
      <c r="F125" s="1599">
        <v>0</v>
      </c>
      <c r="G125" s="221">
        <f t="shared" si="5"/>
        <v>0</v>
      </c>
    </row>
    <row r="126" spans="2:7">
      <c r="B126" s="218"/>
      <c r="C126" s="1133" t="s">
        <v>166</v>
      </c>
      <c r="D126" s="213" t="s">
        <v>66</v>
      </c>
      <c r="E126" s="214">
        <v>2</v>
      </c>
      <c r="F126" s="1599">
        <v>0</v>
      </c>
      <c r="G126" s="221">
        <f t="shared" si="5"/>
        <v>0</v>
      </c>
    </row>
    <row r="127" spans="2:7">
      <c r="B127" s="218"/>
      <c r="C127" s="1133" t="s">
        <v>167</v>
      </c>
      <c r="D127" s="213" t="s">
        <v>66</v>
      </c>
      <c r="E127" s="214">
        <v>2</v>
      </c>
      <c r="F127" s="1599">
        <v>0</v>
      </c>
      <c r="G127" s="221">
        <f t="shared" si="5"/>
        <v>0</v>
      </c>
    </row>
    <row r="128" spans="2:7">
      <c r="B128" s="218"/>
      <c r="C128" s="1133" t="s">
        <v>229</v>
      </c>
      <c r="D128" s="213" t="s">
        <v>66</v>
      </c>
      <c r="E128" s="214">
        <v>2</v>
      </c>
      <c r="F128" s="1599">
        <v>0</v>
      </c>
      <c r="G128" s="221">
        <f t="shared" si="5"/>
        <v>0</v>
      </c>
    </row>
    <row r="129" spans="2:7">
      <c r="B129" s="218"/>
      <c r="C129" s="1133" t="s">
        <v>230</v>
      </c>
      <c r="D129" s="213" t="s">
        <v>66</v>
      </c>
      <c r="E129" s="214">
        <v>2</v>
      </c>
      <c r="F129" s="1599">
        <v>0</v>
      </c>
      <c r="G129" s="221">
        <f t="shared" si="5"/>
        <v>0</v>
      </c>
    </row>
    <row r="130" spans="2:7">
      <c r="B130" s="218"/>
      <c r="C130" s="1133" t="s">
        <v>134</v>
      </c>
      <c r="D130" s="213" t="s">
        <v>66</v>
      </c>
      <c r="E130" s="214">
        <v>1</v>
      </c>
      <c r="F130" s="1599">
        <v>0</v>
      </c>
      <c r="G130" s="221">
        <f t="shared" si="5"/>
        <v>0</v>
      </c>
    </row>
    <row r="131" spans="2:7">
      <c r="B131" s="218"/>
      <c r="C131" s="1134" t="s">
        <v>135</v>
      </c>
      <c r="D131" s="213" t="s">
        <v>66</v>
      </c>
      <c r="E131" s="214">
        <v>1</v>
      </c>
      <c r="F131" s="1599">
        <v>0</v>
      </c>
      <c r="G131" s="221">
        <f t="shared" si="5"/>
        <v>0</v>
      </c>
    </row>
    <row r="132" spans="2:7">
      <c r="B132" s="201" t="s">
        <v>136</v>
      </c>
      <c r="C132" s="238" t="s">
        <v>320</v>
      </c>
      <c r="D132" s="239"/>
      <c r="E132" s="240"/>
      <c r="F132" s="241"/>
      <c r="G132" s="242"/>
    </row>
    <row r="133" spans="2:7">
      <c r="B133" s="218"/>
      <c r="C133" s="238" t="s">
        <v>326</v>
      </c>
      <c r="D133" s="153"/>
      <c r="E133" s="741"/>
      <c r="F133" s="1611"/>
      <c r="G133" s="263"/>
    </row>
    <row r="134" spans="2:7" ht="27" customHeight="1">
      <c r="B134" s="218"/>
      <c r="C134" s="1123" t="s">
        <v>322</v>
      </c>
      <c r="D134" s="239" t="s">
        <v>66</v>
      </c>
      <c r="E134" s="240">
        <v>3</v>
      </c>
      <c r="F134" s="1609">
        <v>0</v>
      </c>
      <c r="G134" s="245">
        <f t="shared" ref="G134:G136" si="6">E134*F134</f>
        <v>0</v>
      </c>
    </row>
    <row r="135" spans="2:7">
      <c r="B135" s="218"/>
      <c r="C135" s="246" t="s">
        <v>325</v>
      </c>
      <c r="D135" s="239" t="s">
        <v>66</v>
      </c>
      <c r="E135" s="240">
        <v>3</v>
      </c>
      <c r="F135" s="1609">
        <v>0</v>
      </c>
      <c r="G135" s="245">
        <f t="shared" si="6"/>
        <v>0</v>
      </c>
    </row>
    <row r="136" spans="2:7">
      <c r="B136" s="218"/>
      <c r="C136" s="247" t="s">
        <v>135</v>
      </c>
      <c r="D136" s="239" t="s">
        <v>66</v>
      </c>
      <c r="E136" s="240">
        <v>3</v>
      </c>
      <c r="F136" s="1609">
        <v>0</v>
      </c>
      <c r="G136" s="245">
        <f t="shared" si="6"/>
        <v>0</v>
      </c>
    </row>
    <row r="137" spans="2:7">
      <c r="B137" s="201" t="s">
        <v>151</v>
      </c>
      <c r="C137" s="223" t="s">
        <v>137</v>
      </c>
      <c r="D137" s="224"/>
      <c r="E137" s="225"/>
      <c r="F137" s="226"/>
      <c r="G137" s="227"/>
    </row>
    <row r="138" spans="2:7">
      <c r="B138" s="218"/>
      <c r="C138" s="223" t="s">
        <v>185</v>
      </c>
      <c r="D138" s="737"/>
      <c r="E138" s="738"/>
      <c r="F138" s="1605"/>
      <c r="G138" s="1125"/>
    </row>
    <row r="139" spans="2:7">
      <c r="B139" s="218"/>
      <c r="C139" s="228" t="s">
        <v>186</v>
      </c>
      <c r="D139" s="224" t="s">
        <v>66</v>
      </c>
      <c r="E139" s="225">
        <v>1</v>
      </c>
      <c r="F139" s="1603">
        <v>0</v>
      </c>
      <c r="G139" s="230">
        <f t="shared" ref="G139:G153" si="7">E139*F139</f>
        <v>0</v>
      </c>
    </row>
    <row r="140" spans="2:7">
      <c r="B140" s="218"/>
      <c r="C140" s="228" t="s">
        <v>187</v>
      </c>
      <c r="D140" s="224" t="s">
        <v>66</v>
      </c>
      <c r="E140" s="225">
        <v>2</v>
      </c>
      <c r="F140" s="1603">
        <v>0</v>
      </c>
      <c r="G140" s="230">
        <f t="shared" si="7"/>
        <v>0</v>
      </c>
    </row>
    <row r="141" spans="2:7">
      <c r="B141" s="218"/>
      <c r="C141" s="231" t="s">
        <v>140</v>
      </c>
      <c r="D141" s="224" t="s">
        <v>66</v>
      </c>
      <c r="E141" s="225">
        <v>1</v>
      </c>
      <c r="F141" s="1603">
        <v>0</v>
      </c>
      <c r="G141" s="230">
        <f t="shared" si="7"/>
        <v>0</v>
      </c>
    </row>
    <row r="142" spans="2:7">
      <c r="B142" s="218"/>
      <c r="C142" s="231" t="s">
        <v>141</v>
      </c>
      <c r="D142" s="224" t="s">
        <v>66</v>
      </c>
      <c r="E142" s="225">
        <v>1</v>
      </c>
      <c r="F142" s="1603">
        <v>0</v>
      </c>
      <c r="G142" s="230">
        <f t="shared" si="7"/>
        <v>0</v>
      </c>
    </row>
    <row r="143" spans="2:7">
      <c r="B143" s="218"/>
      <c r="C143" s="231" t="s">
        <v>142</v>
      </c>
      <c r="D143" s="224" t="s">
        <v>66</v>
      </c>
      <c r="E143" s="225">
        <v>1</v>
      </c>
      <c r="F143" s="1603">
        <v>0</v>
      </c>
      <c r="G143" s="230">
        <f t="shared" si="7"/>
        <v>0</v>
      </c>
    </row>
    <row r="144" spans="2:7">
      <c r="B144" s="218"/>
      <c r="C144" s="231" t="s">
        <v>143</v>
      </c>
      <c r="D144" s="224" t="s">
        <v>66</v>
      </c>
      <c r="E144" s="225">
        <v>1</v>
      </c>
      <c r="F144" s="1603">
        <v>0</v>
      </c>
      <c r="G144" s="230">
        <f t="shared" si="7"/>
        <v>0</v>
      </c>
    </row>
    <row r="145" spans="2:7">
      <c r="B145" s="218"/>
      <c r="C145" s="231" t="s">
        <v>2250</v>
      </c>
      <c r="D145" s="224" t="s">
        <v>66</v>
      </c>
      <c r="E145" s="225">
        <v>1</v>
      </c>
      <c r="F145" s="1603">
        <v>0</v>
      </c>
      <c r="G145" s="230">
        <f t="shared" si="7"/>
        <v>0</v>
      </c>
    </row>
    <row r="146" spans="2:7">
      <c r="B146" s="218"/>
      <c r="C146" s="231" t="s">
        <v>145</v>
      </c>
      <c r="D146" s="224" t="s">
        <v>66</v>
      </c>
      <c r="E146" s="225">
        <v>1</v>
      </c>
      <c r="F146" s="1603">
        <v>0</v>
      </c>
      <c r="G146" s="230">
        <f t="shared" si="7"/>
        <v>0</v>
      </c>
    </row>
    <row r="147" spans="2:7">
      <c r="B147" s="218"/>
      <c r="C147" s="231" t="s">
        <v>146</v>
      </c>
      <c r="D147" s="224" t="s">
        <v>66</v>
      </c>
      <c r="E147" s="225">
        <v>1</v>
      </c>
      <c r="F147" s="1603">
        <v>0</v>
      </c>
      <c r="G147" s="230">
        <f t="shared" si="7"/>
        <v>0</v>
      </c>
    </row>
    <row r="148" spans="2:7">
      <c r="B148" s="218"/>
      <c r="C148" s="232" t="s">
        <v>147</v>
      </c>
      <c r="D148" s="224" t="s">
        <v>66</v>
      </c>
      <c r="E148" s="225">
        <v>1</v>
      </c>
      <c r="F148" s="1603">
        <v>0</v>
      </c>
      <c r="G148" s="230">
        <f t="shared" si="7"/>
        <v>0</v>
      </c>
    </row>
    <row r="149" spans="2:7">
      <c r="B149" s="218"/>
      <c r="C149" s="232" t="s">
        <v>188</v>
      </c>
      <c r="D149" s="224" t="s">
        <v>66</v>
      </c>
      <c r="E149" s="225">
        <v>1</v>
      </c>
      <c r="F149" s="1603">
        <v>0</v>
      </c>
      <c r="G149" s="230">
        <f t="shared" si="7"/>
        <v>0</v>
      </c>
    </row>
    <row r="150" spans="2:7">
      <c r="B150" s="218"/>
      <c r="C150" s="232" t="s">
        <v>184</v>
      </c>
      <c r="D150" s="224" t="s">
        <v>66</v>
      </c>
      <c r="E150" s="225">
        <v>2</v>
      </c>
      <c r="F150" s="1603">
        <v>0</v>
      </c>
      <c r="G150" s="230">
        <f t="shared" si="7"/>
        <v>0</v>
      </c>
    </row>
    <row r="151" spans="2:7">
      <c r="B151" s="218"/>
      <c r="C151" s="232" t="s">
        <v>149</v>
      </c>
      <c r="D151" s="224" t="s">
        <v>66</v>
      </c>
      <c r="E151" s="225">
        <v>1</v>
      </c>
      <c r="F151" s="1603">
        <v>0</v>
      </c>
      <c r="G151" s="230">
        <f t="shared" si="7"/>
        <v>0</v>
      </c>
    </row>
    <row r="152" spans="2:7">
      <c r="B152" s="218"/>
      <c r="C152" s="232" t="s">
        <v>150</v>
      </c>
      <c r="D152" s="224" t="s">
        <v>66</v>
      </c>
      <c r="E152" s="225">
        <v>3</v>
      </c>
      <c r="F152" s="1603">
        <v>0</v>
      </c>
      <c r="G152" s="230">
        <f t="shared" si="7"/>
        <v>0</v>
      </c>
    </row>
    <row r="153" spans="2:7">
      <c r="B153" s="218"/>
      <c r="C153" s="233" t="s">
        <v>135</v>
      </c>
      <c r="D153" s="224" t="s">
        <v>66</v>
      </c>
      <c r="E153" s="225">
        <v>1</v>
      </c>
      <c r="F153" s="1603">
        <v>0</v>
      </c>
      <c r="G153" s="230">
        <f t="shared" si="7"/>
        <v>0</v>
      </c>
    </row>
    <row r="154" spans="2:7">
      <c r="B154" s="201" t="s">
        <v>159</v>
      </c>
      <c r="C154" s="212" t="s">
        <v>152</v>
      </c>
      <c r="D154" s="213"/>
      <c r="E154" s="214"/>
      <c r="F154" s="215"/>
      <c r="G154" s="216"/>
    </row>
    <row r="155" spans="2:7">
      <c r="B155" s="218"/>
      <c r="C155" s="212" t="s">
        <v>153</v>
      </c>
      <c r="D155" s="735"/>
      <c r="E155" s="736"/>
      <c r="F155" s="1601"/>
      <c r="G155" s="1121"/>
    </row>
    <row r="156" spans="2:7">
      <c r="B156" s="218"/>
      <c r="C156" s="219" t="s">
        <v>129</v>
      </c>
      <c r="D156" s="213" t="s">
        <v>66</v>
      </c>
      <c r="E156" s="214">
        <v>3</v>
      </c>
      <c r="F156" s="1601">
        <v>0</v>
      </c>
      <c r="G156" s="1121">
        <f t="shared" ref="G156:G166" si="8">E156*F156</f>
        <v>0</v>
      </c>
    </row>
    <row r="157" spans="2:7" ht="24">
      <c r="B157" s="218"/>
      <c r="C157" s="222" t="s">
        <v>154</v>
      </c>
      <c r="D157" s="213" t="s">
        <v>66</v>
      </c>
      <c r="E157" s="214">
        <v>3</v>
      </c>
      <c r="F157" s="1601">
        <v>0</v>
      </c>
      <c r="G157" s="1121">
        <f t="shared" si="8"/>
        <v>0</v>
      </c>
    </row>
    <row r="158" spans="2:7">
      <c r="B158" s="218"/>
      <c r="C158" s="222" t="s">
        <v>155</v>
      </c>
      <c r="D158" s="213" t="s">
        <v>66</v>
      </c>
      <c r="E158" s="214">
        <v>3</v>
      </c>
      <c r="F158" s="1601">
        <v>0</v>
      </c>
      <c r="G158" s="1121">
        <f t="shared" si="8"/>
        <v>0</v>
      </c>
    </row>
    <row r="159" spans="2:7">
      <c r="B159" s="218"/>
      <c r="C159" s="222" t="s">
        <v>330</v>
      </c>
      <c r="D159" s="213" t="s">
        <v>66</v>
      </c>
      <c r="E159" s="214">
        <v>3</v>
      </c>
      <c r="F159" s="1601">
        <v>0</v>
      </c>
      <c r="G159" s="1121">
        <f t="shared" si="8"/>
        <v>0</v>
      </c>
    </row>
    <row r="160" spans="2:7">
      <c r="B160" s="218"/>
      <c r="C160" s="222" t="s">
        <v>157</v>
      </c>
      <c r="D160" s="213" t="s">
        <v>66</v>
      </c>
      <c r="E160" s="214">
        <v>3</v>
      </c>
      <c r="F160" s="1601">
        <v>0</v>
      </c>
      <c r="G160" s="1121">
        <f t="shared" si="8"/>
        <v>0</v>
      </c>
    </row>
    <row r="161" spans="2:7">
      <c r="B161" s="218"/>
      <c r="C161" s="234" t="s">
        <v>158</v>
      </c>
      <c r="D161" s="213" t="s">
        <v>66</v>
      </c>
      <c r="E161" s="214">
        <v>3</v>
      </c>
      <c r="F161" s="1601">
        <v>0</v>
      </c>
      <c r="G161" s="1121">
        <f t="shared" si="8"/>
        <v>0</v>
      </c>
    </row>
    <row r="162" spans="2:7">
      <c r="B162" s="218"/>
      <c r="C162" s="234" t="s">
        <v>190</v>
      </c>
      <c r="D162" s="213" t="s">
        <v>66</v>
      </c>
      <c r="E162" s="214">
        <v>3</v>
      </c>
      <c r="F162" s="1601">
        <v>0</v>
      </c>
      <c r="G162" s="1121">
        <f t="shared" si="8"/>
        <v>0</v>
      </c>
    </row>
    <row r="163" spans="2:7">
      <c r="B163" s="218"/>
      <c r="C163" s="234" t="s">
        <v>132</v>
      </c>
      <c r="D163" s="213" t="s">
        <v>66</v>
      </c>
      <c r="E163" s="214">
        <v>6</v>
      </c>
      <c r="F163" s="1601">
        <v>0</v>
      </c>
      <c r="G163" s="1121">
        <f t="shared" si="8"/>
        <v>0</v>
      </c>
    </row>
    <row r="164" spans="2:7">
      <c r="B164" s="218"/>
      <c r="C164" s="234" t="s">
        <v>148</v>
      </c>
      <c r="D164" s="213" t="s">
        <v>66</v>
      </c>
      <c r="E164" s="214">
        <v>6</v>
      </c>
      <c r="F164" s="1601">
        <v>0</v>
      </c>
      <c r="G164" s="1121">
        <f t="shared" si="8"/>
        <v>0</v>
      </c>
    </row>
    <row r="165" spans="2:7">
      <c r="B165" s="218"/>
      <c r="C165" s="234" t="s">
        <v>150</v>
      </c>
      <c r="D165" s="213" t="s">
        <v>66</v>
      </c>
      <c r="E165" s="214">
        <v>3</v>
      </c>
      <c r="F165" s="1601">
        <v>0</v>
      </c>
      <c r="G165" s="1121">
        <f t="shared" si="8"/>
        <v>0</v>
      </c>
    </row>
    <row r="166" spans="2:7">
      <c r="B166" s="218"/>
      <c r="C166" s="235" t="s">
        <v>135</v>
      </c>
      <c r="D166" s="213" t="s">
        <v>66</v>
      </c>
      <c r="E166" s="214">
        <v>3</v>
      </c>
      <c r="F166" s="1601">
        <v>0</v>
      </c>
      <c r="G166" s="1121">
        <f t="shared" si="8"/>
        <v>0</v>
      </c>
    </row>
    <row r="167" spans="2:7" ht="24">
      <c r="B167" s="199" t="s">
        <v>331</v>
      </c>
      <c r="C167" s="212" t="s">
        <v>332</v>
      </c>
      <c r="D167" s="735" t="s">
        <v>66</v>
      </c>
      <c r="E167" s="736">
        <v>3</v>
      </c>
      <c r="F167" s="1126">
        <v>0</v>
      </c>
      <c r="G167" s="1121">
        <f>E167*F167</f>
        <v>0</v>
      </c>
    </row>
    <row r="168" spans="2:7">
      <c r="B168" s="201" t="s">
        <v>168</v>
      </c>
      <c r="C168" s="223" t="s">
        <v>886</v>
      </c>
      <c r="D168" s="224"/>
      <c r="E168" s="225"/>
      <c r="F168" s="226"/>
      <c r="G168" s="227"/>
    </row>
    <row r="169" spans="2:7">
      <c r="B169" s="218"/>
      <c r="C169" s="223" t="s">
        <v>887</v>
      </c>
      <c r="D169" s="737"/>
      <c r="E169" s="738"/>
      <c r="F169" s="1605"/>
      <c r="G169" s="1608"/>
    </row>
    <row r="170" spans="2:7" ht="24">
      <c r="B170" s="218"/>
      <c r="C170" s="228" t="s">
        <v>2253</v>
      </c>
      <c r="D170" s="224" t="s">
        <v>66</v>
      </c>
      <c r="E170" s="225">
        <v>2</v>
      </c>
      <c r="F170" s="1603">
        <v>0</v>
      </c>
      <c r="G170" s="2231">
        <f t="shared" ref="G170:G198" si="9">E170*F170</f>
        <v>0</v>
      </c>
    </row>
    <row r="171" spans="2:7">
      <c r="B171" s="218"/>
      <c r="C171" s="232" t="s">
        <v>184</v>
      </c>
      <c r="D171" s="224" t="s">
        <v>66</v>
      </c>
      <c r="E171" s="225">
        <v>4</v>
      </c>
      <c r="F171" s="1603">
        <v>0</v>
      </c>
      <c r="G171" s="2231">
        <f t="shared" si="9"/>
        <v>0</v>
      </c>
    </row>
    <row r="172" spans="2:7">
      <c r="B172" s="218"/>
      <c r="C172" s="232" t="s">
        <v>150</v>
      </c>
      <c r="D172" s="224" t="s">
        <v>66</v>
      </c>
      <c r="E172" s="225">
        <v>2</v>
      </c>
      <c r="F172" s="1603">
        <v>0</v>
      </c>
      <c r="G172" s="2231">
        <f t="shared" si="9"/>
        <v>0</v>
      </c>
    </row>
    <row r="173" spans="2:7">
      <c r="B173" s="218"/>
      <c r="C173" s="233" t="s">
        <v>135</v>
      </c>
      <c r="D173" s="224" t="s">
        <v>66</v>
      </c>
      <c r="E173" s="225">
        <v>2</v>
      </c>
      <c r="F173" s="1603">
        <v>0</v>
      </c>
      <c r="G173" s="2231">
        <f t="shared" si="9"/>
        <v>0</v>
      </c>
    </row>
    <row r="174" spans="2:7">
      <c r="B174" s="218"/>
      <c r="C174" s="223" t="s">
        <v>220</v>
      </c>
      <c r="D174" s="737"/>
      <c r="E174" s="738"/>
      <c r="F174" s="1603"/>
      <c r="G174" s="2231"/>
    </row>
    <row r="175" spans="2:7" ht="24">
      <c r="B175" s="218"/>
      <c r="C175" s="228" t="s">
        <v>2249</v>
      </c>
      <c r="D175" s="224" t="s">
        <v>66</v>
      </c>
      <c r="E175" s="225">
        <v>3</v>
      </c>
      <c r="F175" s="1603">
        <v>0</v>
      </c>
      <c r="G175" s="2231">
        <f t="shared" si="9"/>
        <v>0</v>
      </c>
    </row>
    <row r="176" spans="2:7">
      <c r="B176" s="218"/>
      <c r="C176" s="739" t="s">
        <v>184</v>
      </c>
      <c r="D176" s="224" t="s">
        <v>66</v>
      </c>
      <c r="E176" s="225">
        <v>6</v>
      </c>
      <c r="F176" s="1603">
        <v>0</v>
      </c>
      <c r="G176" s="2231">
        <f t="shared" si="9"/>
        <v>0</v>
      </c>
    </row>
    <row r="177" spans="2:7">
      <c r="B177" s="218"/>
      <c r="C177" s="739" t="s">
        <v>132</v>
      </c>
      <c r="D177" s="224" t="s">
        <v>66</v>
      </c>
      <c r="E177" s="225">
        <v>3</v>
      </c>
      <c r="F177" s="1603">
        <v>0</v>
      </c>
      <c r="G177" s="2231">
        <f t="shared" si="9"/>
        <v>0</v>
      </c>
    </row>
    <row r="178" spans="2:7">
      <c r="B178" s="218"/>
      <c r="C178" s="739" t="s">
        <v>150</v>
      </c>
      <c r="D178" s="224" t="s">
        <v>66</v>
      </c>
      <c r="E178" s="225">
        <v>3</v>
      </c>
      <c r="F178" s="1603">
        <v>0</v>
      </c>
      <c r="G178" s="2231">
        <f t="shared" si="9"/>
        <v>0</v>
      </c>
    </row>
    <row r="179" spans="2:7">
      <c r="B179" s="218"/>
      <c r="C179" s="740" t="s">
        <v>135</v>
      </c>
      <c r="D179" s="224" t="s">
        <v>66</v>
      </c>
      <c r="E179" s="225">
        <v>3</v>
      </c>
      <c r="F179" s="1603">
        <v>0</v>
      </c>
      <c r="G179" s="2231">
        <f t="shared" si="9"/>
        <v>0</v>
      </c>
    </row>
    <row r="180" spans="2:7">
      <c r="B180" s="218"/>
      <c r="C180" s="223" t="s">
        <v>888</v>
      </c>
      <c r="D180" s="737"/>
      <c r="E180" s="738"/>
      <c r="F180" s="1603"/>
      <c r="G180" s="2231"/>
    </row>
    <row r="181" spans="2:7" ht="24">
      <c r="B181" s="218"/>
      <c r="C181" s="228" t="s">
        <v>2251</v>
      </c>
      <c r="D181" s="224" t="s">
        <v>66</v>
      </c>
      <c r="E181" s="225">
        <v>2</v>
      </c>
      <c r="F181" s="1603">
        <v>0</v>
      </c>
      <c r="G181" s="2231">
        <f t="shared" si="9"/>
        <v>0</v>
      </c>
    </row>
    <row r="182" spans="2:7">
      <c r="B182" s="218"/>
      <c r="C182" s="232" t="s">
        <v>184</v>
      </c>
      <c r="D182" s="224" t="s">
        <v>66</v>
      </c>
      <c r="E182" s="225">
        <v>4</v>
      </c>
      <c r="F182" s="1603">
        <v>0</v>
      </c>
      <c r="G182" s="2231">
        <f t="shared" si="9"/>
        <v>0</v>
      </c>
    </row>
    <row r="183" spans="2:7">
      <c r="B183" s="218"/>
      <c r="C183" s="232" t="s">
        <v>166</v>
      </c>
      <c r="D183" s="224" t="s">
        <v>66</v>
      </c>
      <c r="E183" s="225">
        <v>2</v>
      </c>
      <c r="F183" s="1603">
        <v>0</v>
      </c>
      <c r="G183" s="2231">
        <f t="shared" si="9"/>
        <v>0</v>
      </c>
    </row>
    <row r="184" spans="2:7">
      <c r="B184" s="218"/>
      <c r="C184" s="232" t="s">
        <v>167</v>
      </c>
      <c r="D184" s="224" t="s">
        <v>66</v>
      </c>
      <c r="E184" s="225">
        <v>2</v>
      </c>
      <c r="F184" s="1603">
        <v>0</v>
      </c>
      <c r="G184" s="2231">
        <f t="shared" si="9"/>
        <v>0</v>
      </c>
    </row>
    <row r="185" spans="2:7">
      <c r="B185" s="218"/>
      <c r="C185" s="232" t="s">
        <v>229</v>
      </c>
      <c r="D185" s="224" t="s">
        <v>66</v>
      </c>
      <c r="E185" s="225">
        <v>2</v>
      </c>
      <c r="F185" s="1603">
        <v>0</v>
      </c>
      <c r="G185" s="2231">
        <f t="shared" si="9"/>
        <v>0</v>
      </c>
    </row>
    <row r="186" spans="2:7">
      <c r="B186" s="218"/>
      <c r="C186" s="232" t="s">
        <v>230</v>
      </c>
      <c r="D186" s="224" t="s">
        <v>66</v>
      </c>
      <c r="E186" s="225">
        <v>2</v>
      </c>
      <c r="F186" s="1603">
        <v>0</v>
      </c>
      <c r="G186" s="2231">
        <f t="shared" si="9"/>
        <v>0</v>
      </c>
    </row>
    <row r="187" spans="2:7">
      <c r="B187" s="218"/>
      <c r="C187" s="232" t="s">
        <v>150</v>
      </c>
      <c r="D187" s="224" t="s">
        <v>66</v>
      </c>
      <c r="E187" s="225">
        <v>2</v>
      </c>
      <c r="F187" s="1603">
        <v>0</v>
      </c>
      <c r="G187" s="2231">
        <f t="shared" si="9"/>
        <v>0</v>
      </c>
    </row>
    <row r="188" spans="2:7">
      <c r="B188" s="218"/>
      <c r="C188" s="233" t="s">
        <v>135</v>
      </c>
      <c r="D188" s="224" t="s">
        <v>66</v>
      </c>
      <c r="E188" s="225">
        <v>2</v>
      </c>
      <c r="F188" s="1603">
        <v>0</v>
      </c>
      <c r="G188" s="2231">
        <f t="shared" si="9"/>
        <v>0</v>
      </c>
    </row>
    <row r="189" spans="2:7">
      <c r="B189" s="218"/>
      <c r="C189" s="223" t="s">
        <v>228</v>
      </c>
      <c r="D189" s="737"/>
      <c r="E189" s="738"/>
      <c r="F189" s="1603"/>
      <c r="G189" s="2231"/>
    </row>
    <row r="190" spans="2:7" ht="24">
      <c r="B190" s="218"/>
      <c r="C190" s="228" t="s">
        <v>2247</v>
      </c>
      <c r="D190" s="224" t="s">
        <v>66</v>
      </c>
      <c r="E190" s="225">
        <v>2</v>
      </c>
      <c r="F190" s="1603">
        <v>0</v>
      </c>
      <c r="G190" s="2231">
        <f t="shared" si="9"/>
        <v>0</v>
      </c>
    </row>
    <row r="191" spans="2:7">
      <c r="B191" s="218"/>
      <c r="C191" s="739" t="s">
        <v>132</v>
      </c>
      <c r="D191" s="224" t="s">
        <v>66</v>
      </c>
      <c r="E191" s="225">
        <v>4</v>
      </c>
      <c r="F191" s="1603">
        <v>0</v>
      </c>
      <c r="G191" s="2231">
        <f t="shared" si="9"/>
        <v>0</v>
      </c>
    </row>
    <row r="192" spans="2:7">
      <c r="B192" s="218"/>
      <c r="C192" s="739" t="s">
        <v>166</v>
      </c>
      <c r="D192" s="224" t="s">
        <v>66</v>
      </c>
      <c r="E192" s="225">
        <v>2</v>
      </c>
      <c r="F192" s="1603">
        <v>0</v>
      </c>
      <c r="G192" s="2231">
        <f t="shared" si="9"/>
        <v>0</v>
      </c>
    </row>
    <row r="193" spans="2:7">
      <c r="B193" s="218"/>
      <c r="C193" s="739" t="s">
        <v>148</v>
      </c>
      <c r="D193" s="224" t="s">
        <v>66</v>
      </c>
      <c r="E193" s="225">
        <v>4</v>
      </c>
      <c r="F193" s="1603">
        <v>0</v>
      </c>
      <c r="G193" s="2231">
        <f t="shared" si="9"/>
        <v>0</v>
      </c>
    </row>
    <row r="194" spans="2:7">
      <c r="B194" s="218"/>
      <c r="C194" s="739" t="s">
        <v>167</v>
      </c>
      <c r="D194" s="224" t="s">
        <v>66</v>
      </c>
      <c r="E194" s="225">
        <v>2</v>
      </c>
      <c r="F194" s="1603">
        <v>0</v>
      </c>
      <c r="G194" s="2231">
        <f t="shared" si="9"/>
        <v>0</v>
      </c>
    </row>
    <row r="195" spans="2:7">
      <c r="B195" s="218"/>
      <c r="C195" s="739" t="s">
        <v>229</v>
      </c>
      <c r="D195" s="224" t="s">
        <v>66</v>
      </c>
      <c r="E195" s="225">
        <v>2</v>
      </c>
      <c r="F195" s="1603">
        <v>0</v>
      </c>
      <c r="G195" s="2231">
        <f t="shared" si="9"/>
        <v>0</v>
      </c>
    </row>
    <row r="196" spans="2:7">
      <c r="B196" s="218"/>
      <c r="C196" s="739" t="s">
        <v>230</v>
      </c>
      <c r="D196" s="224" t="s">
        <v>66</v>
      </c>
      <c r="E196" s="225">
        <v>2</v>
      </c>
      <c r="F196" s="1603">
        <v>0</v>
      </c>
      <c r="G196" s="2231">
        <f t="shared" si="9"/>
        <v>0</v>
      </c>
    </row>
    <row r="197" spans="2:7">
      <c r="B197" s="218"/>
      <c r="C197" s="739" t="s">
        <v>150</v>
      </c>
      <c r="D197" s="224" t="s">
        <v>66</v>
      </c>
      <c r="E197" s="225">
        <v>2</v>
      </c>
      <c r="F197" s="1603">
        <v>0</v>
      </c>
      <c r="G197" s="2231">
        <f t="shared" si="9"/>
        <v>0</v>
      </c>
    </row>
    <row r="198" spans="2:7">
      <c r="B198" s="218"/>
      <c r="C198" s="740" t="s">
        <v>135</v>
      </c>
      <c r="D198" s="224" t="s">
        <v>66</v>
      </c>
      <c r="E198" s="225">
        <v>2</v>
      </c>
      <c r="F198" s="1603">
        <v>0</v>
      </c>
      <c r="G198" s="2231">
        <f t="shared" si="9"/>
        <v>0</v>
      </c>
    </row>
    <row r="199" spans="2:7">
      <c r="B199" s="201" t="s">
        <v>172</v>
      </c>
      <c r="C199" s="238" t="s">
        <v>169</v>
      </c>
      <c r="D199" s="239"/>
      <c r="E199" s="240"/>
      <c r="F199" s="241"/>
      <c r="G199" s="242"/>
    </row>
    <row r="200" spans="2:7">
      <c r="B200" s="218"/>
      <c r="C200" s="238" t="s">
        <v>198</v>
      </c>
      <c r="D200" s="153"/>
      <c r="E200" s="741"/>
      <c r="F200" s="1611"/>
      <c r="G200" s="263"/>
    </row>
    <row r="201" spans="2:7" ht="36">
      <c r="B201" s="218"/>
      <c r="C201" s="243" t="s">
        <v>2239</v>
      </c>
      <c r="D201" s="239" t="s">
        <v>66</v>
      </c>
      <c r="E201" s="240">
        <v>11</v>
      </c>
      <c r="F201" s="1609">
        <v>0</v>
      </c>
      <c r="G201" s="245">
        <f t="shared" ref="G201:G214" si="10">E201*F201</f>
        <v>0</v>
      </c>
    </row>
    <row r="202" spans="2:7">
      <c r="B202" s="218"/>
      <c r="C202" s="246" t="s">
        <v>171</v>
      </c>
      <c r="D202" s="239" t="s">
        <v>66</v>
      </c>
      <c r="E202" s="240">
        <v>11</v>
      </c>
      <c r="F202" s="1609">
        <v>0</v>
      </c>
      <c r="G202" s="245">
        <f t="shared" si="10"/>
        <v>0</v>
      </c>
    </row>
    <row r="203" spans="2:7">
      <c r="B203" s="218"/>
      <c r="C203" s="247" t="s">
        <v>135</v>
      </c>
      <c r="D203" s="239" t="s">
        <v>66</v>
      </c>
      <c r="E203" s="240">
        <v>11</v>
      </c>
      <c r="F203" s="1609">
        <v>0</v>
      </c>
      <c r="G203" s="245">
        <f t="shared" si="10"/>
        <v>0</v>
      </c>
    </row>
    <row r="204" spans="2:7">
      <c r="B204" s="218"/>
      <c r="C204" s="247" t="s">
        <v>891</v>
      </c>
      <c r="D204" s="239" t="s">
        <v>66</v>
      </c>
      <c r="E204" s="240">
        <v>11</v>
      </c>
      <c r="F204" s="1609">
        <v>0</v>
      </c>
      <c r="G204" s="245">
        <f t="shared" si="10"/>
        <v>0</v>
      </c>
    </row>
    <row r="205" spans="2:7">
      <c r="B205" s="218"/>
      <c r="C205" s="238" t="s">
        <v>170</v>
      </c>
      <c r="D205" s="153"/>
      <c r="E205" s="741"/>
      <c r="F205" s="1609"/>
      <c r="G205" s="245"/>
    </row>
    <row r="206" spans="2:7" ht="36">
      <c r="B206" s="218"/>
      <c r="C206" s="243" t="s">
        <v>2246</v>
      </c>
      <c r="D206" s="239" t="s">
        <v>66</v>
      </c>
      <c r="E206" s="240">
        <v>16</v>
      </c>
      <c r="F206" s="1609">
        <v>0</v>
      </c>
      <c r="G206" s="245">
        <f t="shared" si="10"/>
        <v>0</v>
      </c>
    </row>
    <row r="207" spans="2:7">
      <c r="B207" s="218"/>
      <c r="C207" s="1129" t="s">
        <v>171</v>
      </c>
      <c r="D207" s="239" t="s">
        <v>66</v>
      </c>
      <c r="E207" s="240">
        <v>16</v>
      </c>
      <c r="F207" s="1609">
        <v>0</v>
      </c>
      <c r="G207" s="245">
        <f t="shared" si="10"/>
        <v>0</v>
      </c>
    </row>
    <row r="208" spans="2:7">
      <c r="B208" s="218"/>
      <c r="C208" s="1130" t="s">
        <v>135</v>
      </c>
      <c r="D208" s="239" t="s">
        <v>66</v>
      </c>
      <c r="E208" s="240">
        <v>16</v>
      </c>
      <c r="F208" s="1609">
        <v>0</v>
      </c>
      <c r="G208" s="245">
        <f t="shared" si="10"/>
        <v>0</v>
      </c>
    </row>
    <row r="209" spans="2:7">
      <c r="B209" s="218"/>
      <c r="C209" s="247" t="s">
        <v>891</v>
      </c>
      <c r="D209" s="239" t="s">
        <v>66</v>
      </c>
      <c r="E209" s="240">
        <v>16</v>
      </c>
      <c r="F209" s="1609">
        <v>0</v>
      </c>
      <c r="G209" s="245">
        <f t="shared" si="10"/>
        <v>0</v>
      </c>
    </row>
    <row r="210" spans="2:7">
      <c r="B210" s="218"/>
      <c r="C210" s="238" t="s">
        <v>234</v>
      </c>
      <c r="D210" s="153"/>
      <c r="E210" s="741"/>
      <c r="F210" s="1609"/>
      <c r="G210" s="245"/>
    </row>
    <row r="211" spans="2:7" ht="36">
      <c r="B211" s="218"/>
      <c r="C211" s="243" t="s">
        <v>2245</v>
      </c>
      <c r="D211" s="239" t="s">
        <v>66</v>
      </c>
      <c r="E211" s="240">
        <v>32</v>
      </c>
      <c r="F211" s="1609">
        <v>0</v>
      </c>
      <c r="G211" s="245">
        <f t="shared" si="10"/>
        <v>0</v>
      </c>
    </row>
    <row r="212" spans="2:7">
      <c r="B212" s="218"/>
      <c r="C212" s="246" t="s">
        <v>171</v>
      </c>
      <c r="D212" s="239" t="s">
        <v>66</v>
      </c>
      <c r="E212" s="240">
        <v>32</v>
      </c>
      <c r="F212" s="1609">
        <v>0</v>
      </c>
      <c r="G212" s="245">
        <f t="shared" si="10"/>
        <v>0</v>
      </c>
    </row>
    <row r="213" spans="2:7">
      <c r="B213" s="218"/>
      <c r="C213" s="247" t="s">
        <v>135</v>
      </c>
      <c r="D213" s="239" t="s">
        <v>66</v>
      </c>
      <c r="E213" s="240">
        <v>32</v>
      </c>
      <c r="F213" s="1609">
        <v>0</v>
      </c>
      <c r="G213" s="245">
        <f t="shared" si="10"/>
        <v>0</v>
      </c>
    </row>
    <row r="214" spans="2:7">
      <c r="B214" s="218"/>
      <c r="C214" s="247" t="s">
        <v>891</v>
      </c>
      <c r="D214" s="239" t="s">
        <v>66</v>
      </c>
      <c r="E214" s="240">
        <v>32</v>
      </c>
      <c r="F214" s="1609">
        <v>0</v>
      </c>
      <c r="G214" s="245">
        <f t="shared" si="10"/>
        <v>0</v>
      </c>
    </row>
    <row r="215" spans="2:7">
      <c r="B215" s="201" t="s">
        <v>340</v>
      </c>
      <c r="C215" s="742" t="s">
        <v>173</v>
      </c>
      <c r="D215" s="743"/>
      <c r="E215" s="744"/>
      <c r="F215" s="1131"/>
      <c r="G215" s="1132"/>
    </row>
    <row r="216" spans="2:7" ht="60">
      <c r="B216" s="218"/>
      <c r="C216" s="745" t="s">
        <v>174</v>
      </c>
      <c r="D216" s="746" t="s">
        <v>66</v>
      </c>
      <c r="E216" s="747">
        <v>1</v>
      </c>
      <c r="F216" s="1617">
        <v>0</v>
      </c>
      <c r="G216" s="1132">
        <f>E216*F216</f>
        <v>0</v>
      </c>
    </row>
    <row r="217" spans="2:7">
      <c r="B217" s="258" t="s">
        <v>47</v>
      </c>
      <c r="C217" s="259" t="s">
        <v>1425</v>
      </c>
      <c r="D217" s="260"/>
      <c r="E217" s="261"/>
      <c r="F217" s="262"/>
      <c r="G217" s="263">
        <f>SUM(G78:G216)</f>
        <v>0</v>
      </c>
    </row>
  </sheetData>
  <mergeCells count="5">
    <mergeCell ref="B45:G45"/>
    <mergeCell ref="B74:G74"/>
    <mergeCell ref="B75:G75"/>
    <mergeCell ref="B76:G76"/>
    <mergeCell ref="B87:B9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0F593-3A5C-4FA6-8B16-609847F53B28}">
  <sheetPr>
    <tabColor rgb="FF00B0F0"/>
  </sheetPr>
  <dimension ref="A2:Y161"/>
  <sheetViews>
    <sheetView showZeros="0" topLeftCell="A27" zoomScale="110" zoomScaleNormal="110" zoomScaleSheetLayoutView="115" workbookViewId="0">
      <selection activeCell="B28" sqref="B28:B36"/>
    </sheetView>
  </sheetViews>
  <sheetFormatPr defaultColWidth="10.42578125" defaultRowHeight="12.75"/>
  <cols>
    <col min="1" max="1" width="4.42578125" style="1" customWidth="1"/>
    <col min="2" max="2" width="9.5703125" style="67" customWidth="1"/>
    <col min="3" max="3" width="41.71093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1420</v>
      </c>
      <c r="D4" s="76"/>
      <c r="E4" s="77"/>
      <c r="F4" s="674"/>
      <c r="G4" s="79"/>
      <c r="H4" s="37"/>
    </row>
    <row r="5" spans="1:25" s="73" customFormat="1" ht="12" customHeight="1">
      <c r="B5" s="80"/>
      <c r="C5" s="81"/>
      <c r="D5" s="82"/>
      <c r="E5" s="83"/>
      <c r="F5" s="675"/>
      <c r="G5" s="85"/>
      <c r="H5" s="37"/>
    </row>
    <row r="6" spans="1:25" s="86" customFormat="1" ht="21" customHeight="1">
      <c r="B6" s="676" t="s">
        <v>37</v>
      </c>
      <c r="C6" s="677" t="s">
        <v>1426</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G161</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178</v>
      </c>
      <c r="F24" s="1082">
        <v>0</v>
      </c>
      <c r="G24" s="1083">
        <f t="shared" ref="G24" si="0">E24*F24</f>
        <v>0</v>
      </c>
    </row>
    <row r="25" spans="2:25">
      <c r="B25" s="125">
        <v>2</v>
      </c>
      <c r="C25" s="144" t="s">
        <v>58</v>
      </c>
      <c r="D25" s="140" t="s">
        <v>57</v>
      </c>
      <c r="E25" s="1081">
        <f>E24</f>
        <v>178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4</v>
      </c>
      <c r="F28" s="1082">
        <v>0</v>
      </c>
      <c r="G28" s="1083">
        <f t="shared" si="1"/>
        <v>0</v>
      </c>
    </row>
    <row r="29" spans="2:25" ht="36">
      <c r="B29" s="125">
        <v>6</v>
      </c>
      <c r="C29" s="1084" t="s">
        <v>63</v>
      </c>
      <c r="D29" s="140" t="s">
        <v>57</v>
      </c>
      <c r="E29" s="1081">
        <f>E24</f>
        <v>178</v>
      </c>
      <c r="F29" s="1082">
        <v>0</v>
      </c>
      <c r="G29" s="1083">
        <f t="shared" si="1"/>
        <v>0</v>
      </c>
    </row>
    <row r="30" spans="2:25" ht="48">
      <c r="B30" s="125">
        <v>7</v>
      </c>
      <c r="C30" s="1084" t="s">
        <v>64</v>
      </c>
      <c r="D30" s="146" t="s">
        <v>60</v>
      </c>
      <c r="E30" s="1081">
        <v>1</v>
      </c>
      <c r="F30" s="1082">
        <v>0</v>
      </c>
      <c r="G30" s="1083">
        <f t="shared" si="1"/>
        <v>0</v>
      </c>
    </row>
    <row r="31" spans="2:25" ht="53.25" customHeight="1">
      <c r="B31" s="125">
        <v>8</v>
      </c>
      <c r="C31" s="1080" t="s">
        <v>2292</v>
      </c>
      <c r="D31" s="146" t="s">
        <v>66</v>
      </c>
      <c r="E31" s="1081">
        <v>10</v>
      </c>
      <c r="F31" s="1082">
        <v>0</v>
      </c>
      <c r="G31" s="1083">
        <f t="shared" si="1"/>
        <v>0</v>
      </c>
    </row>
    <row r="32" spans="2:25" ht="36">
      <c r="B32" s="125">
        <v>9</v>
      </c>
      <c r="C32" s="1080" t="s">
        <v>2295</v>
      </c>
      <c r="D32" s="146" t="s">
        <v>57</v>
      </c>
      <c r="E32" s="1081">
        <f>E24+E78+E79</f>
        <v>218</v>
      </c>
      <c r="F32" s="1082">
        <v>0</v>
      </c>
      <c r="G32" s="1083">
        <f t="shared" si="1"/>
        <v>0</v>
      </c>
    </row>
    <row r="33" spans="1:25" ht="24">
      <c r="B33" s="125">
        <v>10</v>
      </c>
      <c r="C33" s="1080" t="s">
        <v>2293</v>
      </c>
      <c r="D33" s="146" t="s">
        <v>57</v>
      </c>
      <c r="E33" s="1081">
        <f>E24+E78+E79</f>
        <v>218</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10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48.059999999999995</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272.33999999999997</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267</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178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213.6</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106.80000000000001</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1391</v>
      </c>
      <c r="D52" s="140" t="s">
        <v>78</v>
      </c>
      <c r="E52" s="1094">
        <f>E24*1.2</f>
        <v>213.6</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119.61599999999996</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119.61599999999996</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13.350000000000001</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1393</v>
      </c>
      <c r="D57" s="182" t="s">
        <v>74</v>
      </c>
      <c r="E57" s="1097">
        <v>1</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22</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2</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9" t="s">
        <v>271</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104</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105</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178*0.9</f>
        <v>160.20000000000002</v>
      </c>
      <c r="F76" s="1092">
        <v>0</v>
      </c>
      <c r="G76" s="1093">
        <f t="shared" ref="G76:G83" si="3">E76*F76</f>
        <v>0</v>
      </c>
    </row>
    <row r="77" spans="1:25" ht="24">
      <c r="B77" s="191"/>
      <c r="C77" s="192" t="s">
        <v>884</v>
      </c>
      <c r="D77" s="190" t="s">
        <v>57</v>
      </c>
      <c r="E77" s="719">
        <f>178*0.1</f>
        <v>17.8</v>
      </c>
      <c r="F77" s="1092">
        <v>0</v>
      </c>
      <c r="G77" s="1093">
        <f t="shared" si="3"/>
        <v>0</v>
      </c>
    </row>
    <row r="78" spans="1:25">
      <c r="B78" s="191"/>
      <c r="C78" s="192" t="s">
        <v>109</v>
      </c>
      <c r="D78" s="190" t="s">
        <v>57</v>
      </c>
      <c r="E78" s="719">
        <f>40*0.9</f>
        <v>36</v>
      </c>
      <c r="F78" s="1092">
        <v>0</v>
      </c>
      <c r="G78" s="1093">
        <f t="shared" si="3"/>
        <v>0</v>
      </c>
    </row>
    <row r="79" spans="1:25" ht="24">
      <c r="B79" s="191"/>
      <c r="C79" s="192" t="s">
        <v>110</v>
      </c>
      <c r="D79" s="190" t="s">
        <v>57</v>
      </c>
      <c r="E79" s="719">
        <f>40*0.1</f>
        <v>4</v>
      </c>
      <c r="F79" s="1092">
        <v>0</v>
      </c>
      <c r="G79" s="1093">
        <f t="shared" si="3"/>
        <v>0</v>
      </c>
    </row>
    <row r="80" spans="1:25" ht="36">
      <c r="B80" s="2404" t="s">
        <v>111</v>
      </c>
      <c r="C80" s="193" t="s">
        <v>112</v>
      </c>
      <c r="D80" s="194"/>
      <c r="E80" s="719"/>
      <c r="F80" s="1092"/>
      <c r="G80" s="1093"/>
    </row>
    <row r="81" spans="2:7">
      <c r="B81" s="2405"/>
      <c r="C81" s="195" t="s">
        <v>113</v>
      </c>
      <c r="D81" s="194" t="s">
        <v>57</v>
      </c>
      <c r="E81" s="719">
        <v>27</v>
      </c>
      <c r="F81" s="1092">
        <v>0</v>
      </c>
      <c r="G81" s="1093">
        <f>E81*F81</f>
        <v>0</v>
      </c>
    </row>
    <row r="82" spans="2:7">
      <c r="B82" s="2413"/>
      <c r="C82" s="195" t="s">
        <v>275</v>
      </c>
      <c r="D82" s="194" t="s">
        <v>57</v>
      </c>
      <c r="E82" s="719">
        <v>6</v>
      </c>
      <c r="F82" s="1092">
        <v>0</v>
      </c>
      <c r="G82" s="1093">
        <f>E82*F82</f>
        <v>0</v>
      </c>
    </row>
    <row r="83" spans="2:7" ht="36">
      <c r="B83" s="196">
        <v>2</v>
      </c>
      <c r="C83" s="197" t="s">
        <v>114</v>
      </c>
      <c r="D83" s="145" t="s">
        <v>57</v>
      </c>
      <c r="E83" s="732">
        <f>SUM(E76:E79)</f>
        <v>218.00000000000003</v>
      </c>
      <c r="F83" s="1092">
        <v>0</v>
      </c>
      <c r="G83" s="1093">
        <f t="shared" si="3"/>
        <v>0</v>
      </c>
    </row>
    <row r="84" spans="2:7" ht="36">
      <c r="B84" s="199" t="s">
        <v>115</v>
      </c>
      <c r="C84" s="197" t="s">
        <v>116</v>
      </c>
      <c r="D84" s="145" t="s">
        <v>57</v>
      </c>
      <c r="E84" s="732">
        <f>E83</f>
        <v>218.00000000000003</v>
      </c>
      <c r="F84" s="1092">
        <v>0</v>
      </c>
      <c r="G84" s="1093">
        <f>E84*F84</f>
        <v>0</v>
      </c>
    </row>
    <row r="85" spans="2:7" ht="24">
      <c r="B85" s="199" t="s">
        <v>117</v>
      </c>
      <c r="C85" s="197" t="s">
        <v>118</v>
      </c>
      <c r="D85" s="145" t="s">
        <v>57</v>
      </c>
      <c r="E85" s="732">
        <f>E83</f>
        <v>218.00000000000003</v>
      </c>
      <c r="F85" s="1092">
        <v>0</v>
      </c>
      <c r="G85" s="1093">
        <f>E85*F85</f>
        <v>0</v>
      </c>
    </row>
    <row r="86" spans="2:7" ht="36">
      <c r="B86" s="199" t="s">
        <v>119</v>
      </c>
      <c r="C86" s="197" t="s">
        <v>120</v>
      </c>
      <c r="D86" s="145" t="s">
        <v>57</v>
      </c>
      <c r="E86" s="732">
        <f>E84</f>
        <v>218.00000000000003</v>
      </c>
      <c r="F86" s="1092">
        <v>0</v>
      </c>
      <c r="G86" s="1093">
        <f>E86*F86</f>
        <v>0</v>
      </c>
    </row>
    <row r="87" spans="2:7" ht="24">
      <c r="B87" s="188">
        <v>3</v>
      </c>
      <c r="C87" s="200" t="s">
        <v>121</v>
      </c>
      <c r="D87" s="127"/>
      <c r="E87" s="719"/>
      <c r="F87" s="1107"/>
      <c r="G87" s="731"/>
    </row>
    <row r="88" spans="2:7">
      <c r="B88" s="201" t="s">
        <v>122</v>
      </c>
      <c r="C88" s="212" t="s">
        <v>127</v>
      </c>
      <c r="D88" s="213"/>
      <c r="E88" s="214"/>
      <c r="F88" s="215"/>
      <c r="G88" s="216"/>
    </row>
    <row r="89" spans="2:7">
      <c r="B89" s="218"/>
      <c r="C89" s="212" t="s">
        <v>128</v>
      </c>
      <c r="D89" s="735"/>
      <c r="E89" s="736"/>
      <c r="F89" s="1601"/>
      <c r="G89" s="1121"/>
    </row>
    <row r="90" spans="2:7">
      <c r="B90" s="218"/>
      <c r="C90" s="219" t="s">
        <v>129</v>
      </c>
      <c r="D90" s="213" t="s">
        <v>66</v>
      </c>
      <c r="E90" s="214">
        <v>1</v>
      </c>
      <c r="F90" s="1599">
        <v>0</v>
      </c>
      <c r="G90" s="221">
        <f t="shared" ref="G90:G108" si="4">E90*F90</f>
        <v>0</v>
      </c>
    </row>
    <row r="91" spans="2:7" ht="36">
      <c r="B91" s="218"/>
      <c r="C91" s="222" t="s">
        <v>130</v>
      </c>
      <c r="D91" s="213" t="s">
        <v>66</v>
      </c>
      <c r="E91" s="214">
        <v>1</v>
      </c>
      <c r="F91" s="1599">
        <v>0</v>
      </c>
      <c r="G91" s="221">
        <f t="shared" si="4"/>
        <v>0</v>
      </c>
    </row>
    <row r="92" spans="2:7">
      <c r="B92" s="218"/>
      <c r="C92" s="222" t="s">
        <v>183</v>
      </c>
      <c r="D92" s="213" t="s">
        <v>66</v>
      </c>
      <c r="E92" s="214">
        <v>1</v>
      </c>
      <c r="F92" s="1599">
        <v>0</v>
      </c>
      <c r="G92" s="221">
        <f t="shared" si="4"/>
        <v>0</v>
      </c>
    </row>
    <row r="93" spans="2:7">
      <c r="B93" s="218"/>
      <c r="C93" s="222" t="s">
        <v>131</v>
      </c>
      <c r="D93" s="213" t="s">
        <v>66</v>
      </c>
      <c r="E93" s="214">
        <v>1</v>
      </c>
      <c r="F93" s="1599">
        <v>0</v>
      </c>
      <c r="G93" s="221">
        <f t="shared" si="4"/>
        <v>0</v>
      </c>
    </row>
    <row r="94" spans="2:7">
      <c r="B94" s="218"/>
      <c r="C94" s="222" t="s">
        <v>132</v>
      </c>
      <c r="D94" s="213" t="s">
        <v>66</v>
      </c>
      <c r="E94" s="214">
        <v>2</v>
      </c>
      <c r="F94" s="1599">
        <v>0</v>
      </c>
      <c r="G94" s="221">
        <f t="shared" si="4"/>
        <v>0</v>
      </c>
    </row>
    <row r="95" spans="2:7">
      <c r="B95" s="218"/>
      <c r="C95" s="222" t="s">
        <v>133</v>
      </c>
      <c r="D95" s="213" t="s">
        <v>66</v>
      </c>
      <c r="E95" s="214">
        <v>2</v>
      </c>
      <c r="F95" s="1599">
        <v>0</v>
      </c>
      <c r="G95" s="221">
        <f t="shared" si="4"/>
        <v>0</v>
      </c>
    </row>
    <row r="96" spans="2:7">
      <c r="B96" s="218"/>
      <c r="C96" s="222" t="s">
        <v>134</v>
      </c>
      <c r="D96" s="213" t="s">
        <v>66</v>
      </c>
      <c r="E96" s="214">
        <v>1</v>
      </c>
      <c r="F96" s="1599">
        <v>0</v>
      </c>
      <c r="G96" s="221">
        <f t="shared" si="4"/>
        <v>0</v>
      </c>
    </row>
    <row r="97" spans="2:7">
      <c r="B97" s="218"/>
      <c r="C97" s="222" t="s">
        <v>135</v>
      </c>
      <c r="D97" s="213" t="s">
        <v>66</v>
      </c>
      <c r="E97" s="214">
        <v>1</v>
      </c>
      <c r="F97" s="1599">
        <v>0</v>
      </c>
      <c r="G97" s="221">
        <f t="shared" si="4"/>
        <v>0</v>
      </c>
    </row>
    <row r="98" spans="2:7">
      <c r="B98" s="218"/>
      <c r="C98" s="212" t="s">
        <v>318</v>
      </c>
      <c r="D98" s="735"/>
      <c r="E98" s="736"/>
      <c r="F98" s="1599"/>
      <c r="G98" s="221"/>
    </row>
    <row r="99" spans="2:7">
      <c r="B99" s="218"/>
      <c r="C99" s="219" t="s">
        <v>319</v>
      </c>
      <c r="D99" s="213" t="s">
        <v>66</v>
      </c>
      <c r="E99" s="214">
        <v>2</v>
      </c>
      <c r="F99" s="1599">
        <v>0</v>
      </c>
      <c r="G99" s="221">
        <f t="shared" si="4"/>
        <v>0</v>
      </c>
    </row>
    <row r="100" spans="2:7" ht="36">
      <c r="B100" s="218"/>
      <c r="C100" s="222" t="s">
        <v>283</v>
      </c>
      <c r="D100" s="213" t="s">
        <v>66</v>
      </c>
      <c r="E100" s="214">
        <v>2</v>
      </c>
      <c r="F100" s="1599">
        <v>0</v>
      </c>
      <c r="G100" s="221">
        <f t="shared" si="4"/>
        <v>0</v>
      </c>
    </row>
    <row r="101" spans="2:7">
      <c r="B101" s="218"/>
      <c r="C101" s="222" t="s">
        <v>183</v>
      </c>
      <c r="D101" s="213" t="s">
        <v>66</v>
      </c>
      <c r="E101" s="214">
        <v>2</v>
      </c>
      <c r="F101" s="1599">
        <v>0</v>
      </c>
      <c r="G101" s="221">
        <f t="shared" si="4"/>
        <v>0</v>
      </c>
    </row>
    <row r="102" spans="2:7">
      <c r="B102" s="218"/>
      <c r="C102" s="222" t="s">
        <v>131</v>
      </c>
      <c r="D102" s="213" t="s">
        <v>66</v>
      </c>
      <c r="E102" s="214">
        <v>2</v>
      </c>
      <c r="F102" s="1599">
        <v>0</v>
      </c>
      <c r="G102" s="221">
        <f t="shared" si="4"/>
        <v>0</v>
      </c>
    </row>
    <row r="103" spans="2:7">
      <c r="B103" s="218"/>
      <c r="C103" s="1133" t="s">
        <v>166</v>
      </c>
      <c r="D103" s="213" t="s">
        <v>66</v>
      </c>
      <c r="E103" s="214">
        <v>4</v>
      </c>
      <c r="F103" s="1599">
        <v>0</v>
      </c>
      <c r="G103" s="221">
        <f t="shared" si="4"/>
        <v>0</v>
      </c>
    </row>
    <row r="104" spans="2:7">
      <c r="B104" s="218"/>
      <c r="C104" s="1133" t="s">
        <v>167</v>
      </c>
      <c r="D104" s="213" t="s">
        <v>66</v>
      </c>
      <c r="E104" s="214">
        <v>4</v>
      </c>
      <c r="F104" s="1599">
        <v>0</v>
      </c>
      <c r="G104" s="221">
        <f t="shared" si="4"/>
        <v>0</v>
      </c>
    </row>
    <row r="105" spans="2:7">
      <c r="B105" s="218"/>
      <c r="C105" s="1133" t="s">
        <v>229</v>
      </c>
      <c r="D105" s="213" t="s">
        <v>66</v>
      </c>
      <c r="E105" s="214">
        <v>4</v>
      </c>
      <c r="F105" s="1599">
        <v>0</v>
      </c>
      <c r="G105" s="221">
        <f t="shared" si="4"/>
        <v>0</v>
      </c>
    </row>
    <row r="106" spans="2:7">
      <c r="B106" s="218"/>
      <c r="C106" s="1133" t="s">
        <v>230</v>
      </c>
      <c r="D106" s="213" t="s">
        <v>66</v>
      </c>
      <c r="E106" s="214">
        <v>4</v>
      </c>
      <c r="F106" s="1599">
        <v>0</v>
      </c>
      <c r="G106" s="221">
        <f t="shared" si="4"/>
        <v>0</v>
      </c>
    </row>
    <row r="107" spans="2:7">
      <c r="B107" s="218"/>
      <c r="C107" s="1133" t="s">
        <v>134</v>
      </c>
      <c r="D107" s="213" t="s">
        <v>66</v>
      </c>
      <c r="E107" s="214">
        <v>2</v>
      </c>
      <c r="F107" s="1599">
        <v>0</v>
      </c>
      <c r="G107" s="221">
        <f t="shared" si="4"/>
        <v>0</v>
      </c>
    </row>
    <row r="108" spans="2:7">
      <c r="B108" s="218"/>
      <c r="C108" s="1134" t="s">
        <v>135</v>
      </c>
      <c r="D108" s="213" t="s">
        <v>66</v>
      </c>
      <c r="E108" s="214">
        <v>2</v>
      </c>
      <c r="F108" s="1599">
        <v>0</v>
      </c>
      <c r="G108" s="221">
        <f t="shared" si="4"/>
        <v>0</v>
      </c>
    </row>
    <row r="109" spans="2:7">
      <c r="B109" s="201" t="s">
        <v>126</v>
      </c>
      <c r="C109" s="238" t="s">
        <v>320</v>
      </c>
      <c r="D109" s="239"/>
      <c r="E109" s="240"/>
      <c r="F109" s="241"/>
      <c r="G109" s="242"/>
    </row>
    <row r="110" spans="2:7">
      <c r="B110" s="218"/>
      <c r="C110" s="238" t="s">
        <v>326</v>
      </c>
      <c r="D110" s="153"/>
      <c r="E110" s="741"/>
      <c r="F110" s="1611"/>
      <c r="G110" s="263"/>
    </row>
    <row r="111" spans="2:7" ht="36">
      <c r="B111" s="218"/>
      <c r="C111" s="1123" t="s">
        <v>322</v>
      </c>
      <c r="D111" s="239" t="s">
        <v>66</v>
      </c>
      <c r="E111" s="240">
        <v>1</v>
      </c>
      <c r="F111" s="1609">
        <v>0</v>
      </c>
      <c r="G111" s="245">
        <f t="shared" ref="G111:G113" si="5">E111*F111</f>
        <v>0</v>
      </c>
    </row>
    <row r="112" spans="2:7">
      <c r="B112" s="218"/>
      <c r="C112" s="246" t="s">
        <v>325</v>
      </c>
      <c r="D112" s="239" t="s">
        <v>66</v>
      </c>
      <c r="E112" s="240">
        <v>1</v>
      </c>
      <c r="F112" s="1609">
        <v>0</v>
      </c>
      <c r="G112" s="245">
        <f t="shared" si="5"/>
        <v>0</v>
      </c>
    </row>
    <row r="113" spans="2:7">
      <c r="B113" s="218"/>
      <c r="C113" s="247" t="s">
        <v>135</v>
      </c>
      <c r="D113" s="239" t="s">
        <v>66</v>
      </c>
      <c r="E113" s="240">
        <v>1</v>
      </c>
      <c r="F113" s="1609">
        <v>0</v>
      </c>
      <c r="G113" s="245">
        <f t="shared" si="5"/>
        <v>0</v>
      </c>
    </row>
    <row r="114" spans="2:7">
      <c r="B114" s="201" t="s">
        <v>136</v>
      </c>
      <c r="C114" s="223" t="s">
        <v>137</v>
      </c>
      <c r="D114" s="224"/>
      <c r="E114" s="225"/>
      <c r="F114" s="226"/>
      <c r="G114" s="227"/>
    </row>
    <row r="115" spans="2:7">
      <c r="B115" s="218"/>
      <c r="C115" s="223" t="s">
        <v>138</v>
      </c>
      <c r="D115" s="737"/>
      <c r="E115" s="738"/>
      <c r="F115" s="1605"/>
      <c r="G115" s="1125"/>
    </row>
    <row r="116" spans="2:7">
      <c r="B116" s="218"/>
      <c r="C116" s="228" t="s">
        <v>129</v>
      </c>
      <c r="D116" s="224" t="s">
        <v>66</v>
      </c>
      <c r="E116" s="225">
        <v>1</v>
      </c>
      <c r="F116" s="1603">
        <v>0</v>
      </c>
      <c r="G116" s="230">
        <f t="shared" ref="G116:G131" si="6">E116*F116</f>
        <v>0</v>
      </c>
    </row>
    <row r="117" spans="2:7">
      <c r="B117" s="218"/>
      <c r="C117" s="228" t="s">
        <v>139</v>
      </c>
      <c r="D117" s="224" t="s">
        <v>66</v>
      </c>
      <c r="E117" s="225">
        <v>2</v>
      </c>
      <c r="F117" s="1603">
        <v>0</v>
      </c>
      <c r="G117" s="230">
        <f t="shared" si="6"/>
        <v>0</v>
      </c>
    </row>
    <row r="118" spans="2:7">
      <c r="B118" s="218"/>
      <c r="C118" s="231" t="s">
        <v>140</v>
      </c>
      <c r="D118" s="224" t="s">
        <v>66</v>
      </c>
      <c r="E118" s="225">
        <v>1</v>
      </c>
      <c r="F118" s="1603">
        <v>0</v>
      </c>
      <c r="G118" s="230">
        <f t="shared" si="6"/>
        <v>0</v>
      </c>
    </row>
    <row r="119" spans="2:7">
      <c r="B119" s="218"/>
      <c r="C119" s="231" t="s">
        <v>141</v>
      </c>
      <c r="D119" s="224" t="s">
        <v>66</v>
      </c>
      <c r="E119" s="225">
        <v>1</v>
      </c>
      <c r="F119" s="1603">
        <v>0</v>
      </c>
      <c r="G119" s="230">
        <f t="shared" si="6"/>
        <v>0</v>
      </c>
    </row>
    <row r="120" spans="2:7">
      <c r="B120" s="218"/>
      <c r="C120" s="231" t="s">
        <v>142</v>
      </c>
      <c r="D120" s="224" t="s">
        <v>66</v>
      </c>
      <c r="E120" s="225">
        <v>1</v>
      </c>
      <c r="F120" s="1603">
        <v>0</v>
      </c>
      <c r="G120" s="230">
        <f t="shared" si="6"/>
        <v>0</v>
      </c>
    </row>
    <row r="121" spans="2:7">
      <c r="B121" s="218"/>
      <c r="C121" s="231" t="s">
        <v>143</v>
      </c>
      <c r="D121" s="224" t="s">
        <v>66</v>
      </c>
      <c r="E121" s="225">
        <v>1</v>
      </c>
      <c r="F121" s="1603">
        <v>0</v>
      </c>
      <c r="G121" s="230">
        <f t="shared" si="6"/>
        <v>0</v>
      </c>
    </row>
    <row r="122" spans="2:7">
      <c r="B122" s="218"/>
      <c r="C122" s="231" t="s">
        <v>2250</v>
      </c>
      <c r="D122" s="224" t="s">
        <v>66</v>
      </c>
      <c r="E122" s="225">
        <v>1</v>
      </c>
      <c r="F122" s="1603">
        <v>0</v>
      </c>
      <c r="G122" s="230">
        <f t="shared" si="6"/>
        <v>0</v>
      </c>
    </row>
    <row r="123" spans="2:7">
      <c r="B123" s="218"/>
      <c r="C123" s="231" t="s">
        <v>145</v>
      </c>
      <c r="D123" s="224" t="s">
        <v>66</v>
      </c>
      <c r="E123" s="225">
        <v>1</v>
      </c>
      <c r="F123" s="1603">
        <v>0</v>
      </c>
      <c r="G123" s="230">
        <f t="shared" si="6"/>
        <v>0</v>
      </c>
    </row>
    <row r="124" spans="2:7">
      <c r="B124" s="218"/>
      <c r="C124" s="231" t="s">
        <v>146</v>
      </c>
      <c r="D124" s="224" t="s">
        <v>66</v>
      </c>
      <c r="E124" s="225">
        <v>1</v>
      </c>
      <c r="F124" s="1603">
        <v>0</v>
      </c>
      <c r="G124" s="230">
        <f t="shared" si="6"/>
        <v>0</v>
      </c>
    </row>
    <row r="125" spans="2:7">
      <c r="B125" s="218"/>
      <c r="C125" s="739" t="s">
        <v>147</v>
      </c>
      <c r="D125" s="224" t="s">
        <v>66</v>
      </c>
      <c r="E125" s="225">
        <v>1</v>
      </c>
      <c r="F125" s="1603">
        <v>0</v>
      </c>
      <c r="G125" s="230">
        <f t="shared" si="6"/>
        <v>0</v>
      </c>
    </row>
    <row r="126" spans="2:7">
      <c r="B126" s="218"/>
      <c r="C126" s="739" t="s">
        <v>188</v>
      </c>
      <c r="D126" s="224" t="s">
        <v>66</v>
      </c>
      <c r="E126" s="225">
        <v>1</v>
      </c>
      <c r="F126" s="1603">
        <v>0</v>
      </c>
      <c r="G126" s="230">
        <f t="shared" si="6"/>
        <v>0</v>
      </c>
    </row>
    <row r="127" spans="2:7">
      <c r="B127" s="218"/>
      <c r="C127" s="739" t="s">
        <v>132</v>
      </c>
      <c r="D127" s="224" t="s">
        <v>66</v>
      </c>
      <c r="E127" s="225">
        <v>2</v>
      </c>
      <c r="F127" s="1603">
        <v>0</v>
      </c>
      <c r="G127" s="230">
        <f t="shared" si="6"/>
        <v>0</v>
      </c>
    </row>
    <row r="128" spans="2:7">
      <c r="B128" s="218"/>
      <c r="C128" s="739" t="s">
        <v>148</v>
      </c>
      <c r="D128" s="224" t="s">
        <v>66</v>
      </c>
      <c r="E128" s="225">
        <v>2</v>
      </c>
      <c r="F128" s="1603">
        <v>0</v>
      </c>
      <c r="G128" s="230">
        <f t="shared" si="6"/>
        <v>0</v>
      </c>
    </row>
    <row r="129" spans="2:7">
      <c r="B129" s="218"/>
      <c r="C129" s="739" t="s">
        <v>149</v>
      </c>
      <c r="D129" s="224" t="s">
        <v>66</v>
      </c>
      <c r="E129" s="225">
        <v>1</v>
      </c>
      <c r="F129" s="1603">
        <v>0</v>
      </c>
      <c r="G129" s="230">
        <f t="shared" si="6"/>
        <v>0</v>
      </c>
    </row>
    <row r="130" spans="2:7">
      <c r="B130" s="218"/>
      <c r="C130" s="739" t="s">
        <v>150</v>
      </c>
      <c r="D130" s="224" t="s">
        <v>66</v>
      </c>
      <c r="E130" s="225">
        <v>3</v>
      </c>
      <c r="F130" s="1603">
        <v>0</v>
      </c>
      <c r="G130" s="230">
        <f t="shared" si="6"/>
        <v>0</v>
      </c>
    </row>
    <row r="131" spans="2:7">
      <c r="B131" s="218"/>
      <c r="C131" s="740" t="s">
        <v>135</v>
      </c>
      <c r="D131" s="224" t="s">
        <v>66</v>
      </c>
      <c r="E131" s="225">
        <v>1</v>
      </c>
      <c r="F131" s="1603">
        <v>0</v>
      </c>
      <c r="G131" s="230">
        <f t="shared" si="6"/>
        <v>0</v>
      </c>
    </row>
    <row r="132" spans="2:7">
      <c r="B132" s="201" t="s">
        <v>151</v>
      </c>
      <c r="C132" s="212" t="s">
        <v>152</v>
      </c>
      <c r="D132" s="213"/>
      <c r="E132" s="214"/>
      <c r="F132" s="215"/>
      <c r="G132" s="216"/>
    </row>
    <row r="133" spans="2:7">
      <c r="B133" s="218"/>
      <c r="C133" s="212" t="s">
        <v>153</v>
      </c>
      <c r="D133" s="735"/>
      <c r="E133" s="736"/>
      <c r="F133" s="1601"/>
      <c r="G133" s="1121"/>
    </row>
    <row r="134" spans="2:7">
      <c r="B134" s="218"/>
      <c r="C134" s="219" t="s">
        <v>129</v>
      </c>
      <c r="D134" s="213" t="s">
        <v>66</v>
      </c>
      <c r="E134" s="214">
        <v>1</v>
      </c>
      <c r="F134" s="1599">
        <v>0</v>
      </c>
      <c r="G134" s="221">
        <f t="shared" ref="G134:G144" si="7">E134*F134</f>
        <v>0</v>
      </c>
    </row>
    <row r="135" spans="2:7" ht="24">
      <c r="B135" s="218"/>
      <c r="C135" s="222" t="s">
        <v>154</v>
      </c>
      <c r="D135" s="213" t="s">
        <v>66</v>
      </c>
      <c r="E135" s="214">
        <v>1</v>
      </c>
      <c r="F135" s="1599">
        <v>0</v>
      </c>
      <c r="G135" s="221">
        <f t="shared" si="7"/>
        <v>0</v>
      </c>
    </row>
    <row r="136" spans="2:7">
      <c r="B136" s="218"/>
      <c r="C136" s="222" t="s">
        <v>155</v>
      </c>
      <c r="D136" s="213" t="s">
        <v>66</v>
      </c>
      <c r="E136" s="214">
        <v>1</v>
      </c>
      <c r="F136" s="1599">
        <v>0</v>
      </c>
      <c r="G136" s="221">
        <f t="shared" si="7"/>
        <v>0</v>
      </c>
    </row>
    <row r="137" spans="2:7">
      <c r="B137" s="218"/>
      <c r="C137" s="222" t="s">
        <v>330</v>
      </c>
      <c r="D137" s="213" t="s">
        <v>66</v>
      </c>
      <c r="E137" s="214">
        <v>1</v>
      </c>
      <c r="F137" s="1599">
        <v>0</v>
      </c>
      <c r="G137" s="221">
        <f t="shared" si="7"/>
        <v>0</v>
      </c>
    </row>
    <row r="138" spans="2:7">
      <c r="B138" s="218"/>
      <c r="C138" s="222" t="s">
        <v>157</v>
      </c>
      <c r="D138" s="213" t="s">
        <v>66</v>
      </c>
      <c r="E138" s="214">
        <v>1</v>
      </c>
      <c r="F138" s="1599">
        <v>0</v>
      </c>
      <c r="G138" s="221">
        <f t="shared" si="7"/>
        <v>0</v>
      </c>
    </row>
    <row r="139" spans="2:7">
      <c r="B139" s="218"/>
      <c r="C139" s="234" t="s">
        <v>158</v>
      </c>
      <c r="D139" s="213" t="s">
        <v>66</v>
      </c>
      <c r="E139" s="214">
        <v>1</v>
      </c>
      <c r="F139" s="1599">
        <v>0</v>
      </c>
      <c r="G139" s="221">
        <f t="shared" si="7"/>
        <v>0</v>
      </c>
    </row>
    <row r="140" spans="2:7">
      <c r="B140" s="218"/>
      <c r="C140" s="234" t="s">
        <v>190</v>
      </c>
      <c r="D140" s="213" t="s">
        <v>66</v>
      </c>
      <c r="E140" s="214">
        <v>1</v>
      </c>
      <c r="F140" s="1599">
        <v>0</v>
      </c>
      <c r="G140" s="221">
        <f t="shared" si="7"/>
        <v>0</v>
      </c>
    </row>
    <row r="141" spans="2:7">
      <c r="B141" s="218"/>
      <c r="C141" s="234" t="s">
        <v>132</v>
      </c>
      <c r="D141" s="213" t="s">
        <v>66</v>
      </c>
      <c r="E141" s="214">
        <v>2</v>
      </c>
      <c r="F141" s="1599">
        <v>0</v>
      </c>
      <c r="G141" s="221">
        <f t="shared" si="7"/>
        <v>0</v>
      </c>
    </row>
    <row r="142" spans="2:7">
      <c r="B142" s="218"/>
      <c r="C142" s="234" t="s">
        <v>148</v>
      </c>
      <c r="D142" s="213" t="s">
        <v>66</v>
      </c>
      <c r="E142" s="214">
        <v>2</v>
      </c>
      <c r="F142" s="1599">
        <v>0</v>
      </c>
      <c r="G142" s="221">
        <f t="shared" si="7"/>
        <v>0</v>
      </c>
    </row>
    <row r="143" spans="2:7">
      <c r="B143" s="218"/>
      <c r="C143" s="234" t="s">
        <v>150</v>
      </c>
      <c r="D143" s="213" t="s">
        <v>66</v>
      </c>
      <c r="E143" s="214">
        <v>1</v>
      </c>
      <c r="F143" s="1599">
        <v>0</v>
      </c>
      <c r="G143" s="221">
        <f t="shared" si="7"/>
        <v>0</v>
      </c>
    </row>
    <row r="144" spans="2:7">
      <c r="B144" s="218"/>
      <c r="C144" s="235" t="s">
        <v>135</v>
      </c>
      <c r="D144" s="213" t="s">
        <v>66</v>
      </c>
      <c r="E144" s="214">
        <v>1</v>
      </c>
      <c r="F144" s="1599">
        <v>0</v>
      </c>
      <c r="G144" s="221">
        <f t="shared" si="7"/>
        <v>0</v>
      </c>
    </row>
    <row r="145" spans="2:7" ht="24">
      <c r="B145" s="199" t="s">
        <v>1416</v>
      </c>
      <c r="C145" s="212" t="s">
        <v>332</v>
      </c>
      <c r="D145" s="735" t="s">
        <v>66</v>
      </c>
      <c r="E145" s="736">
        <v>1</v>
      </c>
      <c r="F145" s="1126">
        <v>0</v>
      </c>
      <c r="G145" s="1121">
        <f>E145*F145</f>
        <v>0</v>
      </c>
    </row>
    <row r="146" spans="2:7">
      <c r="B146" s="201" t="s">
        <v>159</v>
      </c>
      <c r="C146" s="223" t="s">
        <v>886</v>
      </c>
      <c r="D146" s="224"/>
      <c r="E146" s="225"/>
      <c r="F146" s="226"/>
      <c r="G146" s="227"/>
    </row>
    <row r="147" spans="2:7">
      <c r="B147" s="218"/>
      <c r="C147" s="223" t="s">
        <v>220</v>
      </c>
      <c r="D147" s="737"/>
      <c r="E147" s="738"/>
      <c r="F147" s="1124"/>
      <c r="G147" s="1127"/>
    </row>
    <row r="148" spans="2:7" ht="24">
      <c r="B148" s="218"/>
      <c r="C148" s="228" t="s">
        <v>2249</v>
      </c>
      <c r="D148" s="224" t="s">
        <v>66</v>
      </c>
      <c r="E148" s="225">
        <v>1</v>
      </c>
      <c r="F148" s="1603">
        <v>0</v>
      </c>
      <c r="G148" s="230">
        <f t="shared" ref="G148:G152" si="8">E148*F148</f>
        <v>0</v>
      </c>
    </row>
    <row r="149" spans="2:7">
      <c r="B149" s="218"/>
      <c r="C149" s="739" t="s">
        <v>184</v>
      </c>
      <c r="D149" s="224" t="s">
        <v>66</v>
      </c>
      <c r="E149" s="225">
        <v>2</v>
      </c>
      <c r="F149" s="1603">
        <v>0</v>
      </c>
      <c r="G149" s="230">
        <f t="shared" si="8"/>
        <v>0</v>
      </c>
    </row>
    <row r="150" spans="2:7">
      <c r="B150" s="218"/>
      <c r="C150" s="739" t="s">
        <v>132</v>
      </c>
      <c r="D150" s="224" t="s">
        <v>66</v>
      </c>
      <c r="E150" s="225">
        <v>1</v>
      </c>
      <c r="F150" s="1603">
        <v>0</v>
      </c>
      <c r="G150" s="230">
        <f t="shared" si="8"/>
        <v>0</v>
      </c>
    </row>
    <row r="151" spans="2:7">
      <c r="B151" s="218"/>
      <c r="C151" s="739" t="s">
        <v>150</v>
      </c>
      <c r="D151" s="224" t="s">
        <v>66</v>
      </c>
      <c r="E151" s="225">
        <v>1</v>
      </c>
      <c r="F151" s="1603">
        <v>0</v>
      </c>
      <c r="G151" s="230">
        <f t="shared" si="8"/>
        <v>0</v>
      </c>
    </row>
    <row r="152" spans="2:7">
      <c r="B152" s="218"/>
      <c r="C152" s="740" t="s">
        <v>135</v>
      </c>
      <c r="D152" s="224" t="s">
        <v>66</v>
      </c>
      <c r="E152" s="225">
        <v>1</v>
      </c>
      <c r="F152" s="1603">
        <v>0</v>
      </c>
      <c r="G152" s="230">
        <f t="shared" si="8"/>
        <v>0</v>
      </c>
    </row>
    <row r="153" spans="2:7">
      <c r="B153" s="201" t="s">
        <v>168</v>
      </c>
      <c r="C153" s="238" t="s">
        <v>169</v>
      </c>
      <c r="D153" s="239"/>
      <c r="E153" s="240"/>
      <c r="F153" s="241"/>
      <c r="G153" s="242"/>
    </row>
    <row r="154" spans="2:7">
      <c r="B154" s="218"/>
      <c r="C154" s="238" t="s">
        <v>170</v>
      </c>
      <c r="D154" s="153"/>
      <c r="E154" s="741"/>
      <c r="F154" s="1611"/>
      <c r="G154" s="263"/>
    </row>
    <row r="155" spans="2:7" ht="36">
      <c r="B155" s="218"/>
      <c r="C155" s="243" t="s">
        <v>2246</v>
      </c>
      <c r="D155" s="239" t="s">
        <v>66</v>
      </c>
      <c r="E155" s="240">
        <v>12</v>
      </c>
      <c r="F155" s="1609">
        <v>0</v>
      </c>
      <c r="G155" s="245">
        <f t="shared" ref="G155:G158" si="9">E155*F155</f>
        <v>0</v>
      </c>
    </row>
    <row r="156" spans="2:7">
      <c r="B156" s="218"/>
      <c r="C156" s="1129" t="s">
        <v>171</v>
      </c>
      <c r="D156" s="239" t="s">
        <v>66</v>
      </c>
      <c r="E156" s="240">
        <v>12</v>
      </c>
      <c r="F156" s="1609">
        <v>0</v>
      </c>
      <c r="G156" s="245">
        <f t="shared" si="9"/>
        <v>0</v>
      </c>
    </row>
    <row r="157" spans="2:7">
      <c r="B157" s="218"/>
      <c r="C157" s="1130" t="s">
        <v>135</v>
      </c>
      <c r="D157" s="239" t="s">
        <v>66</v>
      </c>
      <c r="E157" s="240">
        <v>12</v>
      </c>
      <c r="F157" s="1609">
        <v>0</v>
      </c>
      <c r="G157" s="245">
        <f t="shared" si="9"/>
        <v>0</v>
      </c>
    </row>
    <row r="158" spans="2:7">
      <c r="B158" s="218"/>
      <c r="C158" s="247" t="s">
        <v>891</v>
      </c>
      <c r="D158" s="239" t="s">
        <v>66</v>
      </c>
      <c r="E158" s="240">
        <v>12</v>
      </c>
      <c r="F158" s="1609">
        <v>0</v>
      </c>
      <c r="G158" s="245">
        <f t="shared" si="9"/>
        <v>0</v>
      </c>
    </row>
    <row r="159" spans="2:7">
      <c r="B159" s="201" t="s">
        <v>172</v>
      </c>
      <c r="C159" s="248" t="s">
        <v>173</v>
      </c>
      <c r="D159" s="249"/>
      <c r="E159" s="250"/>
      <c r="F159" s="251"/>
      <c r="G159" s="252"/>
    </row>
    <row r="160" spans="2:7" ht="60">
      <c r="B160" s="218"/>
      <c r="C160" s="253" t="s">
        <v>174</v>
      </c>
      <c r="D160" s="1142" t="s">
        <v>66</v>
      </c>
      <c r="E160" s="1143">
        <v>1</v>
      </c>
      <c r="F160" s="1144">
        <v>0</v>
      </c>
      <c r="G160" s="252">
        <f>E160*F160</f>
        <v>0</v>
      </c>
    </row>
    <row r="161" spans="2:7">
      <c r="B161" s="258" t="s">
        <v>47</v>
      </c>
      <c r="C161" s="259" t="s">
        <v>1427</v>
      </c>
      <c r="D161" s="260"/>
      <c r="E161" s="261"/>
      <c r="F161" s="262"/>
      <c r="G161" s="263">
        <f>SUM(G76:G160)</f>
        <v>0</v>
      </c>
    </row>
  </sheetData>
  <mergeCells count="5">
    <mergeCell ref="B43:G43"/>
    <mergeCell ref="B71:G71"/>
    <mergeCell ref="B72:G72"/>
    <mergeCell ref="B73:G73"/>
    <mergeCell ref="B80:B82"/>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2C8A-9995-4363-84E2-106DFED14C75}">
  <sheetPr>
    <tabColor rgb="FF00B0F0"/>
  </sheetPr>
  <dimension ref="A2:Y164"/>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855468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1428</v>
      </c>
      <c r="D4" s="76"/>
      <c r="E4" s="77"/>
      <c r="F4" s="674"/>
      <c r="G4" s="79"/>
      <c r="H4" s="37"/>
    </row>
    <row r="5" spans="1:25" s="73" customFormat="1" ht="12" customHeight="1">
      <c r="B5" s="80"/>
      <c r="C5" s="81"/>
      <c r="D5" s="82"/>
      <c r="E5" s="83"/>
      <c r="F5" s="675"/>
      <c r="G5" s="85"/>
      <c r="H5" s="37"/>
    </row>
    <row r="6" spans="1:25" s="86" customFormat="1" ht="21" customHeight="1">
      <c r="B6" s="676" t="s">
        <v>37</v>
      </c>
      <c r="C6" s="677" t="s">
        <v>1429</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G164</f>
        <v>0</v>
      </c>
      <c r="H17" s="37"/>
      <c r="I17" s="73"/>
      <c r="J17" s="73"/>
      <c r="K17" s="73"/>
      <c r="L17" s="73"/>
      <c r="M17" s="73"/>
      <c r="N17" s="73"/>
      <c r="O17" s="73"/>
      <c r="P17" s="73"/>
      <c r="Q17" s="73"/>
      <c r="R17" s="73"/>
      <c r="S17" s="73"/>
      <c r="T17" s="73"/>
      <c r="U17" s="73"/>
      <c r="V17" s="73"/>
      <c r="W17" s="73"/>
      <c r="X17" s="73"/>
      <c r="Y17" s="73"/>
    </row>
    <row r="18" spans="2:25" s="101" customFormat="1" ht="18.75" customHeight="1">
      <c r="B18" s="696"/>
      <c r="C18" s="697" t="s">
        <v>49</v>
      </c>
      <c r="D18" s="698"/>
      <c r="E18" s="699"/>
      <c r="F18" s="700"/>
      <c r="G18" s="2308">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702" t="s">
        <v>41</v>
      </c>
      <c r="C21" s="703" t="s">
        <v>51</v>
      </c>
      <c r="D21" s="704" t="s">
        <v>52</v>
      </c>
      <c r="E21" s="705" t="s">
        <v>53</v>
      </c>
      <c r="F21" s="706" t="s">
        <v>54</v>
      </c>
      <c r="G21" s="707"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368</v>
      </c>
      <c r="F24" s="1082">
        <v>0</v>
      </c>
      <c r="G24" s="1083">
        <f t="shared" ref="G24" si="0">E24*F24</f>
        <v>0</v>
      </c>
    </row>
    <row r="25" spans="2:25">
      <c r="B25" s="125">
        <v>2</v>
      </c>
      <c r="C25" s="144" t="s">
        <v>58</v>
      </c>
      <c r="D25" s="140" t="s">
        <v>57</v>
      </c>
      <c r="E25" s="1081">
        <f>E24</f>
        <v>368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4</v>
      </c>
      <c r="F28" s="1082">
        <v>0</v>
      </c>
      <c r="G28" s="1083">
        <f t="shared" si="1"/>
        <v>0</v>
      </c>
    </row>
    <row r="29" spans="2:25" ht="36">
      <c r="B29" s="125">
        <v>6</v>
      </c>
      <c r="C29" s="1084" t="s">
        <v>63</v>
      </c>
      <c r="D29" s="140" t="s">
        <v>57</v>
      </c>
      <c r="E29" s="1081">
        <f>E24</f>
        <v>368</v>
      </c>
      <c r="F29" s="1082">
        <v>0</v>
      </c>
      <c r="G29" s="1083">
        <f t="shared" si="1"/>
        <v>0</v>
      </c>
    </row>
    <row r="30" spans="2:25" ht="48">
      <c r="B30" s="125">
        <v>7</v>
      </c>
      <c r="C30" s="1084" t="s">
        <v>64</v>
      </c>
      <c r="D30" s="146" t="s">
        <v>60</v>
      </c>
      <c r="E30" s="1081">
        <v>1</v>
      </c>
      <c r="F30" s="1082">
        <v>0</v>
      </c>
      <c r="G30" s="1083">
        <f t="shared" si="1"/>
        <v>0</v>
      </c>
    </row>
    <row r="31" spans="2:25" ht="54" customHeight="1">
      <c r="B31" s="125">
        <v>8</v>
      </c>
      <c r="C31" s="1080" t="s">
        <v>2292</v>
      </c>
      <c r="D31" s="146" t="s">
        <v>66</v>
      </c>
      <c r="E31" s="1081">
        <v>19</v>
      </c>
      <c r="F31" s="1082">
        <v>0</v>
      </c>
      <c r="G31" s="1083">
        <f t="shared" si="1"/>
        <v>0</v>
      </c>
    </row>
    <row r="32" spans="2:25" ht="36">
      <c r="B32" s="125">
        <v>9</v>
      </c>
      <c r="C32" s="1080" t="s">
        <v>2295</v>
      </c>
      <c r="D32" s="146" t="s">
        <v>57</v>
      </c>
      <c r="E32" s="1081">
        <f>E24+E78+E79</f>
        <v>459</v>
      </c>
      <c r="F32" s="1082">
        <v>0</v>
      </c>
      <c r="G32" s="1083">
        <f t="shared" si="1"/>
        <v>0</v>
      </c>
    </row>
    <row r="33" spans="1:25" ht="24">
      <c r="B33" s="125">
        <v>10</v>
      </c>
      <c r="C33" s="1080" t="s">
        <v>2293</v>
      </c>
      <c r="D33" s="146" t="s">
        <v>57</v>
      </c>
      <c r="E33" s="1081">
        <f>E24+E78+E79</f>
        <v>459</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10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99.36</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563.04</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552</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368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441.59999999999997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220.8</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28</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1391</v>
      </c>
      <c r="D52" s="140" t="s">
        <v>78</v>
      </c>
      <c r="E52" s="1094">
        <f>E24*1.2</f>
        <v>441.59999999999997</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247.29599999999999</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247.29599999999999</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27.6</v>
      </c>
      <c r="F56" s="1092">
        <v>0</v>
      </c>
      <c r="G56" s="1083">
        <f t="shared" si="2"/>
        <v>0</v>
      </c>
      <c r="I56" s="1"/>
      <c r="J56" s="1"/>
      <c r="K56" s="1"/>
      <c r="L56" s="1"/>
      <c r="M56" s="1"/>
      <c r="N56" s="1"/>
      <c r="O56" s="1"/>
      <c r="P56" s="1"/>
      <c r="Q56" s="1"/>
      <c r="R56" s="1"/>
      <c r="S56" s="1"/>
      <c r="T56" s="1"/>
      <c r="U56" s="1"/>
      <c r="V56" s="1"/>
      <c r="W56" s="1"/>
      <c r="X56" s="1"/>
      <c r="Y56" s="1"/>
    </row>
    <row r="57" spans="1:25" s="8" customFormat="1" ht="48">
      <c r="A57" s="1">
        <v>3</v>
      </c>
      <c r="B57" s="717">
        <v>14</v>
      </c>
      <c r="C57" s="1096" t="s">
        <v>1393</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34</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9" t="s">
        <v>271</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104</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105</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368*0.9</f>
        <v>331.2</v>
      </c>
      <c r="F76" s="1092">
        <v>0</v>
      </c>
      <c r="G76" s="1093">
        <f t="shared" ref="G76:G83" si="3">E76*F76</f>
        <v>0</v>
      </c>
    </row>
    <row r="77" spans="1:25" ht="24">
      <c r="B77" s="191"/>
      <c r="C77" s="192" t="s">
        <v>884</v>
      </c>
      <c r="D77" s="190" t="s">
        <v>57</v>
      </c>
      <c r="E77" s="719">
        <f>368*0.1</f>
        <v>36.800000000000004</v>
      </c>
      <c r="F77" s="1092">
        <v>0</v>
      </c>
      <c r="G77" s="1093">
        <f t="shared" si="3"/>
        <v>0</v>
      </c>
    </row>
    <row r="78" spans="1:25">
      <c r="B78" s="191"/>
      <c r="C78" s="192" t="s">
        <v>109</v>
      </c>
      <c r="D78" s="190" t="s">
        <v>57</v>
      </c>
      <c r="E78" s="719">
        <f>91*0.9</f>
        <v>81.900000000000006</v>
      </c>
      <c r="F78" s="1092">
        <v>0</v>
      </c>
      <c r="G78" s="1093">
        <f t="shared" si="3"/>
        <v>0</v>
      </c>
    </row>
    <row r="79" spans="1:25" ht="24">
      <c r="B79" s="191"/>
      <c r="C79" s="192" t="s">
        <v>110</v>
      </c>
      <c r="D79" s="190" t="s">
        <v>57</v>
      </c>
      <c r="E79" s="719">
        <f>91*0.1</f>
        <v>9.1</v>
      </c>
      <c r="F79" s="1092">
        <v>0</v>
      </c>
      <c r="G79" s="1093">
        <f t="shared" si="3"/>
        <v>0</v>
      </c>
    </row>
    <row r="80" spans="1:25" ht="36">
      <c r="B80" s="2404" t="s">
        <v>111</v>
      </c>
      <c r="C80" s="193" t="s">
        <v>112</v>
      </c>
      <c r="D80" s="194"/>
      <c r="E80" s="719"/>
      <c r="F80" s="1092"/>
      <c r="G80" s="1093"/>
    </row>
    <row r="81" spans="2:7">
      <c r="B81" s="2405"/>
      <c r="C81" s="195" t="s">
        <v>113</v>
      </c>
      <c r="D81" s="194" t="s">
        <v>57</v>
      </c>
      <c r="E81" s="719">
        <v>60</v>
      </c>
      <c r="F81" s="1092">
        <v>0</v>
      </c>
      <c r="G81" s="1093">
        <f>E81*F81</f>
        <v>0</v>
      </c>
    </row>
    <row r="82" spans="2:7">
      <c r="B82" s="2413"/>
      <c r="C82" s="195" t="s">
        <v>275</v>
      </c>
      <c r="D82" s="194" t="s">
        <v>57</v>
      </c>
      <c r="E82" s="719">
        <v>15</v>
      </c>
      <c r="F82" s="1092">
        <v>0</v>
      </c>
      <c r="G82" s="1093">
        <f>E82*F82</f>
        <v>0</v>
      </c>
    </row>
    <row r="83" spans="2:7" ht="48">
      <c r="B83" s="196">
        <v>2</v>
      </c>
      <c r="C83" s="197" t="s">
        <v>114</v>
      </c>
      <c r="D83" s="145" t="s">
        <v>57</v>
      </c>
      <c r="E83" s="732">
        <f>SUM(E76:E79)</f>
        <v>459</v>
      </c>
      <c r="F83" s="1092">
        <v>0</v>
      </c>
      <c r="G83" s="1093">
        <f t="shared" si="3"/>
        <v>0</v>
      </c>
    </row>
    <row r="84" spans="2:7" ht="36">
      <c r="B84" s="199" t="s">
        <v>115</v>
      </c>
      <c r="C84" s="197" t="s">
        <v>116</v>
      </c>
      <c r="D84" s="145" t="s">
        <v>57</v>
      </c>
      <c r="E84" s="732">
        <f>E83</f>
        <v>459</v>
      </c>
      <c r="F84" s="1092">
        <v>0</v>
      </c>
      <c r="G84" s="1093">
        <f>E84*F84</f>
        <v>0</v>
      </c>
    </row>
    <row r="85" spans="2:7" ht="24">
      <c r="B85" s="199" t="s">
        <v>117</v>
      </c>
      <c r="C85" s="197" t="s">
        <v>118</v>
      </c>
      <c r="D85" s="145" t="s">
        <v>57</v>
      </c>
      <c r="E85" s="732">
        <f>E83</f>
        <v>459</v>
      </c>
      <c r="F85" s="1092">
        <v>0</v>
      </c>
      <c r="G85" s="1093">
        <f>E85*F85</f>
        <v>0</v>
      </c>
    </row>
    <row r="86" spans="2:7" ht="36">
      <c r="B86" s="199" t="s">
        <v>119</v>
      </c>
      <c r="C86" s="197" t="s">
        <v>120</v>
      </c>
      <c r="D86" s="145" t="s">
        <v>57</v>
      </c>
      <c r="E86" s="732">
        <f>E83</f>
        <v>459</v>
      </c>
      <c r="F86" s="1092">
        <v>0</v>
      </c>
      <c r="G86" s="1093">
        <f>E86*F86</f>
        <v>0</v>
      </c>
    </row>
    <row r="87" spans="2:7" ht="24">
      <c r="B87" s="188">
        <v>3</v>
      </c>
      <c r="C87" s="200" t="s">
        <v>121</v>
      </c>
      <c r="D87" s="127"/>
      <c r="E87" s="719"/>
      <c r="F87" s="1092">
        <v>0</v>
      </c>
      <c r="G87" s="731"/>
    </row>
    <row r="88" spans="2:7">
      <c r="B88" s="201" t="s">
        <v>122</v>
      </c>
      <c r="C88" s="202" t="s">
        <v>123</v>
      </c>
      <c r="D88" s="203"/>
      <c r="E88" s="204"/>
      <c r="F88" s="205"/>
      <c r="G88" s="206"/>
    </row>
    <row r="89" spans="2:7">
      <c r="B89" s="125"/>
      <c r="C89" s="202" t="s">
        <v>311</v>
      </c>
      <c r="D89" s="203"/>
      <c r="E89" s="204"/>
      <c r="F89" s="205"/>
      <c r="G89" s="206"/>
    </row>
    <row r="90" spans="2:7">
      <c r="B90" s="207"/>
      <c r="C90" s="208" t="s">
        <v>312</v>
      </c>
      <c r="D90" s="209" t="s">
        <v>66</v>
      </c>
      <c r="E90" s="204">
        <v>1</v>
      </c>
      <c r="F90" s="210">
        <v>0</v>
      </c>
      <c r="G90" s="211">
        <f>E90*F90</f>
        <v>0</v>
      </c>
    </row>
    <row r="91" spans="2:7">
      <c r="B91" s="207"/>
      <c r="C91" s="208" t="s">
        <v>313</v>
      </c>
      <c r="D91" s="209" t="s">
        <v>66</v>
      </c>
      <c r="E91" s="204">
        <v>1</v>
      </c>
      <c r="F91" s="210">
        <v>0</v>
      </c>
      <c r="G91" s="211">
        <f>E91*F91</f>
        <v>0</v>
      </c>
    </row>
    <row r="92" spans="2:7">
      <c r="B92" s="201" t="s">
        <v>126</v>
      </c>
      <c r="C92" s="212" t="s">
        <v>127</v>
      </c>
      <c r="D92" s="213"/>
      <c r="E92" s="214"/>
      <c r="F92" s="215">
        <v>0</v>
      </c>
      <c r="G92" s="216"/>
    </row>
    <row r="93" spans="2:7">
      <c r="B93" s="218"/>
      <c r="C93" s="212" t="s">
        <v>128</v>
      </c>
      <c r="D93" s="735"/>
      <c r="E93" s="736"/>
      <c r="F93" s="1601"/>
      <c r="G93" s="1121"/>
    </row>
    <row r="94" spans="2:7">
      <c r="B94" s="218"/>
      <c r="C94" s="219" t="s">
        <v>129</v>
      </c>
      <c r="D94" s="213" t="s">
        <v>66</v>
      </c>
      <c r="E94" s="214">
        <v>1</v>
      </c>
      <c r="F94" s="1599">
        <v>0</v>
      </c>
      <c r="G94" s="221">
        <f t="shared" ref="G94:G101" si="4">E94*F94</f>
        <v>0</v>
      </c>
    </row>
    <row r="95" spans="2:7" ht="36">
      <c r="B95" s="218"/>
      <c r="C95" s="222" t="s">
        <v>130</v>
      </c>
      <c r="D95" s="213" t="s">
        <v>66</v>
      </c>
      <c r="E95" s="214">
        <v>1</v>
      </c>
      <c r="F95" s="1599">
        <v>0</v>
      </c>
      <c r="G95" s="221">
        <f t="shared" si="4"/>
        <v>0</v>
      </c>
    </row>
    <row r="96" spans="2:7">
      <c r="B96" s="218"/>
      <c r="C96" s="222" t="s">
        <v>183</v>
      </c>
      <c r="D96" s="213" t="s">
        <v>66</v>
      </c>
      <c r="E96" s="214">
        <v>1</v>
      </c>
      <c r="F96" s="1599">
        <v>0</v>
      </c>
      <c r="G96" s="221">
        <f t="shared" si="4"/>
        <v>0</v>
      </c>
    </row>
    <row r="97" spans="2:7">
      <c r="B97" s="218"/>
      <c r="C97" s="222" t="s">
        <v>131</v>
      </c>
      <c r="D97" s="213" t="s">
        <v>66</v>
      </c>
      <c r="E97" s="214">
        <v>1</v>
      </c>
      <c r="F97" s="1599">
        <v>0</v>
      </c>
      <c r="G97" s="221">
        <f t="shared" si="4"/>
        <v>0</v>
      </c>
    </row>
    <row r="98" spans="2:7">
      <c r="B98" s="218"/>
      <c r="C98" s="222" t="s">
        <v>132</v>
      </c>
      <c r="D98" s="213" t="s">
        <v>66</v>
      </c>
      <c r="E98" s="214">
        <v>2</v>
      </c>
      <c r="F98" s="1599">
        <v>0</v>
      </c>
      <c r="G98" s="221">
        <f t="shared" si="4"/>
        <v>0</v>
      </c>
    </row>
    <row r="99" spans="2:7">
      <c r="B99" s="218"/>
      <c r="C99" s="222" t="s">
        <v>133</v>
      </c>
      <c r="D99" s="213" t="s">
        <v>66</v>
      </c>
      <c r="E99" s="214">
        <v>2</v>
      </c>
      <c r="F99" s="1599">
        <v>0</v>
      </c>
      <c r="G99" s="221">
        <f t="shared" si="4"/>
        <v>0</v>
      </c>
    </row>
    <row r="100" spans="2:7">
      <c r="B100" s="218"/>
      <c r="C100" s="222" t="s">
        <v>134</v>
      </c>
      <c r="D100" s="213" t="s">
        <v>66</v>
      </c>
      <c r="E100" s="214">
        <v>1</v>
      </c>
      <c r="F100" s="1599">
        <v>0</v>
      </c>
      <c r="G100" s="221">
        <f t="shared" si="4"/>
        <v>0</v>
      </c>
    </row>
    <row r="101" spans="2:7">
      <c r="B101" s="218"/>
      <c r="C101" s="222" t="s">
        <v>135</v>
      </c>
      <c r="D101" s="213" t="s">
        <v>66</v>
      </c>
      <c r="E101" s="214">
        <v>1</v>
      </c>
      <c r="F101" s="1599">
        <v>0</v>
      </c>
      <c r="G101" s="221">
        <f t="shared" si="4"/>
        <v>0</v>
      </c>
    </row>
    <row r="102" spans="2:7">
      <c r="B102" s="201" t="s">
        <v>136</v>
      </c>
      <c r="C102" s="238" t="s">
        <v>320</v>
      </c>
      <c r="D102" s="239"/>
      <c r="E102" s="240"/>
      <c r="F102" s="241"/>
      <c r="G102" s="242"/>
    </row>
    <row r="103" spans="2:7">
      <c r="B103" s="218"/>
      <c r="C103" s="238" t="s">
        <v>326</v>
      </c>
      <c r="D103" s="153"/>
      <c r="E103" s="741"/>
      <c r="F103" s="1611"/>
      <c r="G103" s="263"/>
    </row>
    <row r="104" spans="2:7" ht="29.25" customHeight="1">
      <c r="B104" s="218"/>
      <c r="C104" s="1123" t="s">
        <v>322</v>
      </c>
      <c r="D104" s="239" t="s">
        <v>66</v>
      </c>
      <c r="E104" s="240">
        <v>1</v>
      </c>
      <c r="F104" s="1609">
        <v>0</v>
      </c>
      <c r="G104" s="245">
        <f t="shared" ref="G104:G106" si="5">E104*F104</f>
        <v>0</v>
      </c>
    </row>
    <row r="105" spans="2:7">
      <c r="B105" s="218"/>
      <c r="C105" s="246" t="s">
        <v>325</v>
      </c>
      <c r="D105" s="239" t="s">
        <v>66</v>
      </c>
      <c r="E105" s="240">
        <v>1</v>
      </c>
      <c r="F105" s="1609">
        <v>0</v>
      </c>
      <c r="G105" s="245">
        <f t="shared" si="5"/>
        <v>0</v>
      </c>
    </row>
    <row r="106" spans="2:7">
      <c r="B106" s="218"/>
      <c r="C106" s="247" t="s">
        <v>135</v>
      </c>
      <c r="D106" s="239" t="s">
        <v>66</v>
      </c>
      <c r="E106" s="240">
        <v>1</v>
      </c>
      <c r="F106" s="1609">
        <v>0</v>
      </c>
      <c r="G106" s="245">
        <f t="shared" si="5"/>
        <v>0</v>
      </c>
    </row>
    <row r="107" spans="2:7">
      <c r="B107" s="201" t="s">
        <v>151</v>
      </c>
      <c r="C107" s="223" t="s">
        <v>137</v>
      </c>
      <c r="D107" s="224"/>
      <c r="E107" s="225"/>
      <c r="F107" s="226"/>
      <c r="G107" s="227"/>
    </row>
    <row r="108" spans="2:7">
      <c r="B108" s="218"/>
      <c r="C108" s="223" t="s">
        <v>138</v>
      </c>
      <c r="D108" s="737"/>
      <c r="E108" s="738"/>
      <c r="F108" s="1605"/>
      <c r="G108" s="1125"/>
    </row>
    <row r="109" spans="2:7">
      <c r="B109" s="218"/>
      <c r="C109" s="228" t="s">
        <v>129</v>
      </c>
      <c r="D109" s="224" t="s">
        <v>66</v>
      </c>
      <c r="E109" s="225">
        <v>1</v>
      </c>
      <c r="F109" s="1603">
        <v>0</v>
      </c>
      <c r="G109" s="230">
        <f t="shared" ref="G109:G124" si="6">E109*F109</f>
        <v>0</v>
      </c>
    </row>
    <row r="110" spans="2:7">
      <c r="B110" s="218"/>
      <c r="C110" s="228" t="s">
        <v>139</v>
      </c>
      <c r="D110" s="224" t="s">
        <v>66</v>
      </c>
      <c r="E110" s="225">
        <v>2</v>
      </c>
      <c r="F110" s="1603">
        <v>0</v>
      </c>
      <c r="G110" s="230">
        <f t="shared" si="6"/>
        <v>0</v>
      </c>
    </row>
    <row r="111" spans="2:7">
      <c r="B111" s="218"/>
      <c r="C111" s="231" t="s">
        <v>140</v>
      </c>
      <c r="D111" s="224" t="s">
        <v>66</v>
      </c>
      <c r="E111" s="225">
        <v>1</v>
      </c>
      <c r="F111" s="1603">
        <v>0</v>
      </c>
      <c r="G111" s="230">
        <f t="shared" si="6"/>
        <v>0</v>
      </c>
    </row>
    <row r="112" spans="2:7">
      <c r="B112" s="218"/>
      <c r="C112" s="231" t="s">
        <v>141</v>
      </c>
      <c r="D112" s="224" t="s">
        <v>66</v>
      </c>
      <c r="E112" s="225">
        <v>1</v>
      </c>
      <c r="F112" s="1603">
        <v>0</v>
      </c>
      <c r="G112" s="230">
        <f t="shared" si="6"/>
        <v>0</v>
      </c>
    </row>
    <row r="113" spans="2:7">
      <c r="B113" s="218"/>
      <c r="C113" s="231" t="s">
        <v>142</v>
      </c>
      <c r="D113" s="224" t="s">
        <v>66</v>
      </c>
      <c r="E113" s="225">
        <v>1</v>
      </c>
      <c r="F113" s="1603">
        <v>0</v>
      </c>
      <c r="G113" s="230">
        <f t="shared" si="6"/>
        <v>0</v>
      </c>
    </row>
    <row r="114" spans="2:7">
      <c r="B114" s="218"/>
      <c r="C114" s="231" t="s">
        <v>143</v>
      </c>
      <c r="D114" s="224" t="s">
        <v>66</v>
      </c>
      <c r="E114" s="225">
        <v>1</v>
      </c>
      <c r="F114" s="1603">
        <v>0</v>
      </c>
      <c r="G114" s="230">
        <f t="shared" si="6"/>
        <v>0</v>
      </c>
    </row>
    <row r="115" spans="2:7">
      <c r="B115" s="218"/>
      <c r="C115" s="231" t="s">
        <v>2250</v>
      </c>
      <c r="D115" s="224" t="s">
        <v>66</v>
      </c>
      <c r="E115" s="225">
        <v>1</v>
      </c>
      <c r="F115" s="1603">
        <v>0</v>
      </c>
      <c r="G115" s="230">
        <f t="shared" si="6"/>
        <v>0</v>
      </c>
    </row>
    <row r="116" spans="2:7">
      <c r="B116" s="218"/>
      <c r="C116" s="231" t="s">
        <v>145</v>
      </c>
      <c r="D116" s="224" t="s">
        <v>66</v>
      </c>
      <c r="E116" s="225">
        <v>1</v>
      </c>
      <c r="F116" s="1603">
        <v>0</v>
      </c>
      <c r="G116" s="230">
        <f t="shared" si="6"/>
        <v>0</v>
      </c>
    </row>
    <row r="117" spans="2:7">
      <c r="B117" s="218"/>
      <c r="C117" s="231" t="s">
        <v>146</v>
      </c>
      <c r="D117" s="224" t="s">
        <v>66</v>
      </c>
      <c r="E117" s="225">
        <v>1</v>
      </c>
      <c r="F117" s="1603">
        <v>0</v>
      </c>
      <c r="G117" s="230">
        <f t="shared" si="6"/>
        <v>0</v>
      </c>
    </row>
    <row r="118" spans="2:7">
      <c r="B118" s="218"/>
      <c r="C118" s="739" t="s">
        <v>147</v>
      </c>
      <c r="D118" s="224" t="s">
        <v>66</v>
      </c>
      <c r="E118" s="225">
        <v>1</v>
      </c>
      <c r="F118" s="1603">
        <v>0</v>
      </c>
      <c r="G118" s="230">
        <f t="shared" si="6"/>
        <v>0</v>
      </c>
    </row>
    <row r="119" spans="2:7">
      <c r="B119" s="218"/>
      <c r="C119" s="739" t="s">
        <v>188</v>
      </c>
      <c r="D119" s="224" t="s">
        <v>66</v>
      </c>
      <c r="E119" s="225">
        <v>1</v>
      </c>
      <c r="F119" s="1603">
        <v>0</v>
      </c>
      <c r="G119" s="230">
        <f t="shared" si="6"/>
        <v>0</v>
      </c>
    </row>
    <row r="120" spans="2:7">
      <c r="B120" s="218"/>
      <c r="C120" s="739" t="s">
        <v>132</v>
      </c>
      <c r="D120" s="224" t="s">
        <v>66</v>
      </c>
      <c r="E120" s="225">
        <v>2</v>
      </c>
      <c r="F120" s="1603">
        <v>0</v>
      </c>
      <c r="G120" s="230">
        <f t="shared" si="6"/>
        <v>0</v>
      </c>
    </row>
    <row r="121" spans="2:7">
      <c r="B121" s="218"/>
      <c r="C121" s="739" t="s">
        <v>148</v>
      </c>
      <c r="D121" s="224" t="s">
        <v>66</v>
      </c>
      <c r="E121" s="225">
        <v>2</v>
      </c>
      <c r="F121" s="1603">
        <v>0</v>
      </c>
      <c r="G121" s="230">
        <f t="shared" si="6"/>
        <v>0</v>
      </c>
    </row>
    <row r="122" spans="2:7">
      <c r="B122" s="218"/>
      <c r="C122" s="739" t="s">
        <v>149</v>
      </c>
      <c r="D122" s="224" t="s">
        <v>66</v>
      </c>
      <c r="E122" s="225">
        <v>1</v>
      </c>
      <c r="F122" s="1603">
        <v>0</v>
      </c>
      <c r="G122" s="230">
        <f t="shared" si="6"/>
        <v>0</v>
      </c>
    </row>
    <row r="123" spans="2:7">
      <c r="B123" s="218"/>
      <c r="C123" s="739" t="s">
        <v>150</v>
      </c>
      <c r="D123" s="224" t="s">
        <v>66</v>
      </c>
      <c r="E123" s="225">
        <v>3</v>
      </c>
      <c r="F123" s="1603">
        <v>0</v>
      </c>
      <c r="G123" s="230">
        <f t="shared" si="6"/>
        <v>0</v>
      </c>
    </row>
    <row r="124" spans="2:7">
      <c r="B124" s="218"/>
      <c r="C124" s="740" t="s">
        <v>135</v>
      </c>
      <c r="D124" s="224" t="s">
        <v>66</v>
      </c>
      <c r="E124" s="225">
        <v>1</v>
      </c>
      <c r="F124" s="1603">
        <v>0</v>
      </c>
      <c r="G124" s="230">
        <f t="shared" si="6"/>
        <v>0</v>
      </c>
    </row>
    <row r="125" spans="2:7">
      <c r="B125" s="201" t="s">
        <v>159</v>
      </c>
      <c r="C125" s="212" t="s">
        <v>152</v>
      </c>
      <c r="D125" s="213"/>
      <c r="E125" s="214"/>
      <c r="F125" s="215"/>
      <c r="G125" s="216"/>
    </row>
    <row r="126" spans="2:7">
      <c r="B126" s="218"/>
      <c r="C126" s="212" t="s">
        <v>153</v>
      </c>
      <c r="D126" s="735"/>
      <c r="E126" s="736"/>
      <c r="F126" s="1601"/>
      <c r="G126" s="1121"/>
    </row>
    <row r="127" spans="2:7">
      <c r="B127" s="218"/>
      <c r="C127" s="219" t="s">
        <v>129</v>
      </c>
      <c r="D127" s="213" t="s">
        <v>66</v>
      </c>
      <c r="E127" s="214">
        <v>2</v>
      </c>
      <c r="F127" s="1599">
        <v>0</v>
      </c>
      <c r="G127" s="221">
        <f t="shared" ref="G127:G137" si="7">E127*F127</f>
        <v>0</v>
      </c>
    </row>
    <row r="128" spans="2:7" ht="24">
      <c r="B128" s="218"/>
      <c r="C128" s="222" t="s">
        <v>154</v>
      </c>
      <c r="D128" s="213" t="s">
        <v>66</v>
      </c>
      <c r="E128" s="214">
        <v>2</v>
      </c>
      <c r="F128" s="1599">
        <v>0</v>
      </c>
      <c r="G128" s="221">
        <f t="shared" si="7"/>
        <v>0</v>
      </c>
    </row>
    <row r="129" spans="2:7">
      <c r="B129" s="218"/>
      <c r="C129" s="222" t="s">
        <v>155</v>
      </c>
      <c r="D129" s="213" t="s">
        <v>66</v>
      </c>
      <c r="E129" s="214">
        <v>2</v>
      </c>
      <c r="F129" s="1599">
        <v>0</v>
      </c>
      <c r="G129" s="221">
        <f t="shared" si="7"/>
        <v>0</v>
      </c>
    </row>
    <row r="130" spans="2:7">
      <c r="B130" s="218"/>
      <c r="C130" s="222" t="s">
        <v>330</v>
      </c>
      <c r="D130" s="213" t="s">
        <v>66</v>
      </c>
      <c r="E130" s="214">
        <v>2</v>
      </c>
      <c r="F130" s="1599">
        <v>0</v>
      </c>
      <c r="G130" s="221">
        <f t="shared" si="7"/>
        <v>0</v>
      </c>
    </row>
    <row r="131" spans="2:7">
      <c r="B131" s="218"/>
      <c r="C131" s="222" t="s">
        <v>157</v>
      </c>
      <c r="D131" s="213" t="s">
        <v>66</v>
      </c>
      <c r="E131" s="214">
        <v>2</v>
      </c>
      <c r="F131" s="1599">
        <v>0</v>
      </c>
      <c r="G131" s="221">
        <f t="shared" si="7"/>
        <v>0</v>
      </c>
    </row>
    <row r="132" spans="2:7">
      <c r="B132" s="218"/>
      <c r="C132" s="234" t="s">
        <v>158</v>
      </c>
      <c r="D132" s="213" t="s">
        <v>66</v>
      </c>
      <c r="E132" s="214">
        <v>2</v>
      </c>
      <c r="F132" s="1599">
        <v>0</v>
      </c>
      <c r="G132" s="221">
        <f t="shared" si="7"/>
        <v>0</v>
      </c>
    </row>
    <row r="133" spans="2:7">
      <c r="B133" s="218"/>
      <c r="C133" s="234" t="s">
        <v>190</v>
      </c>
      <c r="D133" s="213" t="s">
        <v>66</v>
      </c>
      <c r="E133" s="214">
        <v>2</v>
      </c>
      <c r="F133" s="1599">
        <v>0</v>
      </c>
      <c r="G133" s="221">
        <f t="shared" si="7"/>
        <v>0</v>
      </c>
    </row>
    <row r="134" spans="2:7">
      <c r="B134" s="218"/>
      <c r="C134" s="234" t="s">
        <v>132</v>
      </c>
      <c r="D134" s="213" t="s">
        <v>66</v>
      </c>
      <c r="E134" s="214">
        <v>4</v>
      </c>
      <c r="F134" s="1599">
        <v>0</v>
      </c>
      <c r="G134" s="221">
        <f t="shared" si="7"/>
        <v>0</v>
      </c>
    </row>
    <row r="135" spans="2:7">
      <c r="B135" s="218"/>
      <c r="C135" s="234" t="s">
        <v>148</v>
      </c>
      <c r="D135" s="213" t="s">
        <v>66</v>
      </c>
      <c r="E135" s="214">
        <v>4</v>
      </c>
      <c r="F135" s="1599">
        <v>0</v>
      </c>
      <c r="G135" s="221">
        <f t="shared" si="7"/>
        <v>0</v>
      </c>
    </row>
    <row r="136" spans="2:7">
      <c r="B136" s="218"/>
      <c r="C136" s="234" t="s">
        <v>150</v>
      </c>
      <c r="D136" s="213" t="s">
        <v>66</v>
      </c>
      <c r="E136" s="214">
        <v>2</v>
      </c>
      <c r="F136" s="1599">
        <v>0</v>
      </c>
      <c r="G136" s="221">
        <f t="shared" si="7"/>
        <v>0</v>
      </c>
    </row>
    <row r="137" spans="2:7">
      <c r="B137" s="218"/>
      <c r="C137" s="235" t="s">
        <v>135</v>
      </c>
      <c r="D137" s="213" t="s">
        <v>66</v>
      </c>
      <c r="E137" s="214">
        <v>2</v>
      </c>
      <c r="F137" s="1599">
        <v>0</v>
      </c>
      <c r="G137" s="221">
        <f t="shared" si="7"/>
        <v>0</v>
      </c>
    </row>
    <row r="138" spans="2:7" ht="24">
      <c r="B138" s="199" t="s">
        <v>331</v>
      </c>
      <c r="C138" s="212" t="s">
        <v>332</v>
      </c>
      <c r="D138" s="735" t="s">
        <v>66</v>
      </c>
      <c r="E138" s="736">
        <v>2</v>
      </c>
      <c r="F138" s="1126">
        <v>0</v>
      </c>
      <c r="G138" s="1121">
        <f>E138*F138</f>
        <v>0</v>
      </c>
    </row>
    <row r="139" spans="2:7">
      <c r="B139" s="201" t="s">
        <v>168</v>
      </c>
      <c r="C139" s="223" t="s">
        <v>886</v>
      </c>
      <c r="D139" s="224"/>
      <c r="E139" s="225"/>
      <c r="F139" s="226"/>
      <c r="G139" s="227"/>
    </row>
    <row r="140" spans="2:7">
      <c r="B140" s="218"/>
      <c r="C140" s="223" t="s">
        <v>196</v>
      </c>
      <c r="D140" s="737"/>
      <c r="E140" s="738"/>
      <c r="F140" s="1605"/>
      <c r="G140" s="1128"/>
    </row>
    <row r="141" spans="2:7" ht="24">
      <c r="B141" s="218"/>
      <c r="C141" s="228" t="s">
        <v>2248</v>
      </c>
      <c r="D141" s="224" t="s">
        <v>66</v>
      </c>
      <c r="E141" s="225">
        <v>1</v>
      </c>
      <c r="F141" s="1603">
        <v>0</v>
      </c>
      <c r="G141" s="2229">
        <f t="shared" ref="G141:G155" si="8">E141*F141</f>
        <v>0</v>
      </c>
    </row>
    <row r="142" spans="2:7">
      <c r="B142" s="218"/>
      <c r="C142" s="232" t="s">
        <v>132</v>
      </c>
      <c r="D142" s="224" t="s">
        <v>66</v>
      </c>
      <c r="E142" s="225">
        <v>3</v>
      </c>
      <c r="F142" s="1603">
        <v>0</v>
      </c>
      <c r="G142" s="2229">
        <f t="shared" si="8"/>
        <v>0</v>
      </c>
    </row>
    <row r="143" spans="2:7">
      <c r="B143" s="218"/>
      <c r="C143" s="232" t="s">
        <v>148</v>
      </c>
      <c r="D143" s="224" t="s">
        <v>66</v>
      </c>
      <c r="E143" s="225">
        <v>3</v>
      </c>
      <c r="F143" s="1603">
        <v>0</v>
      </c>
      <c r="G143" s="2229">
        <f t="shared" si="8"/>
        <v>0</v>
      </c>
    </row>
    <row r="144" spans="2:7">
      <c r="B144" s="218"/>
      <c r="C144" s="232" t="s">
        <v>150</v>
      </c>
      <c r="D144" s="224" t="s">
        <v>66</v>
      </c>
      <c r="E144" s="225">
        <v>1</v>
      </c>
      <c r="F144" s="1603">
        <v>0</v>
      </c>
      <c r="G144" s="2229">
        <f t="shared" si="8"/>
        <v>0</v>
      </c>
    </row>
    <row r="145" spans="2:7">
      <c r="B145" s="218"/>
      <c r="C145" s="233" t="s">
        <v>135</v>
      </c>
      <c r="D145" s="224" t="s">
        <v>66</v>
      </c>
      <c r="E145" s="225">
        <v>1</v>
      </c>
      <c r="F145" s="1603">
        <v>0</v>
      </c>
      <c r="G145" s="2229">
        <f t="shared" si="8"/>
        <v>0</v>
      </c>
    </row>
    <row r="146" spans="2:7">
      <c r="B146" s="218"/>
      <c r="C146" s="223" t="s">
        <v>228</v>
      </c>
      <c r="D146" s="737"/>
      <c r="E146" s="738"/>
      <c r="F146" s="1603"/>
      <c r="G146" s="2229"/>
    </row>
    <row r="147" spans="2:7" ht="24">
      <c r="B147" s="218"/>
      <c r="C147" s="228" t="s">
        <v>2247</v>
      </c>
      <c r="D147" s="224" t="s">
        <v>66</v>
      </c>
      <c r="E147" s="225">
        <v>1</v>
      </c>
      <c r="F147" s="1603">
        <v>0</v>
      </c>
      <c r="G147" s="2229">
        <f t="shared" si="8"/>
        <v>0</v>
      </c>
    </row>
    <row r="148" spans="2:7">
      <c r="B148" s="218"/>
      <c r="C148" s="739" t="s">
        <v>132</v>
      </c>
      <c r="D148" s="224" t="s">
        <v>66</v>
      </c>
      <c r="E148" s="225">
        <v>2</v>
      </c>
      <c r="F148" s="1603">
        <v>0</v>
      </c>
      <c r="G148" s="2229">
        <f t="shared" si="8"/>
        <v>0</v>
      </c>
    </row>
    <row r="149" spans="2:7">
      <c r="B149" s="218"/>
      <c r="C149" s="739" t="s">
        <v>166</v>
      </c>
      <c r="D149" s="224" t="s">
        <v>66</v>
      </c>
      <c r="E149" s="225">
        <v>1</v>
      </c>
      <c r="F149" s="1603">
        <v>0</v>
      </c>
      <c r="G149" s="2229">
        <f t="shared" si="8"/>
        <v>0</v>
      </c>
    </row>
    <row r="150" spans="2:7">
      <c r="B150" s="218"/>
      <c r="C150" s="739" t="s">
        <v>148</v>
      </c>
      <c r="D150" s="224" t="s">
        <v>66</v>
      </c>
      <c r="E150" s="225">
        <v>2</v>
      </c>
      <c r="F150" s="1603">
        <v>0</v>
      </c>
      <c r="G150" s="2229">
        <f t="shared" si="8"/>
        <v>0</v>
      </c>
    </row>
    <row r="151" spans="2:7">
      <c r="B151" s="218"/>
      <c r="C151" s="739" t="s">
        <v>167</v>
      </c>
      <c r="D151" s="224" t="s">
        <v>66</v>
      </c>
      <c r="E151" s="225">
        <v>1</v>
      </c>
      <c r="F151" s="1603">
        <v>0</v>
      </c>
      <c r="G151" s="2229">
        <f t="shared" si="8"/>
        <v>0</v>
      </c>
    </row>
    <row r="152" spans="2:7">
      <c r="B152" s="218"/>
      <c r="C152" s="739" t="s">
        <v>229</v>
      </c>
      <c r="D152" s="224" t="s">
        <v>66</v>
      </c>
      <c r="E152" s="225">
        <v>1</v>
      </c>
      <c r="F152" s="1603">
        <v>0</v>
      </c>
      <c r="G152" s="2229">
        <f t="shared" si="8"/>
        <v>0</v>
      </c>
    </row>
    <row r="153" spans="2:7">
      <c r="B153" s="218"/>
      <c r="C153" s="739" t="s">
        <v>230</v>
      </c>
      <c r="D153" s="224" t="s">
        <v>66</v>
      </c>
      <c r="E153" s="225">
        <v>1</v>
      </c>
      <c r="F153" s="1603">
        <v>0</v>
      </c>
      <c r="G153" s="2229">
        <f t="shared" si="8"/>
        <v>0</v>
      </c>
    </row>
    <row r="154" spans="2:7">
      <c r="B154" s="218"/>
      <c r="C154" s="739" t="s">
        <v>150</v>
      </c>
      <c r="D154" s="224" t="s">
        <v>66</v>
      </c>
      <c r="E154" s="225">
        <v>1</v>
      </c>
      <c r="F154" s="1603">
        <v>0</v>
      </c>
      <c r="G154" s="2229">
        <f t="shared" si="8"/>
        <v>0</v>
      </c>
    </row>
    <row r="155" spans="2:7">
      <c r="B155" s="218"/>
      <c r="C155" s="740" t="s">
        <v>135</v>
      </c>
      <c r="D155" s="224" t="s">
        <v>66</v>
      </c>
      <c r="E155" s="225">
        <v>1</v>
      </c>
      <c r="F155" s="1603">
        <v>0</v>
      </c>
      <c r="G155" s="2229">
        <f t="shared" si="8"/>
        <v>0</v>
      </c>
    </row>
    <row r="156" spans="2:7">
      <c r="B156" s="201" t="s">
        <v>172</v>
      </c>
      <c r="C156" s="238" t="s">
        <v>169</v>
      </c>
      <c r="D156" s="239"/>
      <c r="E156" s="240"/>
      <c r="F156" s="241"/>
      <c r="G156" s="242"/>
    </row>
    <row r="157" spans="2:7">
      <c r="B157" s="218"/>
      <c r="C157" s="238" t="s">
        <v>170</v>
      </c>
      <c r="D157" s="153"/>
      <c r="E157" s="741"/>
      <c r="F157" s="1611"/>
      <c r="G157" s="263"/>
    </row>
    <row r="158" spans="2:7" ht="36">
      <c r="B158" s="218"/>
      <c r="C158" s="243" t="s">
        <v>2246</v>
      </c>
      <c r="D158" s="239" t="s">
        <v>66</v>
      </c>
      <c r="E158" s="240">
        <v>23</v>
      </c>
      <c r="F158" s="1609">
        <v>0</v>
      </c>
      <c r="G158" s="245">
        <f t="shared" ref="G158:G161" si="9">E158*F158</f>
        <v>0</v>
      </c>
    </row>
    <row r="159" spans="2:7">
      <c r="B159" s="218"/>
      <c r="C159" s="1129" t="s">
        <v>171</v>
      </c>
      <c r="D159" s="239" t="s">
        <v>66</v>
      </c>
      <c r="E159" s="240">
        <v>23</v>
      </c>
      <c r="F159" s="1609">
        <v>0</v>
      </c>
      <c r="G159" s="245">
        <f t="shared" si="9"/>
        <v>0</v>
      </c>
    </row>
    <row r="160" spans="2:7">
      <c r="B160" s="218"/>
      <c r="C160" s="1130" t="s">
        <v>135</v>
      </c>
      <c r="D160" s="239" t="s">
        <v>66</v>
      </c>
      <c r="E160" s="240">
        <v>23</v>
      </c>
      <c r="F160" s="1609">
        <v>0</v>
      </c>
      <c r="G160" s="245">
        <f t="shared" si="9"/>
        <v>0</v>
      </c>
    </row>
    <row r="161" spans="2:7">
      <c r="B161" s="218"/>
      <c r="C161" s="247" t="s">
        <v>891</v>
      </c>
      <c r="D161" s="239" t="s">
        <v>66</v>
      </c>
      <c r="E161" s="240">
        <v>23</v>
      </c>
      <c r="F161" s="1609">
        <v>0</v>
      </c>
      <c r="G161" s="245">
        <f t="shared" si="9"/>
        <v>0</v>
      </c>
    </row>
    <row r="162" spans="2:7">
      <c r="B162" s="201" t="s">
        <v>340</v>
      </c>
      <c r="C162" s="742" t="s">
        <v>173</v>
      </c>
      <c r="D162" s="743"/>
      <c r="E162" s="744"/>
      <c r="F162" s="1131"/>
      <c r="G162" s="1132"/>
    </row>
    <row r="163" spans="2:7" ht="72">
      <c r="B163" s="218"/>
      <c r="C163" s="745" t="s">
        <v>174</v>
      </c>
      <c r="D163" s="746" t="s">
        <v>66</v>
      </c>
      <c r="E163" s="747">
        <v>1</v>
      </c>
      <c r="F163" s="1617">
        <v>0</v>
      </c>
      <c r="G163" s="1132">
        <f>E163*F163</f>
        <v>0</v>
      </c>
    </row>
    <row r="164" spans="2:7">
      <c r="B164" s="258" t="s">
        <v>1430</v>
      </c>
      <c r="C164" s="259" t="s">
        <v>1396</v>
      </c>
      <c r="D164" s="260"/>
      <c r="E164" s="261"/>
      <c r="F164" s="262"/>
      <c r="G164" s="263">
        <f>SUM(G76:G163)</f>
        <v>0</v>
      </c>
    </row>
  </sheetData>
  <mergeCells count="5">
    <mergeCell ref="B43:G43"/>
    <mergeCell ref="B71:G71"/>
    <mergeCell ref="B72:G72"/>
    <mergeCell ref="B73:G73"/>
    <mergeCell ref="B80:B82"/>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BF2E-1393-44C9-BCAC-C88B8C44EF69}">
  <sheetPr>
    <tabColor rgb="FF00B0F0"/>
  </sheetPr>
  <dimension ref="A2:Y168"/>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710937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1428</v>
      </c>
      <c r="D4" s="76"/>
      <c r="E4" s="77"/>
      <c r="F4" s="674"/>
      <c r="G4" s="79"/>
      <c r="H4" s="37"/>
    </row>
    <row r="5" spans="1:25" s="73" customFormat="1" ht="12" customHeight="1">
      <c r="B5" s="80"/>
      <c r="C5" s="81"/>
      <c r="D5" s="82"/>
      <c r="E5" s="83"/>
      <c r="F5" s="675"/>
      <c r="G5" s="85"/>
      <c r="H5" s="37"/>
    </row>
    <row r="6" spans="1:25" s="86" customFormat="1" ht="21" customHeight="1">
      <c r="B6" s="676" t="s">
        <v>37</v>
      </c>
      <c r="C6" s="677" t="s">
        <v>1431</v>
      </c>
      <c r="D6" s="678"/>
      <c r="E6" s="679"/>
      <c r="F6" s="680"/>
      <c r="G6" s="681"/>
      <c r="H6" s="27"/>
    </row>
    <row r="7" spans="1:25" s="86" customFormat="1" ht="21" customHeight="1">
      <c r="B7" s="80"/>
      <c r="C7" s="81"/>
      <c r="D7" s="82"/>
      <c r="E7" s="83"/>
      <c r="F7" s="675"/>
      <c r="G7" s="88"/>
      <c r="H7" s="27"/>
    </row>
    <row r="8" spans="1:25" s="14" customFormat="1" ht="18" customHeight="1">
      <c r="A8" s="9"/>
      <c r="B8" s="10" t="s">
        <v>38</v>
      </c>
      <c r="C8" s="11"/>
      <c r="D8" s="13"/>
      <c r="E8" s="12"/>
      <c r="F8" s="688"/>
      <c r="G8" s="13"/>
    </row>
    <row r="9" spans="1:25" s="14" customFormat="1" ht="18" customHeight="1">
      <c r="A9" s="15"/>
      <c r="B9" s="16" t="s">
        <v>39</v>
      </c>
      <c r="C9" s="17"/>
      <c r="D9" s="18"/>
      <c r="E9" s="19"/>
      <c r="F9" s="689"/>
      <c r="G9" s="18"/>
    </row>
    <row r="10" spans="1:25" s="14" customFormat="1" ht="18" customHeight="1">
      <c r="A10" s="9"/>
      <c r="B10" s="10" t="s">
        <v>4</v>
      </c>
      <c r="C10" s="11"/>
      <c r="D10" s="12"/>
      <c r="E10" s="12"/>
      <c r="F10" s="688"/>
      <c r="G10" s="13"/>
    </row>
    <row r="11" spans="1:25" s="14" customFormat="1" ht="18" customHeight="1">
      <c r="A11" s="15"/>
      <c r="B11" s="16" t="s">
        <v>5</v>
      </c>
      <c r="C11" s="17"/>
      <c r="D11" s="19"/>
      <c r="E11" s="19"/>
      <c r="F11" s="689"/>
      <c r="G11" s="18"/>
    </row>
    <row r="12" spans="1:25" s="86" customFormat="1" ht="14.25">
      <c r="B12" s="89"/>
      <c r="C12" s="90"/>
      <c r="D12" s="91"/>
      <c r="E12" s="92"/>
      <c r="F12" s="690"/>
      <c r="G12" s="94"/>
      <c r="H12" s="27"/>
    </row>
    <row r="13" spans="1:25" s="86" customFormat="1" ht="18.75" customHeight="1">
      <c r="B13" s="95"/>
      <c r="C13" s="96" t="s">
        <v>40</v>
      </c>
      <c r="D13" s="97"/>
      <c r="E13" s="98"/>
      <c r="F13" s="691"/>
      <c r="G13" s="100"/>
      <c r="H13" s="27"/>
    </row>
    <row r="14" spans="1:25" s="101" customFormat="1" ht="18.75" customHeight="1">
      <c r="B14" s="95" t="s">
        <v>41</v>
      </c>
      <c r="C14" s="96" t="s">
        <v>42</v>
      </c>
      <c r="D14" s="10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09"/>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09"/>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09"/>
      <c r="E17" s="110"/>
      <c r="F17" s="695"/>
      <c r="G17" s="1408">
        <f>G168</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5"/>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1" t="s">
        <v>52</v>
      </c>
      <c r="E21" s="122" t="s">
        <v>53</v>
      </c>
      <c r="F21" s="756" t="s">
        <v>54</v>
      </c>
      <c r="G21" s="124" t="s">
        <v>55</v>
      </c>
    </row>
    <row r="22" spans="2:25">
      <c r="B22" s="125"/>
      <c r="C22" s="126"/>
      <c r="D22" s="127"/>
      <c r="E22" s="128"/>
      <c r="F22" s="708"/>
      <c r="G22" s="130"/>
    </row>
    <row r="23" spans="2:25" s="138" customFormat="1" ht="20.25">
      <c r="B23" s="131" t="s">
        <v>43</v>
      </c>
      <c r="C23" s="132" t="s">
        <v>44</v>
      </c>
      <c r="D23" s="133"/>
      <c r="E23" s="134"/>
      <c r="F23" s="709"/>
      <c r="G23" s="136"/>
      <c r="H23" s="137"/>
    </row>
    <row r="24" spans="2:25" ht="24">
      <c r="B24" s="125">
        <v>1</v>
      </c>
      <c r="C24" s="144" t="s">
        <v>56</v>
      </c>
      <c r="D24" s="140" t="s">
        <v>57</v>
      </c>
      <c r="E24" s="1081">
        <v>243</v>
      </c>
      <c r="F24" s="1082">
        <v>0</v>
      </c>
      <c r="G24" s="1083">
        <f t="shared" ref="G24" si="0">E24*F24</f>
        <v>0</v>
      </c>
    </row>
    <row r="25" spans="2:25">
      <c r="B25" s="125">
        <v>2</v>
      </c>
      <c r="C25" s="144" t="s">
        <v>58</v>
      </c>
      <c r="D25" s="140" t="s">
        <v>57</v>
      </c>
      <c r="E25" s="1081">
        <f>E24</f>
        <v>243</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4</v>
      </c>
      <c r="F28" s="1082">
        <v>0</v>
      </c>
      <c r="G28" s="1083">
        <f t="shared" si="1"/>
        <v>0</v>
      </c>
    </row>
    <row r="29" spans="2:25" ht="36">
      <c r="B29" s="125">
        <v>6</v>
      </c>
      <c r="C29" s="1084" t="s">
        <v>63</v>
      </c>
      <c r="D29" s="140" t="s">
        <v>57</v>
      </c>
      <c r="E29" s="1081">
        <f>E24</f>
        <v>243</v>
      </c>
      <c r="F29" s="1082">
        <v>0</v>
      </c>
      <c r="G29" s="1083">
        <f t="shared" si="1"/>
        <v>0</v>
      </c>
    </row>
    <row r="30" spans="2:25" ht="48">
      <c r="B30" s="125">
        <v>7</v>
      </c>
      <c r="C30" s="1084" t="s">
        <v>64</v>
      </c>
      <c r="D30" s="146" t="s">
        <v>60</v>
      </c>
      <c r="E30" s="1081">
        <v>1</v>
      </c>
      <c r="F30" s="1082">
        <v>0</v>
      </c>
      <c r="G30" s="1083">
        <f t="shared" si="1"/>
        <v>0</v>
      </c>
    </row>
    <row r="31" spans="2:25" ht="54" customHeight="1">
      <c r="B31" s="125">
        <v>8</v>
      </c>
      <c r="C31" s="1080" t="s">
        <v>2292</v>
      </c>
      <c r="D31" s="146" t="s">
        <v>66</v>
      </c>
      <c r="E31" s="1081">
        <v>6</v>
      </c>
      <c r="F31" s="1082">
        <v>0</v>
      </c>
      <c r="G31" s="1083">
        <f t="shared" si="1"/>
        <v>0</v>
      </c>
    </row>
    <row r="32" spans="2:25" ht="36">
      <c r="B32" s="125">
        <v>9</v>
      </c>
      <c r="C32" s="1080" t="s">
        <v>2295</v>
      </c>
      <c r="D32" s="146" t="s">
        <v>57</v>
      </c>
      <c r="E32" s="1081">
        <f>E24+E80+E81</f>
        <v>279</v>
      </c>
      <c r="F32" s="1082">
        <v>0</v>
      </c>
      <c r="G32" s="1083">
        <f t="shared" si="1"/>
        <v>0</v>
      </c>
    </row>
    <row r="33" spans="1:25" ht="24">
      <c r="B33" s="125">
        <v>10</v>
      </c>
      <c r="C33" s="1080" t="s">
        <v>2293</v>
      </c>
      <c r="D33" s="146" t="s">
        <v>57</v>
      </c>
      <c r="E33" s="1081">
        <f>E24+E80+E81</f>
        <v>279</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SUM(G24:G36)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8</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65.61</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371.78999999999996</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364.5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243</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291.59999999999997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145.80000000000001</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1391</v>
      </c>
      <c r="D52" s="140" t="s">
        <v>78</v>
      </c>
      <c r="E52" s="1094">
        <f>E24*1.2</f>
        <v>291.59999999999997</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163.29599999999999</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163.29599999999999</v>
      </c>
      <c r="F55" s="1092">
        <v>0</v>
      </c>
      <c r="G55" s="142">
        <f t="shared" si="2"/>
        <v>0</v>
      </c>
      <c r="I55" s="1"/>
      <c r="J55" s="1"/>
      <c r="K55" s="1"/>
      <c r="L55" s="1"/>
      <c r="M55" s="1"/>
      <c r="N55" s="1"/>
      <c r="O55" s="1"/>
      <c r="P55" s="1"/>
      <c r="Q55" s="1"/>
      <c r="R55" s="1"/>
      <c r="S55" s="1"/>
      <c r="T55" s="1"/>
      <c r="U55" s="1"/>
      <c r="V55" s="1"/>
      <c r="W55" s="1"/>
      <c r="X55" s="1"/>
      <c r="Y55" s="1"/>
    </row>
    <row r="56" spans="1:25" s="8" customFormat="1" ht="24">
      <c r="A56" s="1"/>
      <c r="B56" s="167">
        <v>13</v>
      </c>
      <c r="C56" s="126" t="s">
        <v>95</v>
      </c>
      <c r="D56" s="140" t="s">
        <v>74</v>
      </c>
      <c r="E56" s="1094">
        <f>E24*0.75*0.1</f>
        <v>18.225000000000001</v>
      </c>
      <c r="F56" s="1092">
        <v>0</v>
      </c>
      <c r="G56" s="1083">
        <f t="shared" si="2"/>
        <v>0</v>
      </c>
      <c r="I56" s="1"/>
      <c r="J56" s="1"/>
      <c r="K56" s="1"/>
      <c r="L56" s="1"/>
      <c r="M56" s="1"/>
      <c r="N56" s="1"/>
      <c r="O56" s="1"/>
      <c r="P56" s="1"/>
      <c r="Q56" s="1"/>
      <c r="R56" s="1"/>
      <c r="S56" s="1"/>
      <c r="T56" s="1"/>
      <c r="U56" s="1"/>
      <c r="V56" s="1"/>
      <c r="W56" s="1"/>
      <c r="X56" s="1"/>
      <c r="Y56" s="1"/>
    </row>
    <row r="57" spans="1:25" s="8" customFormat="1" ht="48">
      <c r="A57" s="1">
        <v>3</v>
      </c>
      <c r="B57" s="717">
        <v>14</v>
      </c>
      <c r="C57" s="1096" t="s">
        <v>1393</v>
      </c>
      <c r="D57" s="182" t="s">
        <v>74</v>
      </c>
      <c r="E57" s="1097">
        <v>3</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11</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3</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6</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69"/>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1"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27"/>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1110"/>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1112"/>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1114"/>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2399" t="s">
        <v>271</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104</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105</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1115"/>
      <c r="C74" s="1116"/>
      <c r="D74" s="1116"/>
      <c r="E74" s="1116"/>
      <c r="F74" s="1116"/>
      <c r="G74" s="1117"/>
      <c r="I74" s="1"/>
      <c r="J74" s="1"/>
      <c r="K74" s="1"/>
      <c r="L74" s="1"/>
      <c r="M74" s="1"/>
      <c r="N74" s="1"/>
      <c r="O74" s="1"/>
      <c r="P74" s="1"/>
      <c r="Q74" s="1"/>
      <c r="R74" s="1"/>
      <c r="S74" s="1"/>
      <c r="T74" s="1"/>
      <c r="U74" s="1"/>
      <c r="V74" s="1"/>
      <c r="W74" s="1"/>
      <c r="X74" s="1"/>
      <c r="Y74" s="1"/>
    </row>
    <row r="75" spans="1:25" ht="24">
      <c r="B75" s="188">
        <v>1</v>
      </c>
      <c r="C75" s="189" t="s">
        <v>106</v>
      </c>
      <c r="D75" s="190"/>
      <c r="E75" s="719"/>
      <c r="F75" s="1107"/>
      <c r="G75" s="731"/>
    </row>
    <row r="76" spans="1:25">
      <c r="B76" s="191"/>
      <c r="C76" s="192" t="s">
        <v>107</v>
      </c>
      <c r="D76" s="190" t="s">
        <v>57</v>
      </c>
      <c r="E76" s="719">
        <f>93*0.9</f>
        <v>83.7</v>
      </c>
      <c r="F76" s="1092">
        <v>0</v>
      </c>
      <c r="G76" s="1093">
        <f t="shared" ref="G76:G86" si="3">E76*F76</f>
        <v>0</v>
      </c>
    </row>
    <row r="77" spans="1:25" ht="24">
      <c r="B77" s="191"/>
      <c r="C77" s="192" t="s">
        <v>884</v>
      </c>
      <c r="D77" s="190" t="s">
        <v>57</v>
      </c>
      <c r="E77" s="719">
        <f>93*0.1</f>
        <v>9.3000000000000007</v>
      </c>
      <c r="F77" s="1092">
        <v>0</v>
      </c>
      <c r="G77" s="1093">
        <f t="shared" si="3"/>
        <v>0</v>
      </c>
    </row>
    <row r="78" spans="1:25">
      <c r="B78" s="191"/>
      <c r="C78" s="192" t="s">
        <v>226</v>
      </c>
      <c r="D78" s="190" t="s">
        <v>57</v>
      </c>
      <c r="E78" s="719">
        <f>150*0.9</f>
        <v>135</v>
      </c>
      <c r="F78" s="1092">
        <v>0</v>
      </c>
      <c r="G78" s="1093">
        <f t="shared" si="3"/>
        <v>0</v>
      </c>
    </row>
    <row r="79" spans="1:25" ht="24">
      <c r="B79" s="191"/>
      <c r="C79" s="192" t="s">
        <v>227</v>
      </c>
      <c r="D79" s="190" t="s">
        <v>57</v>
      </c>
      <c r="E79" s="719">
        <f>150*0.1</f>
        <v>15</v>
      </c>
      <c r="F79" s="1092">
        <v>0</v>
      </c>
      <c r="G79" s="1093">
        <f t="shared" si="3"/>
        <v>0</v>
      </c>
    </row>
    <row r="80" spans="1:25">
      <c r="B80" s="191"/>
      <c r="C80" s="192" t="s">
        <v>109</v>
      </c>
      <c r="D80" s="190" t="s">
        <v>57</v>
      </c>
      <c r="E80" s="719">
        <f>36*0.9</f>
        <v>32.4</v>
      </c>
      <c r="F80" s="1092">
        <v>0</v>
      </c>
      <c r="G80" s="1093">
        <f t="shared" si="3"/>
        <v>0</v>
      </c>
    </row>
    <row r="81" spans="2:7" ht="24">
      <c r="B81" s="191"/>
      <c r="C81" s="192" t="s">
        <v>110</v>
      </c>
      <c r="D81" s="190" t="s">
        <v>57</v>
      </c>
      <c r="E81" s="719">
        <f>36*0.1</f>
        <v>3.6</v>
      </c>
      <c r="F81" s="1092">
        <v>0</v>
      </c>
      <c r="G81" s="1093">
        <f t="shared" si="3"/>
        <v>0</v>
      </c>
    </row>
    <row r="82" spans="2:7" ht="36">
      <c r="B82" s="2404" t="s">
        <v>111</v>
      </c>
      <c r="C82" s="193" t="s">
        <v>112</v>
      </c>
      <c r="D82" s="194"/>
      <c r="E82" s="719"/>
      <c r="F82" s="1092"/>
      <c r="G82" s="1093"/>
    </row>
    <row r="83" spans="2:7">
      <c r="B83" s="2405"/>
      <c r="C83" s="195" t="s">
        <v>113</v>
      </c>
      <c r="D83" s="194" t="s">
        <v>57</v>
      </c>
      <c r="E83" s="719">
        <v>15</v>
      </c>
      <c r="F83" s="1092">
        <v>0</v>
      </c>
      <c r="G83" s="1093">
        <f>E83*F83</f>
        <v>0</v>
      </c>
    </row>
    <row r="84" spans="2:7">
      <c r="B84" s="2405"/>
      <c r="C84" s="195" t="s">
        <v>274</v>
      </c>
      <c r="D84" s="194" t="s">
        <v>57</v>
      </c>
      <c r="E84" s="719">
        <v>23</v>
      </c>
      <c r="F84" s="1092">
        <v>0</v>
      </c>
      <c r="G84" s="1093">
        <f>E84*F84</f>
        <v>0</v>
      </c>
    </row>
    <row r="85" spans="2:7">
      <c r="B85" s="2413"/>
      <c r="C85" s="195" t="s">
        <v>275</v>
      </c>
      <c r="D85" s="194" t="s">
        <v>57</v>
      </c>
      <c r="E85" s="719">
        <v>6</v>
      </c>
      <c r="F85" s="1092">
        <v>0</v>
      </c>
      <c r="G85" s="1093">
        <f>E85*F85</f>
        <v>0</v>
      </c>
    </row>
    <row r="86" spans="2:7" ht="48">
      <c r="B86" s="196">
        <v>2</v>
      </c>
      <c r="C86" s="197" t="s">
        <v>114</v>
      </c>
      <c r="D86" s="145" t="s">
        <v>57</v>
      </c>
      <c r="E86" s="732">
        <f>SUM(E76:E81)</f>
        <v>279</v>
      </c>
      <c r="F86" s="1092">
        <v>0</v>
      </c>
      <c r="G86" s="1093">
        <f t="shared" si="3"/>
        <v>0</v>
      </c>
    </row>
    <row r="87" spans="2:7" ht="36">
      <c r="B87" s="199" t="s">
        <v>115</v>
      </c>
      <c r="C87" s="197" t="s">
        <v>116</v>
      </c>
      <c r="D87" s="145" t="s">
        <v>57</v>
      </c>
      <c r="E87" s="732">
        <f>E86</f>
        <v>279</v>
      </c>
      <c r="F87" s="1092">
        <v>0</v>
      </c>
      <c r="G87" s="1093">
        <f>E87*F87</f>
        <v>0</v>
      </c>
    </row>
    <row r="88" spans="2:7" ht="24">
      <c r="B88" s="199" t="s">
        <v>117</v>
      </c>
      <c r="C88" s="197" t="s">
        <v>118</v>
      </c>
      <c r="D88" s="145" t="s">
        <v>57</v>
      </c>
      <c r="E88" s="732">
        <f>E86</f>
        <v>279</v>
      </c>
      <c r="F88" s="1092">
        <v>0</v>
      </c>
      <c r="G88" s="1093">
        <f>E88*F88</f>
        <v>0</v>
      </c>
    </row>
    <row r="89" spans="2:7" ht="36">
      <c r="B89" s="199" t="s">
        <v>119</v>
      </c>
      <c r="C89" s="197" t="s">
        <v>120</v>
      </c>
      <c r="D89" s="145" t="s">
        <v>57</v>
      </c>
      <c r="E89" s="732">
        <f>E86</f>
        <v>279</v>
      </c>
      <c r="F89" s="1092">
        <v>0</v>
      </c>
      <c r="G89" s="1093">
        <f>E89*F89</f>
        <v>0</v>
      </c>
    </row>
    <row r="90" spans="2:7" ht="24">
      <c r="B90" s="188">
        <v>3</v>
      </c>
      <c r="C90" s="200" t="s">
        <v>121</v>
      </c>
      <c r="D90" s="127"/>
      <c r="E90" s="719"/>
      <c r="F90" s="719"/>
      <c r="G90" s="731"/>
    </row>
    <row r="91" spans="2:7">
      <c r="B91" s="201" t="s">
        <v>122</v>
      </c>
      <c r="C91" s="202" t="s">
        <v>123</v>
      </c>
      <c r="D91" s="203"/>
      <c r="E91" s="204"/>
      <c r="F91" s="205"/>
      <c r="G91" s="206"/>
    </row>
    <row r="92" spans="2:7">
      <c r="B92" s="125"/>
      <c r="C92" s="202" t="s">
        <v>311</v>
      </c>
      <c r="D92" s="203"/>
      <c r="E92" s="204"/>
      <c r="F92" s="205"/>
      <c r="G92" s="206"/>
    </row>
    <row r="93" spans="2:7">
      <c r="B93" s="207"/>
      <c r="C93" s="208" t="s">
        <v>312</v>
      </c>
      <c r="D93" s="209" t="s">
        <v>66</v>
      </c>
      <c r="E93" s="204">
        <v>7</v>
      </c>
      <c r="F93" s="210">
        <v>0</v>
      </c>
      <c r="G93" s="211">
        <f>E93*F93</f>
        <v>0</v>
      </c>
    </row>
    <row r="94" spans="2:7">
      <c r="B94" s="125"/>
      <c r="C94" s="202" t="s">
        <v>124</v>
      </c>
      <c r="D94" s="203"/>
      <c r="E94" s="204"/>
      <c r="F94" s="205"/>
      <c r="G94" s="206"/>
    </row>
    <row r="95" spans="2:7">
      <c r="B95" s="207"/>
      <c r="C95" s="208" t="s">
        <v>312</v>
      </c>
      <c r="D95" s="209" t="s">
        <v>66</v>
      </c>
      <c r="E95" s="204">
        <v>4</v>
      </c>
      <c r="F95" s="210">
        <v>0</v>
      </c>
      <c r="G95" s="211">
        <f>E95*F95</f>
        <v>0</v>
      </c>
    </row>
    <row r="96" spans="2:7">
      <c r="B96" s="201" t="s">
        <v>126</v>
      </c>
      <c r="C96" s="212" t="s">
        <v>127</v>
      </c>
      <c r="D96" s="213"/>
      <c r="E96" s="214"/>
      <c r="F96" s="215">
        <v>0</v>
      </c>
      <c r="G96" s="216"/>
    </row>
    <row r="97" spans="2:7">
      <c r="B97" s="218"/>
      <c r="C97" s="212" t="s">
        <v>318</v>
      </c>
      <c r="D97" s="735"/>
      <c r="E97" s="736"/>
      <c r="F97" s="2232"/>
      <c r="G97" s="1121"/>
    </row>
    <row r="98" spans="2:7">
      <c r="B98" s="218"/>
      <c r="C98" s="219" t="s">
        <v>319</v>
      </c>
      <c r="D98" s="213" t="s">
        <v>66</v>
      </c>
      <c r="E98" s="214">
        <v>1</v>
      </c>
      <c r="F98" s="2232">
        <v>0</v>
      </c>
      <c r="G98" s="221">
        <f t="shared" ref="G98:G107" si="4">E98*F98</f>
        <v>0</v>
      </c>
    </row>
    <row r="99" spans="2:7" ht="36">
      <c r="B99" s="218"/>
      <c r="C99" s="222" t="s">
        <v>283</v>
      </c>
      <c r="D99" s="213" t="s">
        <v>66</v>
      </c>
      <c r="E99" s="214">
        <v>1</v>
      </c>
      <c r="F99" s="2232">
        <v>0</v>
      </c>
      <c r="G99" s="221">
        <f t="shared" si="4"/>
        <v>0</v>
      </c>
    </row>
    <row r="100" spans="2:7">
      <c r="B100" s="218"/>
      <c r="C100" s="222" t="s">
        <v>183</v>
      </c>
      <c r="D100" s="213" t="s">
        <v>66</v>
      </c>
      <c r="E100" s="214">
        <v>1</v>
      </c>
      <c r="F100" s="2232">
        <v>0</v>
      </c>
      <c r="G100" s="221">
        <f t="shared" si="4"/>
        <v>0</v>
      </c>
    </row>
    <row r="101" spans="2:7">
      <c r="B101" s="218"/>
      <c r="C101" s="222" t="s">
        <v>131</v>
      </c>
      <c r="D101" s="213" t="s">
        <v>66</v>
      </c>
      <c r="E101" s="214">
        <v>1</v>
      </c>
      <c r="F101" s="2232">
        <v>0</v>
      </c>
      <c r="G101" s="221">
        <f t="shared" si="4"/>
        <v>0</v>
      </c>
    </row>
    <row r="102" spans="2:7">
      <c r="B102" s="218"/>
      <c r="C102" s="1133" t="s">
        <v>166</v>
      </c>
      <c r="D102" s="213" t="s">
        <v>66</v>
      </c>
      <c r="E102" s="214">
        <v>2</v>
      </c>
      <c r="F102" s="2232">
        <v>0</v>
      </c>
      <c r="G102" s="221">
        <f t="shared" si="4"/>
        <v>0</v>
      </c>
    </row>
    <row r="103" spans="2:7">
      <c r="B103" s="218"/>
      <c r="C103" s="1133" t="s">
        <v>167</v>
      </c>
      <c r="D103" s="213" t="s">
        <v>66</v>
      </c>
      <c r="E103" s="214">
        <v>2</v>
      </c>
      <c r="F103" s="2232">
        <v>0</v>
      </c>
      <c r="G103" s="221">
        <f t="shared" si="4"/>
        <v>0</v>
      </c>
    </row>
    <row r="104" spans="2:7">
      <c r="B104" s="218"/>
      <c r="C104" s="1133" t="s">
        <v>229</v>
      </c>
      <c r="D104" s="213" t="s">
        <v>66</v>
      </c>
      <c r="E104" s="214">
        <v>2</v>
      </c>
      <c r="F104" s="2232">
        <v>0</v>
      </c>
      <c r="G104" s="221">
        <f t="shared" si="4"/>
        <v>0</v>
      </c>
    </row>
    <row r="105" spans="2:7">
      <c r="B105" s="218"/>
      <c r="C105" s="1133" t="s">
        <v>230</v>
      </c>
      <c r="D105" s="213" t="s">
        <v>66</v>
      </c>
      <c r="E105" s="214">
        <v>2</v>
      </c>
      <c r="F105" s="2232">
        <v>0</v>
      </c>
      <c r="G105" s="221">
        <f t="shared" si="4"/>
        <v>0</v>
      </c>
    </row>
    <row r="106" spans="2:7">
      <c r="B106" s="218"/>
      <c r="C106" s="1133" t="s">
        <v>134</v>
      </c>
      <c r="D106" s="213" t="s">
        <v>66</v>
      </c>
      <c r="E106" s="214">
        <v>1</v>
      </c>
      <c r="F106" s="2232">
        <v>0</v>
      </c>
      <c r="G106" s="221">
        <f t="shared" si="4"/>
        <v>0</v>
      </c>
    </row>
    <row r="107" spans="2:7">
      <c r="B107" s="218"/>
      <c r="C107" s="1134" t="s">
        <v>135</v>
      </c>
      <c r="D107" s="213" t="s">
        <v>66</v>
      </c>
      <c r="E107" s="214">
        <v>1</v>
      </c>
      <c r="F107" s="2232">
        <v>0</v>
      </c>
      <c r="G107" s="221">
        <f t="shared" si="4"/>
        <v>0</v>
      </c>
    </row>
    <row r="108" spans="2:7">
      <c r="B108" s="201" t="s">
        <v>136</v>
      </c>
      <c r="C108" s="238" t="s">
        <v>320</v>
      </c>
      <c r="D108" s="239"/>
      <c r="E108" s="240"/>
      <c r="F108" s="241"/>
      <c r="G108" s="242"/>
    </row>
    <row r="109" spans="2:7">
      <c r="B109" s="218"/>
      <c r="C109" s="238" t="s">
        <v>326</v>
      </c>
      <c r="D109" s="153"/>
      <c r="E109" s="741"/>
      <c r="F109" s="1611"/>
      <c r="G109" s="263"/>
    </row>
    <row r="110" spans="2:7" ht="27.75" customHeight="1">
      <c r="B110" s="218"/>
      <c r="C110" s="1123" t="s">
        <v>322</v>
      </c>
      <c r="D110" s="239" t="s">
        <v>66</v>
      </c>
      <c r="E110" s="240">
        <v>1</v>
      </c>
      <c r="F110" s="1609">
        <v>0</v>
      </c>
      <c r="G110" s="245">
        <f t="shared" ref="G110:G112" si="5">E110*F110</f>
        <v>0</v>
      </c>
    </row>
    <row r="111" spans="2:7">
      <c r="B111" s="218"/>
      <c r="C111" s="246" t="s">
        <v>325</v>
      </c>
      <c r="D111" s="239" t="s">
        <v>66</v>
      </c>
      <c r="E111" s="240">
        <v>1</v>
      </c>
      <c r="F111" s="1609">
        <v>0</v>
      </c>
      <c r="G111" s="245">
        <f t="shared" si="5"/>
        <v>0</v>
      </c>
    </row>
    <row r="112" spans="2:7">
      <c r="B112" s="218"/>
      <c r="C112" s="247" t="s">
        <v>135</v>
      </c>
      <c r="D112" s="239" t="s">
        <v>66</v>
      </c>
      <c r="E112" s="240">
        <v>1</v>
      </c>
      <c r="F112" s="1609">
        <v>0</v>
      </c>
      <c r="G112" s="245">
        <f t="shared" si="5"/>
        <v>0</v>
      </c>
    </row>
    <row r="113" spans="2:7">
      <c r="B113" s="201" t="s">
        <v>151</v>
      </c>
      <c r="C113" s="223" t="s">
        <v>137</v>
      </c>
      <c r="D113" s="224"/>
      <c r="E113" s="225"/>
      <c r="F113" s="226"/>
      <c r="G113" s="227"/>
    </row>
    <row r="114" spans="2:7">
      <c r="B114" s="218"/>
      <c r="C114" s="223" t="s">
        <v>138</v>
      </c>
      <c r="D114" s="737"/>
      <c r="E114" s="738"/>
      <c r="F114" s="1605"/>
      <c r="G114" s="1125"/>
    </row>
    <row r="115" spans="2:7">
      <c r="B115" s="218"/>
      <c r="C115" s="228" t="s">
        <v>129</v>
      </c>
      <c r="D115" s="224" t="s">
        <v>66</v>
      </c>
      <c r="E115" s="225">
        <v>1</v>
      </c>
      <c r="F115" s="1605">
        <v>0</v>
      </c>
      <c r="G115" s="1125">
        <f t="shared" ref="G115:G130" si="6">E115*F115</f>
        <v>0</v>
      </c>
    </row>
    <row r="116" spans="2:7">
      <c r="B116" s="218"/>
      <c r="C116" s="228" t="s">
        <v>139</v>
      </c>
      <c r="D116" s="224" t="s">
        <v>66</v>
      </c>
      <c r="E116" s="225">
        <v>2</v>
      </c>
      <c r="F116" s="1605">
        <v>0</v>
      </c>
      <c r="G116" s="1125">
        <f t="shared" si="6"/>
        <v>0</v>
      </c>
    </row>
    <row r="117" spans="2:7">
      <c r="B117" s="218"/>
      <c r="C117" s="231" t="s">
        <v>140</v>
      </c>
      <c r="D117" s="224" t="s">
        <v>66</v>
      </c>
      <c r="E117" s="225">
        <v>1</v>
      </c>
      <c r="F117" s="1605">
        <v>0</v>
      </c>
      <c r="G117" s="1125">
        <f t="shared" si="6"/>
        <v>0</v>
      </c>
    </row>
    <row r="118" spans="2:7">
      <c r="B118" s="218"/>
      <c r="C118" s="231" t="s">
        <v>141</v>
      </c>
      <c r="D118" s="224" t="s">
        <v>66</v>
      </c>
      <c r="E118" s="225">
        <v>1</v>
      </c>
      <c r="F118" s="1605">
        <v>0</v>
      </c>
      <c r="G118" s="1125">
        <f t="shared" si="6"/>
        <v>0</v>
      </c>
    </row>
    <row r="119" spans="2:7">
      <c r="B119" s="218"/>
      <c r="C119" s="231" t="s">
        <v>142</v>
      </c>
      <c r="D119" s="224" t="s">
        <v>66</v>
      </c>
      <c r="E119" s="225">
        <v>1</v>
      </c>
      <c r="F119" s="1605">
        <v>0</v>
      </c>
      <c r="G119" s="1125">
        <f t="shared" si="6"/>
        <v>0</v>
      </c>
    </row>
    <row r="120" spans="2:7">
      <c r="B120" s="218"/>
      <c r="C120" s="231" t="s">
        <v>143</v>
      </c>
      <c r="D120" s="224" t="s">
        <v>66</v>
      </c>
      <c r="E120" s="225">
        <v>1</v>
      </c>
      <c r="F120" s="1605">
        <v>0</v>
      </c>
      <c r="G120" s="1125">
        <f t="shared" si="6"/>
        <v>0</v>
      </c>
    </row>
    <row r="121" spans="2:7">
      <c r="B121" s="218"/>
      <c r="C121" s="231" t="s">
        <v>2250</v>
      </c>
      <c r="D121" s="224" t="s">
        <v>66</v>
      </c>
      <c r="E121" s="225">
        <v>1</v>
      </c>
      <c r="F121" s="1605">
        <v>0</v>
      </c>
      <c r="G121" s="1125">
        <f t="shared" si="6"/>
        <v>0</v>
      </c>
    </row>
    <row r="122" spans="2:7">
      <c r="B122" s="218"/>
      <c r="C122" s="231" t="s">
        <v>145</v>
      </c>
      <c r="D122" s="224" t="s">
        <v>66</v>
      </c>
      <c r="E122" s="225">
        <v>1</v>
      </c>
      <c r="F122" s="1605">
        <v>0</v>
      </c>
      <c r="G122" s="1125">
        <f t="shared" si="6"/>
        <v>0</v>
      </c>
    </row>
    <row r="123" spans="2:7">
      <c r="B123" s="218"/>
      <c r="C123" s="231" t="s">
        <v>146</v>
      </c>
      <c r="D123" s="224" t="s">
        <v>66</v>
      </c>
      <c r="E123" s="225">
        <v>1</v>
      </c>
      <c r="F123" s="1605">
        <v>0</v>
      </c>
      <c r="G123" s="1125">
        <f t="shared" si="6"/>
        <v>0</v>
      </c>
    </row>
    <row r="124" spans="2:7">
      <c r="B124" s="218"/>
      <c r="C124" s="739" t="s">
        <v>147</v>
      </c>
      <c r="D124" s="224" t="s">
        <v>66</v>
      </c>
      <c r="E124" s="225">
        <v>1</v>
      </c>
      <c r="F124" s="1605">
        <v>0</v>
      </c>
      <c r="G124" s="1125">
        <f t="shared" si="6"/>
        <v>0</v>
      </c>
    </row>
    <row r="125" spans="2:7">
      <c r="B125" s="218"/>
      <c r="C125" s="739" t="s">
        <v>188</v>
      </c>
      <c r="D125" s="224" t="s">
        <v>66</v>
      </c>
      <c r="E125" s="225">
        <v>1</v>
      </c>
      <c r="F125" s="1605">
        <v>0</v>
      </c>
      <c r="G125" s="1125">
        <f t="shared" si="6"/>
        <v>0</v>
      </c>
    </row>
    <row r="126" spans="2:7">
      <c r="B126" s="218"/>
      <c r="C126" s="739" t="s">
        <v>132</v>
      </c>
      <c r="D126" s="224" t="s">
        <v>66</v>
      </c>
      <c r="E126" s="225">
        <v>2</v>
      </c>
      <c r="F126" s="1605">
        <v>0</v>
      </c>
      <c r="G126" s="1125">
        <f t="shared" si="6"/>
        <v>0</v>
      </c>
    </row>
    <row r="127" spans="2:7">
      <c r="B127" s="218"/>
      <c r="C127" s="739" t="s">
        <v>148</v>
      </c>
      <c r="D127" s="224" t="s">
        <v>66</v>
      </c>
      <c r="E127" s="225">
        <v>2</v>
      </c>
      <c r="F127" s="1605">
        <v>0</v>
      </c>
      <c r="G127" s="1125">
        <f t="shared" si="6"/>
        <v>0</v>
      </c>
    </row>
    <row r="128" spans="2:7">
      <c r="B128" s="218"/>
      <c r="C128" s="739" t="s">
        <v>149</v>
      </c>
      <c r="D128" s="224" t="s">
        <v>66</v>
      </c>
      <c r="E128" s="225">
        <v>1</v>
      </c>
      <c r="F128" s="1605">
        <v>0</v>
      </c>
      <c r="G128" s="1125">
        <f t="shared" si="6"/>
        <v>0</v>
      </c>
    </row>
    <row r="129" spans="2:7">
      <c r="B129" s="218"/>
      <c r="C129" s="739" t="s">
        <v>150</v>
      </c>
      <c r="D129" s="224" t="s">
        <v>66</v>
      </c>
      <c r="E129" s="225">
        <v>3</v>
      </c>
      <c r="F129" s="1605">
        <v>0</v>
      </c>
      <c r="G129" s="1125">
        <f t="shared" si="6"/>
        <v>0</v>
      </c>
    </row>
    <row r="130" spans="2:7">
      <c r="B130" s="218"/>
      <c r="C130" s="740" t="s">
        <v>135</v>
      </c>
      <c r="D130" s="224" t="s">
        <v>66</v>
      </c>
      <c r="E130" s="225">
        <v>1</v>
      </c>
      <c r="F130" s="1605">
        <v>0</v>
      </c>
      <c r="G130" s="1125">
        <f t="shared" si="6"/>
        <v>0</v>
      </c>
    </row>
    <row r="131" spans="2:7">
      <c r="B131" s="201" t="s">
        <v>159</v>
      </c>
      <c r="C131" s="212" t="s">
        <v>152</v>
      </c>
      <c r="D131" s="213"/>
      <c r="E131" s="214"/>
      <c r="F131" s="215"/>
      <c r="G131" s="216"/>
    </row>
    <row r="132" spans="2:7">
      <c r="B132" s="218"/>
      <c r="C132" s="212" t="s">
        <v>153</v>
      </c>
      <c r="D132" s="735"/>
      <c r="E132" s="736"/>
      <c r="F132" s="1601"/>
      <c r="G132" s="1121"/>
    </row>
    <row r="133" spans="2:7">
      <c r="B133" s="218"/>
      <c r="C133" s="219" t="s">
        <v>129</v>
      </c>
      <c r="D133" s="213" t="s">
        <v>66</v>
      </c>
      <c r="E133" s="214">
        <v>1</v>
      </c>
      <c r="F133" s="1599">
        <v>0</v>
      </c>
      <c r="G133" s="221">
        <f t="shared" ref="G133:G143" si="7">E133*F133</f>
        <v>0</v>
      </c>
    </row>
    <row r="134" spans="2:7" ht="24">
      <c r="B134" s="218"/>
      <c r="C134" s="222" t="s">
        <v>154</v>
      </c>
      <c r="D134" s="213" t="s">
        <v>66</v>
      </c>
      <c r="E134" s="214">
        <v>1</v>
      </c>
      <c r="F134" s="1599">
        <v>0</v>
      </c>
      <c r="G134" s="221">
        <f t="shared" si="7"/>
        <v>0</v>
      </c>
    </row>
    <row r="135" spans="2:7">
      <c r="B135" s="218"/>
      <c r="C135" s="222" t="s">
        <v>155</v>
      </c>
      <c r="D135" s="213" t="s">
        <v>66</v>
      </c>
      <c r="E135" s="214">
        <v>1</v>
      </c>
      <c r="F135" s="1599">
        <v>0</v>
      </c>
      <c r="G135" s="221">
        <f t="shared" si="7"/>
        <v>0</v>
      </c>
    </row>
    <row r="136" spans="2:7">
      <c r="B136" s="218"/>
      <c r="C136" s="222" t="s">
        <v>330</v>
      </c>
      <c r="D136" s="213" t="s">
        <v>66</v>
      </c>
      <c r="E136" s="214">
        <v>1</v>
      </c>
      <c r="F136" s="1599">
        <v>0</v>
      </c>
      <c r="G136" s="221">
        <f t="shared" si="7"/>
        <v>0</v>
      </c>
    </row>
    <row r="137" spans="2:7">
      <c r="B137" s="218"/>
      <c r="C137" s="222" t="s">
        <v>157</v>
      </c>
      <c r="D137" s="213" t="s">
        <v>66</v>
      </c>
      <c r="E137" s="214">
        <v>1</v>
      </c>
      <c r="F137" s="1599">
        <v>0</v>
      </c>
      <c r="G137" s="221">
        <f t="shared" si="7"/>
        <v>0</v>
      </c>
    </row>
    <row r="138" spans="2:7">
      <c r="B138" s="218"/>
      <c r="C138" s="234" t="s">
        <v>158</v>
      </c>
      <c r="D138" s="213" t="s">
        <v>66</v>
      </c>
      <c r="E138" s="214">
        <v>1</v>
      </c>
      <c r="F138" s="1599">
        <v>0</v>
      </c>
      <c r="G138" s="221">
        <f t="shared" si="7"/>
        <v>0</v>
      </c>
    </row>
    <row r="139" spans="2:7">
      <c r="B139" s="218"/>
      <c r="C139" s="234" t="s">
        <v>190</v>
      </c>
      <c r="D139" s="213" t="s">
        <v>66</v>
      </c>
      <c r="E139" s="214">
        <v>1</v>
      </c>
      <c r="F139" s="1599">
        <v>0</v>
      </c>
      <c r="G139" s="221">
        <f t="shared" si="7"/>
        <v>0</v>
      </c>
    </row>
    <row r="140" spans="2:7">
      <c r="B140" s="218"/>
      <c r="C140" s="234" t="s">
        <v>132</v>
      </c>
      <c r="D140" s="213" t="s">
        <v>66</v>
      </c>
      <c r="E140" s="214">
        <v>2</v>
      </c>
      <c r="F140" s="1599">
        <v>0</v>
      </c>
      <c r="G140" s="221">
        <f t="shared" si="7"/>
        <v>0</v>
      </c>
    </row>
    <row r="141" spans="2:7">
      <c r="B141" s="218"/>
      <c r="C141" s="234" t="s">
        <v>148</v>
      </c>
      <c r="D141" s="213" t="s">
        <v>66</v>
      </c>
      <c r="E141" s="214">
        <v>2</v>
      </c>
      <c r="F141" s="1599">
        <v>0</v>
      </c>
      <c r="G141" s="221">
        <f t="shared" si="7"/>
        <v>0</v>
      </c>
    </row>
    <row r="142" spans="2:7">
      <c r="B142" s="218"/>
      <c r="C142" s="234" t="s">
        <v>150</v>
      </c>
      <c r="D142" s="213" t="s">
        <v>66</v>
      </c>
      <c r="E142" s="214">
        <v>1</v>
      </c>
      <c r="F142" s="1599">
        <v>0</v>
      </c>
      <c r="G142" s="221">
        <f t="shared" si="7"/>
        <v>0</v>
      </c>
    </row>
    <row r="143" spans="2:7">
      <c r="B143" s="218"/>
      <c r="C143" s="235" t="s">
        <v>135</v>
      </c>
      <c r="D143" s="213" t="s">
        <v>66</v>
      </c>
      <c r="E143" s="214">
        <v>1</v>
      </c>
      <c r="F143" s="1599">
        <v>0</v>
      </c>
      <c r="G143" s="221">
        <f t="shared" si="7"/>
        <v>0</v>
      </c>
    </row>
    <row r="144" spans="2:7" ht="24">
      <c r="B144" s="199" t="s">
        <v>331</v>
      </c>
      <c r="C144" s="212" t="s">
        <v>332</v>
      </c>
      <c r="D144" s="735" t="s">
        <v>66</v>
      </c>
      <c r="E144" s="736">
        <v>1</v>
      </c>
      <c r="F144" s="1126">
        <v>0</v>
      </c>
      <c r="G144" s="1121">
        <f>E144*F144</f>
        <v>0</v>
      </c>
    </row>
    <row r="145" spans="2:7">
      <c r="B145" s="201" t="s">
        <v>168</v>
      </c>
      <c r="C145" s="223" t="s">
        <v>886</v>
      </c>
      <c r="D145" s="224"/>
      <c r="E145" s="225"/>
      <c r="F145" s="226"/>
      <c r="G145" s="227"/>
    </row>
    <row r="146" spans="2:7">
      <c r="B146" s="218"/>
      <c r="C146" s="223" t="s">
        <v>196</v>
      </c>
      <c r="D146" s="737"/>
      <c r="E146" s="738"/>
      <c r="F146" s="1605"/>
      <c r="G146" s="1128"/>
    </row>
    <row r="147" spans="2:7" ht="24">
      <c r="B147" s="218"/>
      <c r="C147" s="228" t="s">
        <v>2248</v>
      </c>
      <c r="D147" s="224" t="s">
        <v>66</v>
      </c>
      <c r="E147" s="225">
        <v>1</v>
      </c>
      <c r="F147" s="1603">
        <v>0</v>
      </c>
      <c r="G147" s="2229">
        <f t="shared" ref="G147:G155" si="8">E147*F147</f>
        <v>0</v>
      </c>
    </row>
    <row r="148" spans="2:7">
      <c r="B148" s="218"/>
      <c r="C148" s="232" t="s">
        <v>132</v>
      </c>
      <c r="D148" s="224" t="s">
        <v>66</v>
      </c>
      <c r="E148" s="225">
        <v>3</v>
      </c>
      <c r="F148" s="1603">
        <v>0</v>
      </c>
      <c r="G148" s="2229">
        <f t="shared" si="8"/>
        <v>0</v>
      </c>
    </row>
    <row r="149" spans="2:7">
      <c r="B149" s="218"/>
      <c r="C149" s="232" t="s">
        <v>148</v>
      </c>
      <c r="D149" s="224" t="s">
        <v>66</v>
      </c>
      <c r="E149" s="225">
        <v>3</v>
      </c>
      <c r="F149" s="1603">
        <v>0</v>
      </c>
      <c r="G149" s="2229">
        <f t="shared" si="8"/>
        <v>0</v>
      </c>
    </row>
    <row r="150" spans="2:7">
      <c r="B150" s="218"/>
      <c r="C150" s="232" t="s">
        <v>150</v>
      </c>
      <c r="D150" s="224" t="s">
        <v>66</v>
      </c>
      <c r="E150" s="225">
        <v>1</v>
      </c>
      <c r="F150" s="1603">
        <v>0</v>
      </c>
      <c r="G150" s="2229">
        <f t="shared" si="8"/>
        <v>0</v>
      </c>
    </row>
    <row r="151" spans="2:7">
      <c r="B151" s="218"/>
      <c r="C151" s="233" t="s">
        <v>135</v>
      </c>
      <c r="D151" s="224" t="s">
        <v>66</v>
      </c>
      <c r="E151" s="225">
        <v>1</v>
      </c>
      <c r="F151" s="1603">
        <v>0</v>
      </c>
      <c r="G151" s="2229">
        <f t="shared" si="8"/>
        <v>0</v>
      </c>
    </row>
    <row r="152" spans="2:7">
      <c r="B152" s="218"/>
      <c r="C152" s="223" t="s">
        <v>1432</v>
      </c>
      <c r="D152" s="737"/>
      <c r="E152" s="738"/>
      <c r="F152" s="1603"/>
      <c r="G152" s="2229"/>
    </row>
    <row r="153" spans="2:7">
      <c r="B153" s="218"/>
      <c r="C153" s="739" t="s">
        <v>1433</v>
      </c>
      <c r="D153" s="224" t="s">
        <v>66</v>
      </c>
      <c r="E153" s="225">
        <v>1</v>
      </c>
      <c r="F153" s="1603">
        <v>0</v>
      </c>
      <c r="G153" s="2229">
        <f t="shared" si="8"/>
        <v>0</v>
      </c>
    </row>
    <row r="154" spans="2:7">
      <c r="B154" s="218"/>
      <c r="C154" s="739" t="s">
        <v>230</v>
      </c>
      <c r="D154" s="224" t="s">
        <v>66</v>
      </c>
      <c r="E154" s="225">
        <v>1</v>
      </c>
      <c r="F154" s="1603">
        <v>0</v>
      </c>
      <c r="G154" s="2229">
        <f t="shared" si="8"/>
        <v>0</v>
      </c>
    </row>
    <row r="155" spans="2:7">
      <c r="B155" s="218"/>
      <c r="C155" s="739" t="s">
        <v>1434</v>
      </c>
      <c r="D155" s="224" t="s">
        <v>66</v>
      </c>
      <c r="E155" s="225">
        <v>1</v>
      </c>
      <c r="F155" s="1603">
        <v>0</v>
      </c>
      <c r="G155" s="2229">
        <f t="shared" si="8"/>
        <v>0</v>
      </c>
    </row>
    <row r="156" spans="2:7">
      <c r="B156" s="201" t="s">
        <v>172</v>
      </c>
      <c r="C156" s="238" t="s">
        <v>169</v>
      </c>
      <c r="D156" s="239"/>
      <c r="E156" s="240"/>
      <c r="F156" s="241"/>
      <c r="G156" s="242"/>
    </row>
    <row r="157" spans="2:7">
      <c r="B157" s="218"/>
      <c r="C157" s="238" t="s">
        <v>170</v>
      </c>
      <c r="D157" s="153"/>
      <c r="E157" s="741"/>
      <c r="F157" s="1611"/>
      <c r="G157" s="263"/>
    </row>
    <row r="158" spans="2:7" ht="36">
      <c r="B158" s="218"/>
      <c r="C158" s="243" t="s">
        <v>2246</v>
      </c>
      <c r="D158" s="239" t="s">
        <v>66</v>
      </c>
      <c r="E158" s="240">
        <v>1</v>
      </c>
      <c r="F158" s="1609">
        <v>0</v>
      </c>
      <c r="G158" s="245">
        <f t="shared" ref="G158:G165" si="9">E158*F158</f>
        <v>0</v>
      </c>
    </row>
    <row r="159" spans="2:7">
      <c r="B159" s="218"/>
      <c r="C159" s="1129" t="s">
        <v>171</v>
      </c>
      <c r="D159" s="239" t="s">
        <v>66</v>
      </c>
      <c r="E159" s="240">
        <v>1</v>
      </c>
      <c r="F159" s="1609">
        <v>0</v>
      </c>
      <c r="G159" s="245">
        <f t="shared" si="9"/>
        <v>0</v>
      </c>
    </row>
    <row r="160" spans="2:7">
      <c r="B160" s="218"/>
      <c r="C160" s="1130" t="s">
        <v>135</v>
      </c>
      <c r="D160" s="239" t="s">
        <v>66</v>
      </c>
      <c r="E160" s="240">
        <v>1</v>
      </c>
      <c r="F160" s="1609">
        <v>0</v>
      </c>
      <c r="G160" s="245">
        <f t="shared" si="9"/>
        <v>0</v>
      </c>
    </row>
    <row r="161" spans="2:7">
      <c r="B161" s="218"/>
      <c r="C161" s="238" t="s">
        <v>234</v>
      </c>
      <c r="D161" s="153"/>
      <c r="E161" s="741"/>
      <c r="F161" s="1609"/>
      <c r="G161" s="245"/>
    </row>
    <row r="162" spans="2:7" ht="36">
      <c r="B162" s="218"/>
      <c r="C162" s="243" t="s">
        <v>2245</v>
      </c>
      <c r="D162" s="239" t="s">
        <v>66</v>
      </c>
      <c r="E162" s="240">
        <v>10</v>
      </c>
      <c r="F162" s="1609">
        <v>0</v>
      </c>
      <c r="G162" s="245">
        <f t="shared" si="9"/>
        <v>0</v>
      </c>
    </row>
    <row r="163" spans="2:7">
      <c r="B163" s="218"/>
      <c r="C163" s="246" t="s">
        <v>171</v>
      </c>
      <c r="D163" s="239" t="s">
        <v>66</v>
      </c>
      <c r="E163" s="240">
        <v>10</v>
      </c>
      <c r="F163" s="1609">
        <v>0</v>
      </c>
      <c r="G163" s="245">
        <f t="shared" si="9"/>
        <v>0</v>
      </c>
    </row>
    <row r="164" spans="2:7">
      <c r="B164" s="218"/>
      <c r="C164" s="247" t="s">
        <v>135</v>
      </c>
      <c r="D164" s="239" t="s">
        <v>66</v>
      </c>
      <c r="E164" s="240">
        <v>10</v>
      </c>
      <c r="F164" s="1609">
        <v>0</v>
      </c>
      <c r="G164" s="245">
        <f t="shared" si="9"/>
        <v>0</v>
      </c>
    </row>
    <row r="165" spans="2:7">
      <c r="B165" s="218"/>
      <c r="C165" s="247" t="s">
        <v>891</v>
      </c>
      <c r="D165" s="239" t="s">
        <v>66</v>
      </c>
      <c r="E165" s="240">
        <v>10</v>
      </c>
      <c r="F165" s="1609">
        <v>0</v>
      </c>
      <c r="G165" s="245">
        <f t="shared" si="9"/>
        <v>0</v>
      </c>
    </row>
    <row r="166" spans="2:7">
      <c r="B166" s="201" t="s">
        <v>340</v>
      </c>
      <c r="C166" s="742" t="s">
        <v>173</v>
      </c>
      <c r="D166" s="743"/>
      <c r="E166" s="744"/>
      <c r="F166" s="1131"/>
      <c r="G166" s="1132"/>
    </row>
    <row r="167" spans="2:7" ht="72">
      <c r="B167" s="218"/>
      <c r="C167" s="745" t="s">
        <v>174</v>
      </c>
      <c r="D167" s="746" t="s">
        <v>66</v>
      </c>
      <c r="E167" s="747">
        <v>1</v>
      </c>
      <c r="F167" s="1617">
        <v>0</v>
      </c>
      <c r="G167" s="1132">
        <f>E167*F167</f>
        <v>0</v>
      </c>
    </row>
    <row r="168" spans="2:7">
      <c r="B168" s="258" t="s">
        <v>47</v>
      </c>
      <c r="C168" s="259" t="s">
        <v>1396</v>
      </c>
      <c r="D168" s="260"/>
      <c r="E168" s="261"/>
      <c r="F168" s="262"/>
      <c r="G168" s="263">
        <f>SUM(G76:G167)</f>
        <v>0</v>
      </c>
    </row>
  </sheetData>
  <mergeCells count="5">
    <mergeCell ref="B43:G43"/>
    <mergeCell ref="B71:G71"/>
    <mergeCell ref="B72:G72"/>
    <mergeCell ref="B73:G73"/>
    <mergeCell ref="B82:B85"/>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58D0B-C6CB-410F-84DC-F86C70E450D4}">
  <sheetPr>
    <tabColor rgb="FF00B0F0"/>
  </sheetPr>
  <dimension ref="A2:Y186"/>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0.28515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1428</v>
      </c>
      <c r="D4" s="76"/>
      <c r="E4" s="77"/>
      <c r="F4" s="674"/>
      <c r="G4" s="79"/>
      <c r="H4" s="37"/>
    </row>
    <row r="5" spans="1:25" s="73" customFormat="1" ht="12" customHeight="1">
      <c r="B5" s="80"/>
      <c r="C5" s="81"/>
      <c r="D5" s="82"/>
      <c r="E5" s="83"/>
      <c r="F5" s="675"/>
      <c r="G5" s="85"/>
      <c r="H5" s="37"/>
    </row>
    <row r="6" spans="1:25" s="86" customFormat="1" ht="21" customHeight="1">
      <c r="B6" s="676" t="s">
        <v>37</v>
      </c>
      <c r="C6" s="677" t="s">
        <v>1435</v>
      </c>
      <c r="D6" s="678"/>
      <c r="E6" s="679"/>
      <c r="F6" s="680"/>
      <c r="G6" s="681"/>
      <c r="H6" s="27"/>
    </row>
    <row r="7" spans="1:25" s="86" customFormat="1" ht="21" customHeight="1">
      <c r="B7" s="1146"/>
      <c r="C7" s="1147"/>
      <c r="D7" s="1148"/>
      <c r="E7" s="1149"/>
      <c r="F7" s="1150"/>
      <c r="G7" s="1151"/>
      <c r="H7" s="27"/>
    </row>
    <row r="8" spans="1:25" s="86" customFormat="1" ht="14.25">
      <c r="B8" s="682" t="s">
        <v>551</v>
      </c>
      <c r="C8" s="683" t="s">
        <v>1436</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G67</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G186</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36">
      <c r="B26" s="125">
        <v>1</v>
      </c>
      <c r="C26" s="144" t="s">
        <v>56</v>
      </c>
      <c r="D26" s="140" t="s">
        <v>57</v>
      </c>
      <c r="E26" s="1081">
        <v>886</v>
      </c>
      <c r="F26" s="1082">
        <v>0</v>
      </c>
      <c r="G26" s="1083">
        <f t="shared" ref="G26" si="0">E26*F26</f>
        <v>0</v>
      </c>
    </row>
    <row r="27" spans="2:25">
      <c r="B27" s="125">
        <v>2</v>
      </c>
      <c r="C27" s="144" t="s">
        <v>58</v>
      </c>
      <c r="D27" s="140" t="s">
        <v>57</v>
      </c>
      <c r="E27" s="1081">
        <f>E26</f>
        <v>886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36">
      <c r="B31" s="125">
        <v>6</v>
      </c>
      <c r="C31" s="1084" t="s">
        <v>63</v>
      </c>
      <c r="D31" s="140" t="s">
        <v>57</v>
      </c>
      <c r="E31" s="1081">
        <f>E26</f>
        <v>886</v>
      </c>
      <c r="F31" s="1082">
        <v>0</v>
      </c>
      <c r="G31" s="1083">
        <f t="shared" si="1"/>
        <v>0</v>
      </c>
    </row>
    <row r="32" spans="2:25" ht="48">
      <c r="B32" s="125">
        <v>7</v>
      </c>
      <c r="C32" s="1084" t="s">
        <v>64</v>
      </c>
      <c r="D32" s="146" t="s">
        <v>60</v>
      </c>
      <c r="E32" s="1081">
        <v>1</v>
      </c>
      <c r="F32" s="1082">
        <v>0</v>
      </c>
      <c r="G32" s="1083">
        <f t="shared" si="1"/>
        <v>0</v>
      </c>
    </row>
    <row r="33" spans="1:25" ht="53.25" customHeight="1">
      <c r="B33" s="125">
        <v>8</v>
      </c>
      <c r="C33" s="1080" t="s">
        <v>2292</v>
      </c>
      <c r="D33" s="146" t="s">
        <v>66</v>
      </c>
      <c r="E33" s="1081">
        <v>39</v>
      </c>
      <c r="F33" s="1082">
        <v>0</v>
      </c>
      <c r="G33" s="1083">
        <f t="shared" si="1"/>
        <v>0</v>
      </c>
    </row>
    <row r="34" spans="1:25" ht="36">
      <c r="B34" s="125">
        <v>9</v>
      </c>
      <c r="C34" s="1080" t="s">
        <v>2295</v>
      </c>
      <c r="D34" s="146" t="s">
        <v>57</v>
      </c>
      <c r="E34" s="1081">
        <f>E26+E85+E86</f>
        <v>1163.2</v>
      </c>
      <c r="F34" s="1082">
        <v>0</v>
      </c>
      <c r="G34" s="1083">
        <f t="shared" si="1"/>
        <v>0</v>
      </c>
    </row>
    <row r="35" spans="1:25" ht="24">
      <c r="B35" s="125">
        <v>10</v>
      </c>
      <c r="C35" s="1080" t="s">
        <v>2293</v>
      </c>
      <c r="D35" s="146" t="s">
        <v>57</v>
      </c>
      <c r="E35" s="1081">
        <f>E26+E85+E86</f>
        <v>1163.2</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48">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4">
      <c r="A46" s="1"/>
      <c r="B46" s="167">
        <v>1</v>
      </c>
      <c r="C46" s="139" t="s">
        <v>73</v>
      </c>
      <c r="D46" s="140" t="s">
        <v>74</v>
      </c>
      <c r="E46" s="1091">
        <v>25</v>
      </c>
      <c r="F46" s="1092">
        <v>0</v>
      </c>
      <c r="G46" s="1093">
        <f t="shared" ref="G46:G65"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239.21999999999997</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1355.58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1329</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717">
        <v>5</v>
      </c>
      <c r="C50" s="126" t="s">
        <v>79</v>
      </c>
      <c r="D50" s="145" t="s">
        <v>78</v>
      </c>
      <c r="E50" s="1094">
        <f>E26</f>
        <v>886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1063.2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717">
        <v>7</v>
      </c>
      <c r="C52" s="139" t="s">
        <v>82</v>
      </c>
      <c r="D52" s="146" t="s">
        <v>74</v>
      </c>
      <c r="E52" s="1094">
        <f>E26*1.5*0.4</f>
        <v>531.6</v>
      </c>
      <c r="F52" s="1092">
        <v>0</v>
      </c>
      <c r="G52" s="1083">
        <f t="shared" si="2"/>
        <v>0</v>
      </c>
      <c r="I52" s="1"/>
      <c r="J52" s="1"/>
      <c r="K52" s="1"/>
      <c r="L52" s="1"/>
      <c r="M52" s="1"/>
      <c r="N52" s="1"/>
      <c r="O52" s="1"/>
      <c r="P52" s="1"/>
      <c r="Q52" s="1"/>
      <c r="R52" s="1"/>
      <c r="S52" s="1"/>
      <c r="T52" s="1"/>
      <c r="U52" s="1"/>
      <c r="V52" s="1"/>
      <c r="W52" s="1"/>
      <c r="X52" s="1"/>
      <c r="Y52" s="1"/>
    </row>
    <row r="53" spans="1:25" s="8" customFormat="1" ht="51.75" customHeight="1">
      <c r="A53" s="1"/>
      <c r="B53" s="2408">
        <v>8</v>
      </c>
      <c r="C53" s="177" t="s">
        <v>83</v>
      </c>
      <c r="D53" s="146" t="s">
        <v>252</v>
      </c>
      <c r="E53" s="128">
        <v>7</v>
      </c>
      <c r="F53" s="1092">
        <v>0</v>
      </c>
      <c r="G53" s="1083">
        <f t="shared" si="2"/>
        <v>0</v>
      </c>
      <c r="I53" s="1"/>
      <c r="J53" s="1"/>
      <c r="K53" s="1"/>
      <c r="L53" s="1"/>
      <c r="M53" s="1"/>
      <c r="N53" s="1"/>
      <c r="O53" s="1"/>
      <c r="P53" s="1"/>
      <c r="Q53" s="1"/>
      <c r="R53" s="1"/>
      <c r="S53" s="1"/>
      <c r="T53" s="1"/>
      <c r="U53" s="1"/>
      <c r="V53" s="1"/>
      <c r="W53" s="1"/>
      <c r="X53" s="1"/>
      <c r="Y53" s="1"/>
    </row>
    <row r="54" spans="1:25" s="8" customFormat="1" ht="15" customHeight="1">
      <c r="A54" s="1"/>
      <c r="B54" s="2608"/>
      <c r="C54" s="177" t="s">
        <v>84</v>
      </c>
      <c r="D54" s="140" t="s">
        <v>57</v>
      </c>
      <c r="E54" s="128">
        <v>33</v>
      </c>
      <c r="F54" s="141"/>
      <c r="G54" s="142"/>
      <c r="I54" s="1"/>
      <c r="J54" s="1"/>
      <c r="K54" s="1"/>
      <c r="L54" s="1"/>
      <c r="M54" s="1"/>
      <c r="N54" s="1"/>
      <c r="O54" s="1"/>
      <c r="P54" s="1"/>
      <c r="Q54" s="1"/>
      <c r="R54" s="1"/>
      <c r="S54" s="1"/>
      <c r="T54" s="1"/>
      <c r="U54" s="1"/>
      <c r="V54" s="1"/>
      <c r="W54" s="1"/>
      <c r="X54" s="1"/>
      <c r="Y54" s="1"/>
    </row>
    <row r="55" spans="1:25" s="8" customFormat="1" ht="27" customHeight="1">
      <c r="A55" s="1"/>
      <c r="B55" s="717">
        <v>9</v>
      </c>
      <c r="C55" s="1095" t="s">
        <v>85</v>
      </c>
      <c r="D55" s="140" t="s">
        <v>57</v>
      </c>
      <c r="E55" s="1094">
        <v>28</v>
      </c>
      <c r="F55" s="1082">
        <v>0</v>
      </c>
      <c r="G55" s="1083">
        <f t="shared" si="2"/>
        <v>0</v>
      </c>
      <c r="I55" s="1"/>
      <c r="J55" s="1"/>
      <c r="K55" s="1"/>
      <c r="L55" s="1"/>
      <c r="M55" s="1"/>
      <c r="N55" s="1"/>
      <c r="O55" s="1"/>
      <c r="P55" s="1"/>
      <c r="Q55" s="1"/>
      <c r="R55" s="1"/>
      <c r="S55" s="1"/>
      <c r="T55" s="1"/>
      <c r="U55" s="1"/>
      <c r="V55" s="1"/>
      <c r="W55" s="1"/>
      <c r="X55" s="1"/>
      <c r="Y55" s="1"/>
    </row>
    <row r="56" spans="1:25" s="8" customFormat="1" ht="24">
      <c r="A56" s="1"/>
      <c r="B56" s="717">
        <v>10</v>
      </c>
      <c r="C56" s="1095" t="s">
        <v>1391</v>
      </c>
      <c r="D56" s="140" t="s">
        <v>78</v>
      </c>
      <c r="E56" s="1094">
        <f>E26*1.2</f>
        <v>1063.2</v>
      </c>
      <c r="F56" s="1082">
        <v>0</v>
      </c>
      <c r="G56" s="1083">
        <f t="shared" si="2"/>
        <v>0</v>
      </c>
      <c r="I56" s="1"/>
      <c r="J56" s="1"/>
      <c r="K56" s="1"/>
      <c r="L56" s="1"/>
      <c r="M56" s="1"/>
      <c r="N56" s="1"/>
      <c r="O56" s="1"/>
      <c r="P56" s="1"/>
      <c r="Q56" s="1"/>
      <c r="R56" s="1"/>
      <c r="S56" s="1"/>
      <c r="T56" s="1"/>
      <c r="U56" s="1"/>
      <c r="V56" s="1"/>
      <c r="W56" s="1"/>
      <c r="X56" s="1"/>
      <c r="Y56" s="1"/>
    </row>
    <row r="57" spans="1:25" s="8" customFormat="1" ht="63.75" customHeight="1">
      <c r="A57" s="1"/>
      <c r="B57" s="717">
        <v>11</v>
      </c>
      <c r="C57" s="397" t="s">
        <v>254</v>
      </c>
      <c r="D57" s="145" t="s">
        <v>78</v>
      </c>
      <c r="E57" s="1094">
        <v>10</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167">
        <v>12</v>
      </c>
      <c r="C58" s="139" t="s">
        <v>264</v>
      </c>
      <c r="D58" s="145" t="s">
        <v>74</v>
      </c>
      <c r="E58" s="128">
        <f>E47+E48+(E56*0.06)-E51</f>
        <v>595.39199999999983</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167">
        <v>13</v>
      </c>
      <c r="C59" s="139" t="s">
        <v>265</v>
      </c>
      <c r="D59" s="145" t="s">
        <v>74</v>
      </c>
      <c r="E59" s="128">
        <f>E58</f>
        <v>595.39199999999983</v>
      </c>
      <c r="F59" s="1082">
        <v>0</v>
      </c>
      <c r="G59" s="142">
        <f t="shared" si="2"/>
        <v>0</v>
      </c>
      <c r="I59" s="1"/>
      <c r="J59" s="1"/>
      <c r="K59" s="1"/>
      <c r="L59" s="1"/>
      <c r="M59" s="1"/>
      <c r="N59" s="1"/>
      <c r="O59" s="1"/>
      <c r="P59" s="1"/>
      <c r="Q59" s="1"/>
      <c r="R59" s="1"/>
      <c r="S59" s="1"/>
      <c r="T59" s="1"/>
      <c r="U59" s="1"/>
      <c r="V59" s="1"/>
      <c r="W59" s="1"/>
      <c r="X59" s="1"/>
      <c r="Y59" s="1"/>
    </row>
    <row r="60" spans="1:25" s="8" customFormat="1" ht="28.5" customHeight="1">
      <c r="A60" s="1"/>
      <c r="B60" s="717">
        <v>14</v>
      </c>
      <c r="C60" s="126" t="s">
        <v>95</v>
      </c>
      <c r="D60" s="140" t="s">
        <v>74</v>
      </c>
      <c r="E60" s="1094">
        <f>E26*0.75*0.1</f>
        <v>66.45</v>
      </c>
      <c r="F60" s="1082">
        <v>0</v>
      </c>
      <c r="G60" s="1083">
        <f t="shared" si="2"/>
        <v>0</v>
      </c>
      <c r="I60" s="1"/>
      <c r="J60" s="1"/>
      <c r="K60" s="1"/>
      <c r="L60" s="1"/>
      <c r="M60" s="1"/>
      <c r="N60" s="1"/>
      <c r="O60" s="1"/>
      <c r="P60" s="1"/>
      <c r="Q60" s="1"/>
      <c r="R60" s="1"/>
      <c r="S60" s="1"/>
      <c r="T60" s="1"/>
      <c r="U60" s="1"/>
      <c r="V60" s="1"/>
      <c r="W60" s="1"/>
      <c r="X60" s="1"/>
      <c r="Y60" s="1"/>
    </row>
    <row r="61" spans="1:25" s="8" customFormat="1" ht="31.5" customHeight="1">
      <c r="A61" s="1"/>
      <c r="B61" s="167">
        <v>15</v>
      </c>
      <c r="C61" s="177" t="s">
        <v>96</v>
      </c>
      <c r="D61" s="140" t="s">
        <v>57</v>
      </c>
      <c r="E61" s="128">
        <v>12</v>
      </c>
      <c r="F61" s="1082">
        <v>0</v>
      </c>
      <c r="G61" s="1083">
        <f t="shared" si="2"/>
        <v>0</v>
      </c>
      <c r="I61" s="1"/>
      <c r="J61" s="1"/>
      <c r="K61" s="1"/>
      <c r="L61" s="1"/>
      <c r="M61" s="1"/>
      <c r="N61" s="1"/>
      <c r="O61" s="1"/>
      <c r="P61" s="1"/>
      <c r="Q61" s="1"/>
      <c r="R61" s="1"/>
      <c r="S61" s="1"/>
      <c r="T61" s="1"/>
      <c r="U61" s="1"/>
      <c r="V61" s="1"/>
      <c r="W61" s="1"/>
      <c r="X61" s="1"/>
      <c r="Y61" s="1"/>
    </row>
    <row r="62" spans="1:25" s="8" customFormat="1" ht="48">
      <c r="A62" s="1"/>
      <c r="B62" s="717">
        <v>16</v>
      </c>
      <c r="C62" s="1096" t="s">
        <v>1393</v>
      </c>
      <c r="D62" s="182" t="s">
        <v>74</v>
      </c>
      <c r="E62" s="1097">
        <v>5</v>
      </c>
      <c r="F62" s="1082">
        <v>0</v>
      </c>
      <c r="G62" s="1083">
        <f t="shared" si="2"/>
        <v>0</v>
      </c>
      <c r="I62" s="1"/>
      <c r="J62" s="1"/>
      <c r="K62" s="1"/>
      <c r="L62" s="1"/>
      <c r="M62" s="1"/>
      <c r="N62" s="1"/>
      <c r="O62" s="1"/>
      <c r="P62" s="1"/>
      <c r="Q62" s="1"/>
      <c r="R62" s="1"/>
      <c r="S62" s="1"/>
      <c r="T62" s="1"/>
      <c r="U62" s="1"/>
      <c r="V62" s="1"/>
      <c r="W62" s="1"/>
      <c r="X62" s="1"/>
      <c r="Y62" s="1"/>
    </row>
    <row r="63" spans="1:25" s="8" customFormat="1" ht="39" customHeight="1">
      <c r="A63" s="1"/>
      <c r="B63" s="717">
        <v>17</v>
      </c>
      <c r="C63" s="1096" t="s">
        <v>270</v>
      </c>
      <c r="D63" s="182" t="s">
        <v>66</v>
      </c>
      <c r="E63" s="1097">
        <v>69</v>
      </c>
      <c r="F63" s="1082">
        <v>0</v>
      </c>
      <c r="G63" s="1083">
        <f t="shared" si="2"/>
        <v>0</v>
      </c>
      <c r="I63" s="1"/>
      <c r="J63" s="1"/>
      <c r="K63" s="1"/>
      <c r="L63" s="1"/>
      <c r="M63" s="1"/>
      <c r="N63" s="1"/>
      <c r="O63" s="1"/>
      <c r="P63" s="1"/>
      <c r="Q63" s="1"/>
      <c r="R63" s="1"/>
      <c r="S63" s="1"/>
      <c r="T63" s="1"/>
      <c r="U63" s="1"/>
      <c r="V63" s="1"/>
      <c r="W63" s="1"/>
      <c r="X63" s="1"/>
      <c r="Y63" s="1"/>
    </row>
    <row r="64" spans="1:25" s="8" customFormat="1" ht="36">
      <c r="A64" s="1"/>
      <c r="B64" s="717">
        <v>18</v>
      </c>
      <c r="C64" s="1096" t="s">
        <v>99</v>
      </c>
      <c r="D64" s="182" t="s">
        <v>74</v>
      </c>
      <c r="E64" s="1097">
        <v>6</v>
      </c>
      <c r="F64" s="1082">
        <v>0</v>
      </c>
      <c r="G64" s="1083">
        <f t="shared" si="2"/>
        <v>0</v>
      </c>
      <c r="I64" s="1"/>
      <c r="J64" s="1"/>
      <c r="K64" s="1"/>
      <c r="L64" s="1"/>
      <c r="M64" s="1"/>
      <c r="N64" s="1"/>
      <c r="O64" s="1"/>
      <c r="P64" s="1"/>
      <c r="Q64" s="1"/>
      <c r="R64" s="1"/>
      <c r="S64" s="1"/>
      <c r="T64" s="1"/>
      <c r="U64" s="1"/>
      <c r="V64" s="1"/>
      <c r="W64" s="1"/>
      <c r="X64" s="1"/>
      <c r="Y64" s="1"/>
    </row>
    <row r="65" spans="1:25" s="8" customFormat="1" ht="27.75" customHeight="1">
      <c r="A65" s="1"/>
      <c r="B65" s="717">
        <v>19</v>
      </c>
      <c r="C65" s="1096" t="s">
        <v>100</v>
      </c>
      <c r="D65" s="182" t="s">
        <v>65</v>
      </c>
      <c r="E65" s="1097">
        <v>20</v>
      </c>
      <c r="F65" s="1082">
        <v>0</v>
      </c>
      <c r="G65" s="1083">
        <f t="shared" si="2"/>
        <v>0</v>
      </c>
      <c r="I65" s="1"/>
      <c r="J65" s="1"/>
      <c r="K65" s="1"/>
      <c r="L65" s="1"/>
      <c r="M65" s="1"/>
      <c r="N65" s="1"/>
      <c r="O65" s="1"/>
      <c r="P65" s="1"/>
      <c r="Q65" s="1"/>
      <c r="R65" s="1"/>
      <c r="S65" s="1"/>
      <c r="T65" s="1"/>
      <c r="U65" s="1"/>
      <c r="V65" s="1"/>
      <c r="W65" s="1"/>
      <c r="X65" s="1"/>
      <c r="Y65" s="1"/>
    </row>
    <row r="66" spans="1:25" s="8" customFormat="1">
      <c r="A66" s="1"/>
      <c r="B66" s="167"/>
      <c r="C66" s="1098"/>
      <c r="D66" s="1099"/>
      <c r="E66" s="1100"/>
      <c r="F66" s="1101"/>
      <c r="G66" s="1102"/>
      <c r="I66" s="1"/>
      <c r="J66" s="1"/>
      <c r="K66" s="1"/>
      <c r="L66" s="1"/>
      <c r="M66" s="1"/>
      <c r="N66" s="1"/>
      <c r="O66" s="1"/>
      <c r="P66" s="1"/>
      <c r="Q66" s="1"/>
      <c r="R66" s="1"/>
      <c r="S66" s="1"/>
      <c r="T66" s="1"/>
      <c r="U66" s="1"/>
      <c r="V66" s="1"/>
      <c r="W66" s="1"/>
      <c r="X66" s="1"/>
      <c r="Y66" s="1"/>
    </row>
    <row r="67" spans="1:25" s="8" customFormat="1">
      <c r="A67" s="1"/>
      <c r="B67" s="151" t="s">
        <v>45</v>
      </c>
      <c r="C67" s="1086" t="s">
        <v>101</v>
      </c>
      <c r="D67" s="1103"/>
      <c r="E67" s="1088"/>
      <c r="F67" s="1089"/>
      <c r="G67" s="263">
        <f>SUM(G46:G65)</f>
        <v>0</v>
      </c>
      <c r="I67" s="1"/>
      <c r="J67" s="1"/>
      <c r="K67" s="1"/>
      <c r="L67" s="1"/>
      <c r="M67" s="1"/>
      <c r="N67" s="1"/>
      <c r="O67" s="1"/>
      <c r="P67" s="1"/>
      <c r="Q67" s="1"/>
      <c r="R67" s="1"/>
      <c r="S67" s="1"/>
      <c r="T67" s="1"/>
      <c r="U67" s="1"/>
      <c r="V67" s="1"/>
      <c r="W67" s="1"/>
      <c r="X67" s="1"/>
      <c r="Y67" s="1"/>
    </row>
    <row r="68" spans="1:25" s="8" customFormat="1">
      <c r="A68" s="1"/>
      <c r="B68" s="67"/>
      <c r="C68" s="68"/>
      <c r="D68" s="69"/>
      <c r="E68" s="1104"/>
      <c r="F68" s="1105"/>
      <c r="G68" s="1106"/>
      <c r="I68" s="1"/>
      <c r="J68" s="1"/>
      <c r="K68" s="1"/>
      <c r="L68" s="1"/>
      <c r="M68" s="1"/>
      <c r="N68" s="1"/>
      <c r="O68" s="1"/>
      <c r="P68" s="1"/>
      <c r="Q68" s="1"/>
      <c r="R68" s="1"/>
      <c r="S68" s="1"/>
      <c r="T68" s="1"/>
      <c r="U68" s="1"/>
      <c r="V68" s="1"/>
      <c r="W68" s="1"/>
      <c r="X68" s="1"/>
      <c r="Y68" s="1"/>
    </row>
    <row r="69" spans="1:25" s="8" customFormat="1" ht="24">
      <c r="A69" s="1"/>
      <c r="B69" s="119" t="s">
        <v>50</v>
      </c>
      <c r="C69" s="120" t="s">
        <v>51</v>
      </c>
      <c r="D69" s="121" t="s">
        <v>52</v>
      </c>
      <c r="E69" s="122" t="s">
        <v>53</v>
      </c>
      <c r="F69" s="123" t="s">
        <v>54</v>
      </c>
      <c r="G69" s="124" t="s">
        <v>55</v>
      </c>
      <c r="I69" s="1"/>
      <c r="J69" s="1"/>
      <c r="K69" s="1"/>
      <c r="L69" s="1"/>
      <c r="M69" s="1"/>
      <c r="N69" s="1"/>
      <c r="O69" s="1"/>
      <c r="P69" s="1"/>
      <c r="Q69" s="1"/>
      <c r="R69" s="1"/>
      <c r="S69" s="1"/>
      <c r="T69" s="1"/>
      <c r="U69" s="1"/>
      <c r="V69" s="1"/>
      <c r="W69" s="1"/>
      <c r="X69" s="1"/>
      <c r="Y69" s="1"/>
    </row>
    <row r="70" spans="1:25" s="8" customFormat="1">
      <c r="A70" s="1"/>
      <c r="B70" s="125"/>
      <c r="C70" s="126"/>
      <c r="D70" s="127"/>
      <c r="E70" s="719"/>
      <c r="F70" s="1107"/>
      <c r="G70" s="731"/>
      <c r="I70" s="1"/>
      <c r="J70" s="1"/>
      <c r="K70" s="1"/>
      <c r="L70" s="1"/>
      <c r="M70" s="1"/>
      <c r="N70" s="1"/>
      <c r="O70" s="1"/>
      <c r="P70" s="1"/>
      <c r="Q70" s="1"/>
      <c r="R70" s="1"/>
      <c r="S70" s="1"/>
      <c r="T70" s="1"/>
      <c r="U70" s="1"/>
      <c r="V70" s="1"/>
      <c r="W70" s="1"/>
      <c r="X70" s="1"/>
      <c r="Y70" s="1"/>
    </row>
    <row r="71" spans="1:25" s="8" customFormat="1" ht="20.25">
      <c r="A71" s="1"/>
      <c r="B71" s="186" t="s">
        <v>47</v>
      </c>
      <c r="C71" s="187" t="s">
        <v>48</v>
      </c>
      <c r="D71" s="165"/>
      <c r="E71" s="134"/>
      <c r="F71" s="135"/>
      <c r="G71" s="136"/>
      <c r="I71" s="1"/>
      <c r="J71" s="1"/>
      <c r="K71" s="1"/>
      <c r="L71" s="1"/>
      <c r="M71" s="1"/>
      <c r="N71" s="1"/>
      <c r="O71" s="1"/>
      <c r="P71" s="1"/>
      <c r="Q71" s="1"/>
      <c r="R71" s="1"/>
      <c r="S71" s="1"/>
      <c r="T71" s="1"/>
      <c r="U71" s="1"/>
      <c r="V71" s="1"/>
      <c r="W71" s="1"/>
      <c r="X71" s="1"/>
      <c r="Y71" s="1"/>
    </row>
    <row r="72" spans="1:25" s="8" customFormat="1">
      <c r="A72" s="1"/>
      <c r="B72" s="1108" t="s">
        <v>38</v>
      </c>
      <c r="C72" s="1109"/>
      <c r="D72" s="1110"/>
      <c r="E72" s="1109"/>
      <c r="F72" s="1109"/>
      <c r="G72" s="1110"/>
      <c r="I72" s="1"/>
      <c r="J72" s="1"/>
      <c r="K72" s="1"/>
      <c r="L72" s="1"/>
      <c r="M72" s="1"/>
      <c r="N72" s="1"/>
      <c r="O72" s="1"/>
      <c r="P72" s="1"/>
      <c r="Q72" s="1"/>
      <c r="R72" s="1"/>
      <c r="S72" s="1"/>
      <c r="T72" s="1"/>
      <c r="U72" s="1"/>
      <c r="V72" s="1"/>
      <c r="W72" s="1"/>
      <c r="X72" s="1"/>
      <c r="Y72" s="1"/>
    </row>
    <row r="73" spans="1:25" s="8" customFormat="1">
      <c r="A73" s="1"/>
      <c r="B73" s="1111" t="s">
        <v>39</v>
      </c>
      <c r="C73" s="1112"/>
      <c r="D73" s="1112"/>
      <c r="E73" s="1112"/>
      <c r="F73" s="1112"/>
      <c r="G73" s="1113"/>
      <c r="I73" s="1"/>
      <c r="J73" s="1"/>
      <c r="K73" s="1"/>
      <c r="L73" s="1"/>
      <c r="M73" s="1"/>
      <c r="N73" s="1"/>
      <c r="O73" s="1"/>
      <c r="P73" s="1"/>
      <c r="Q73" s="1"/>
      <c r="R73" s="1"/>
      <c r="S73" s="1"/>
      <c r="T73" s="1"/>
      <c r="U73" s="1"/>
      <c r="V73" s="1"/>
      <c r="W73" s="1"/>
      <c r="X73" s="1"/>
      <c r="Y73" s="1"/>
    </row>
    <row r="74" spans="1:25" s="8" customFormat="1">
      <c r="A74" s="1"/>
      <c r="B74" s="1108" t="s">
        <v>4</v>
      </c>
      <c r="C74" s="1109"/>
      <c r="D74" s="1114"/>
      <c r="E74" s="1109"/>
      <c r="F74" s="1109"/>
      <c r="G74" s="1110"/>
      <c r="I74" s="1"/>
      <c r="J74" s="1"/>
      <c r="K74" s="1"/>
      <c r="L74" s="1"/>
      <c r="M74" s="1"/>
      <c r="N74" s="1"/>
      <c r="O74" s="1"/>
      <c r="P74" s="1"/>
      <c r="Q74" s="1"/>
      <c r="R74" s="1"/>
      <c r="S74" s="1"/>
      <c r="T74" s="1"/>
      <c r="U74" s="1"/>
      <c r="V74" s="1"/>
      <c r="W74" s="1"/>
      <c r="X74" s="1"/>
      <c r="Y74" s="1"/>
    </row>
    <row r="75" spans="1:25" s="8" customFormat="1">
      <c r="A75" s="1"/>
      <c r="B75" s="1111" t="s">
        <v>5</v>
      </c>
      <c r="C75" s="1112"/>
      <c r="D75" s="1112"/>
      <c r="E75" s="1112"/>
      <c r="F75" s="1112"/>
      <c r="G75" s="1113"/>
      <c r="I75" s="1"/>
      <c r="J75" s="1"/>
      <c r="K75" s="1"/>
      <c r="L75" s="1"/>
      <c r="M75" s="1"/>
      <c r="N75" s="1"/>
      <c r="O75" s="1"/>
      <c r="P75" s="1"/>
      <c r="Q75" s="1"/>
      <c r="R75" s="1"/>
      <c r="S75" s="1"/>
      <c r="T75" s="1"/>
      <c r="U75" s="1"/>
      <c r="V75" s="1"/>
      <c r="W75" s="1"/>
      <c r="X75" s="1"/>
      <c r="Y75" s="1"/>
    </row>
    <row r="76" spans="1:25" s="8" customFormat="1">
      <c r="A76" s="1"/>
      <c r="B76" s="2399" t="s">
        <v>271</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104</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2399" t="s">
        <v>105</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1115"/>
      <c r="C79" s="1116"/>
      <c r="D79" s="1116"/>
      <c r="E79" s="1116"/>
      <c r="F79" s="1116"/>
      <c r="G79" s="1117"/>
      <c r="I79" s="1"/>
      <c r="J79" s="1"/>
      <c r="K79" s="1"/>
      <c r="L79" s="1"/>
      <c r="M79" s="1"/>
      <c r="N79" s="1"/>
      <c r="O79" s="1"/>
      <c r="P79" s="1"/>
      <c r="Q79" s="1"/>
      <c r="R79" s="1"/>
      <c r="S79" s="1"/>
      <c r="T79" s="1"/>
      <c r="U79" s="1"/>
      <c r="V79" s="1"/>
      <c r="W79" s="1"/>
      <c r="X79" s="1"/>
      <c r="Y79" s="1"/>
    </row>
    <row r="80" spans="1:25" ht="24">
      <c r="B80" s="188">
        <v>1</v>
      </c>
      <c r="C80" s="189" t="s">
        <v>106</v>
      </c>
      <c r="D80" s="190"/>
      <c r="E80" s="719"/>
      <c r="F80" s="1107"/>
      <c r="G80" s="731"/>
    </row>
    <row r="81" spans="2:7">
      <c r="B81" s="191"/>
      <c r="C81" s="192" t="s">
        <v>107</v>
      </c>
      <c r="D81" s="190" t="s">
        <v>57</v>
      </c>
      <c r="E81" s="719">
        <f>841*0.9</f>
        <v>756.9</v>
      </c>
      <c r="F81" s="1092">
        <v>0</v>
      </c>
      <c r="G81" s="1093">
        <f t="shared" ref="G81:G91" si="3">E81*F81</f>
        <v>0</v>
      </c>
    </row>
    <row r="82" spans="2:7" ht="24">
      <c r="B82" s="191"/>
      <c r="C82" s="192" t="s">
        <v>884</v>
      </c>
      <c r="D82" s="190" t="s">
        <v>57</v>
      </c>
      <c r="E82" s="719">
        <f>841*0.1</f>
        <v>84.100000000000009</v>
      </c>
      <c r="F82" s="1092">
        <v>0</v>
      </c>
      <c r="G82" s="1093">
        <f t="shared" si="3"/>
        <v>0</v>
      </c>
    </row>
    <row r="83" spans="2:7">
      <c r="B83" s="191"/>
      <c r="C83" s="192" t="s">
        <v>226</v>
      </c>
      <c r="D83" s="190" t="s">
        <v>57</v>
      </c>
      <c r="E83" s="719">
        <f>45*0.9</f>
        <v>40.5</v>
      </c>
      <c r="F83" s="1092">
        <v>0</v>
      </c>
      <c r="G83" s="1093">
        <f t="shared" si="3"/>
        <v>0</v>
      </c>
    </row>
    <row r="84" spans="2:7" ht="24">
      <c r="B84" s="191"/>
      <c r="C84" s="192" t="s">
        <v>227</v>
      </c>
      <c r="D84" s="190" t="s">
        <v>57</v>
      </c>
      <c r="E84" s="719">
        <f>45*0.1</f>
        <v>4.5</v>
      </c>
      <c r="F84" s="1092">
        <v>0</v>
      </c>
      <c r="G84" s="1093">
        <f t="shared" si="3"/>
        <v>0</v>
      </c>
    </row>
    <row r="85" spans="2:7">
      <c r="B85" s="191"/>
      <c r="C85" s="192" t="s">
        <v>109</v>
      </c>
      <c r="D85" s="190" t="s">
        <v>57</v>
      </c>
      <c r="E85" s="719">
        <f>272*0.9</f>
        <v>244.8</v>
      </c>
      <c r="F85" s="1092">
        <v>0</v>
      </c>
      <c r="G85" s="1093">
        <f t="shared" si="3"/>
        <v>0</v>
      </c>
    </row>
    <row r="86" spans="2:7" ht="24">
      <c r="B86" s="191"/>
      <c r="C86" s="192" t="s">
        <v>110</v>
      </c>
      <c r="D86" s="190" t="s">
        <v>57</v>
      </c>
      <c r="E86" s="719">
        <f>324*0.1</f>
        <v>32.4</v>
      </c>
      <c r="F86" s="1092">
        <v>0</v>
      </c>
      <c r="G86" s="1093">
        <f t="shared" si="3"/>
        <v>0</v>
      </c>
    </row>
    <row r="87" spans="2:7" ht="36">
      <c r="B87" s="1152" t="s">
        <v>111</v>
      </c>
      <c r="C87" s="193" t="s">
        <v>112</v>
      </c>
      <c r="D87" s="194"/>
      <c r="E87" s="719"/>
      <c r="F87" s="1092"/>
      <c r="G87" s="1093"/>
    </row>
    <row r="88" spans="2:7">
      <c r="B88" s="1153"/>
      <c r="C88" s="195" t="s">
        <v>113</v>
      </c>
      <c r="D88" s="194" t="s">
        <v>57</v>
      </c>
      <c r="E88" s="719">
        <v>130</v>
      </c>
      <c r="F88" s="1092">
        <v>0</v>
      </c>
      <c r="G88" s="1093">
        <f>E88*F88</f>
        <v>0</v>
      </c>
    </row>
    <row r="89" spans="2:7">
      <c r="B89" s="1153"/>
      <c r="C89" s="195" t="s">
        <v>274</v>
      </c>
      <c r="D89" s="194" t="s">
        <v>57</v>
      </c>
      <c r="E89" s="719">
        <v>7</v>
      </c>
      <c r="F89" s="1092">
        <v>0</v>
      </c>
      <c r="G89" s="1093">
        <f>E89*F89</f>
        <v>0</v>
      </c>
    </row>
    <row r="90" spans="2:7">
      <c r="B90" s="1154"/>
      <c r="C90" s="195" t="s">
        <v>275</v>
      </c>
      <c r="D90" s="194" t="s">
        <v>57</v>
      </c>
      <c r="E90" s="719">
        <v>41</v>
      </c>
      <c r="F90" s="1092">
        <v>0</v>
      </c>
      <c r="G90" s="1093">
        <f>E90*F90</f>
        <v>0</v>
      </c>
    </row>
    <row r="91" spans="2:7" ht="48">
      <c r="B91" s="196">
        <v>2</v>
      </c>
      <c r="C91" s="197" t="s">
        <v>114</v>
      </c>
      <c r="D91" s="145" t="s">
        <v>57</v>
      </c>
      <c r="E91" s="732">
        <f>SUM(E81:E86)</f>
        <v>1163.2</v>
      </c>
      <c r="F91" s="1092">
        <v>0</v>
      </c>
      <c r="G91" s="1093">
        <f t="shared" si="3"/>
        <v>0</v>
      </c>
    </row>
    <row r="92" spans="2:7" ht="36">
      <c r="B92" s="199" t="s">
        <v>115</v>
      </c>
      <c r="C92" s="197" t="s">
        <v>116</v>
      </c>
      <c r="D92" s="145" t="s">
        <v>57</v>
      </c>
      <c r="E92" s="732">
        <f>E91</f>
        <v>1163.2</v>
      </c>
      <c r="F92" s="1092">
        <v>0</v>
      </c>
      <c r="G92" s="1093">
        <f>E92*F92</f>
        <v>0</v>
      </c>
    </row>
    <row r="93" spans="2:7" ht="24">
      <c r="B93" s="199" t="s">
        <v>117</v>
      </c>
      <c r="C93" s="197" t="s">
        <v>118</v>
      </c>
      <c r="D93" s="145" t="s">
        <v>57</v>
      </c>
      <c r="E93" s="732">
        <f>E91</f>
        <v>1163.2</v>
      </c>
      <c r="F93" s="1092">
        <v>0</v>
      </c>
      <c r="G93" s="1093">
        <f>E93*F93</f>
        <v>0</v>
      </c>
    </row>
    <row r="94" spans="2:7" ht="36">
      <c r="B94" s="199" t="s">
        <v>119</v>
      </c>
      <c r="C94" s="197" t="s">
        <v>120</v>
      </c>
      <c r="D94" s="145" t="s">
        <v>57</v>
      </c>
      <c r="E94" s="732">
        <f>E91</f>
        <v>1163.2</v>
      </c>
      <c r="F94" s="1092">
        <v>0</v>
      </c>
      <c r="G94" s="1093">
        <f>E94*F94</f>
        <v>0</v>
      </c>
    </row>
    <row r="95" spans="2:7" ht="24">
      <c r="B95" s="188">
        <v>3</v>
      </c>
      <c r="C95" s="200" t="s">
        <v>121</v>
      </c>
      <c r="D95" s="127"/>
      <c r="E95" s="719"/>
      <c r="F95" s="719"/>
      <c r="G95" s="731"/>
    </row>
    <row r="96" spans="2:7">
      <c r="B96" s="201" t="s">
        <v>122</v>
      </c>
      <c r="C96" s="202" t="s">
        <v>123</v>
      </c>
      <c r="D96" s="203"/>
      <c r="E96" s="204"/>
      <c r="F96" s="205"/>
      <c r="G96" s="206"/>
    </row>
    <row r="97" spans="2:7">
      <c r="B97" s="125"/>
      <c r="C97" s="202" t="s">
        <v>1437</v>
      </c>
      <c r="D97" s="203"/>
      <c r="E97" s="204"/>
      <c r="F97" s="205"/>
      <c r="G97" s="206"/>
    </row>
    <row r="98" spans="2:7">
      <c r="B98" s="207"/>
      <c r="C98" s="208" t="s">
        <v>199</v>
      </c>
      <c r="D98" s="209" t="s">
        <v>66</v>
      </c>
      <c r="E98" s="204">
        <v>3</v>
      </c>
      <c r="F98" s="210">
        <v>0</v>
      </c>
      <c r="G98" s="211">
        <f>E98*F98</f>
        <v>0</v>
      </c>
    </row>
    <row r="99" spans="2:7">
      <c r="B99" s="201" t="s">
        <v>126</v>
      </c>
      <c r="C99" s="212" t="s">
        <v>127</v>
      </c>
      <c r="D99" s="213"/>
      <c r="E99" s="214"/>
      <c r="F99" s="215">
        <v>0</v>
      </c>
      <c r="G99" s="216"/>
    </row>
    <row r="100" spans="2:7">
      <c r="B100" s="218"/>
      <c r="C100" s="212" t="s">
        <v>128</v>
      </c>
      <c r="D100" s="735"/>
      <c r="E100" s="736"/>
      <c r="F100" s="1601"/>
      <c r="G100" s="1121"/>
    </row>
    <row r="101" spans="2:7">
      <c r="B101" s="218"/>
      <c r="C101" s="219" t="s">
        <v>129</v>
      </c>
      <c r="D101" s="213" t="s">
        <v>66</v>
      </c>
      <c r="E101" s="214">
        <v>2</v>
      </c>
      <c r="F101" s="1599">
        <v>0</v>
      </c>
      <c r="G101" s="221">
        <f t="shared" ref="G101:G119" si="4">E101*F101</f>
        <v>0</v>
      </c>
    </row>
    <row r="102" spans="2:7" ht="36">
      <c r="B102" s="218"/>
      <c r="C102" s="222" t="s">
        <v>130</v>
      </c>
      <c r="D102" s="213" t="s">
        <v>66</v>
      </c>
      <c r="E102" s="214">
        <v>2</v>
      </c>
      <c r="F102" s="1599">
        <v>0</v>
      </c>
      <c r="G102" s="221">
        <f t="shared" si="4"/>
        <v>0</v>
      </c>
    </row>
    <row r="103" spans="2:7">
      <c r="B103" s="218"/>
      <c r="C103" s="222" t="s">
        <v>183</v>
      </c>
      <c r="D103" s="213" t="s">
        <v>66</v>
      </c>
      <c r="E103" s="214">
        <v>2</v>
      </c>
      <c r="F103" s="1599">
        <v>0</v>
      </c>
      <c r="G103" s="221">
        <f t="shared" si="4"/>
        <v>0</v>
      </c>
    </row>
    <row r="104" spans="2:7">
      <c r="B104" s="218"/>
      <c r="C104" s="222" t="s">
        <v>131</v>
      </c>
      <c r="D104" s="213" t="s">
        <v>66</v>
      </c>
      <c r="E104" s="214">
        <v>2</v>
      </c>
      <c r="F104" s="1599">
        <v>0</v>
      </c>
      <c r="G104" s="221">
        <f t="shared" si="4"/>
        <v>0</v>
      </c>
    </row>
    <row r="105" spans="2:7">
      <c r="B105" s="218"/>
      <c r="C105" s="222" t="s">
        <v>132</v>
      </c>
      <c r="D105" s="213" t="s">
        <v>66</v>
      </c>
      <c r="E105" s="214">
        <v>4</v>
      </c>
      <c r="F105" s="1599">
        <v>0</v>
      </c>
      <c r="G105" s="221">
        <f t="shared" si="4"/>
        <v>0</v>
      </c>
    </row>
    <row r="106" spans="2:7">
      <c r="B106" s="218"/>
      <c r="C106" s="222" t="s">
        <v>133</v>
      </c>
      <c r="D106" s="213" t="s">
        <v>66</v>
      </c>
      <c r="E106" s="214">
        <v>4</v>
      </c>
      <c r="F106" s="1599">
        <v>0</v>
      </c>
      <c r="G106" s="221">
        <f t="shared" si="4"/>
        <v>0</v>
      </c>
    </row>
    <row r="107" spans="2:7">
      <c r="B107" s="218"/>
      <c r="C107" s="222" t="s">
        <v>134</v>
      </c>
      <c r="D107" s="213" t="s">
        <v>66</v>
      </c>
      <c r="E107" s="214">
        <v>2</v>
      </c>
      <c r="F107" s="1599">
        <v>0</v>
      </c>
      <c r="G107" s="221">
        <f t="shared" si="4"/>
        <v>0</v>
      </c>
    </row>
    <row r="108" spans="2:7">
      <c r="B108" s="218"/>
      <c r="C108" s="222" t="s">
        <v>135</v>
      </c>
      <c r="D108" s="213" t="s">
        <v>66</v>
      </c>
      <c r="E108" s="214">
        <v>2</v>
      </c>
      <c r="F108" s="1599">
        <v>0</v>
      </c>
      <c r="G108" s="221">
        <f t="shared" si="4"/>
        <v>0</v>
      </c>
    </row>
    <row r="109" spans="2:7">
      <c r="B109" s="218"/>
      <c r="C109" s="212" t="s">
        <v>318</v>
      </c>
      <c r="D109" s="735"/>
      <c r="E109" s="736"/>
      <c r="F109" s="1599"/>
      <c r="G109" s="221"/>
    </row>
    <row r="110" spans="2:7">
      <c r="B110" s="218"/>
      <c r="C110" s="219" t="s">
        <v>319</v>
      </c>
      <c r="D110" s="213" t="s">
        <v>66</v>
      </c>
      <c r="E110" s="214">
        <v>1</v>
      </c>
      <c r="F110" s="1599">
        <v>0</v>
      </c>
      <c r="G110" s="221">
        <f t="shared" si="4"/>
        <v>0</v>
      </c>
    </row>
    <row r="111" spans="2:7" ht="36">
      <c r="B111" s="218"/>
      <c r="C111" s="222" t="s">
        <v>283</v>
      </c>
      <c r="D111" s="213" t="s">
        <v>66</v>
      </c>
      <c r="E111" s="214">
        <v>1</v>
      </c>
      <c r="F111" s="1599">
        <v>0</v>
      </c>
      <c r="G111" s="221">
        <f t="shared" si="4"/>
        <v>0</v>
      </c>
    </row>
    <row r="112" spans="2:7">
      <c r="B112" s="218"/>
      <c r="C112" s="222" t="s">
        <v>183</v>
      </c>
      <c r="D112" s="213" t="s">
        <v>66</v>
      </c>
      <c r="E112" s="214">
        <v>1</v>
      </c>
      <c r="F112" s="1599">
        <v>0</v>
      </c>
      <c r="G112" s="221">
        <f t="shared" si="4"/>
        <v>0</v>
      </c>
    </row>
    <row r="113" spans="2:7">
      <c r="B113" s="218"/>
      <c r="C113" s="222" t="s">
        <v>131</v>
      </c>
      <c r="D113" s="213" t="s">
        <v>66</v>
      </c>
      <c r="E113" s="214">
        <v>1</v>
      </c>
      <c r="F113" s="1599">
        <v>0</v>
      </c>
      <c r="G113" s="221">
        <f t="shared" si="4"/>
        <v>0</v>
      </c>
    </row>
    <row r="114" spans="2:7">
      <c r="B114" s="218"/>
      <c r="C114" s="1133" t="s">
        <v>166</v>
      </c>
      <c r="D114" s="213" t="s">
        <v>66</v>
      </c>
      <c r="E114" s="214">
        <v>2</v>
      </c>
      <c r="F114" s="1599">
        <v>0</v>
      </c>
      <c r="G114" s="221">
        <f t="shared" si="4"/>
        <v>0</v>
      </c>
    </row>
    <row r="115" spans="2:7">
      <c r="B115" s="218"/>
      <c r="C115" s="1133" t="s">
        <v>167</v>
      </c>
      <c r="D115" s="213" t="s">
        <v>66</v>
      </c>
      <c r="E115" s="214">
        <v>2</v>
      </c>
      <c r="F115" s="1599">
        <v>0</v>
      </c>
      <c r="G115" s="221">
        <f t="shared" si="4"/>
        <v>0</v>
      </c>
    </row>
    <row r="116" spans="2:7">
      <c r="B116" s="218"/>
      <c r="C116" s="1133" t="s">
        <v>229</v>
      </c>
      <c r="D116" s="213" t="s">
        <v>66</v>
      </c>
      <c r="E116" s="214">
        <v>2</v>
      </c>
      <c r="F116" s="1599">
        <v>0</v>
      </c>
      <c r="G116" s="221">
        <f t="shared" si="4"/>
        <v>0</v>
      </c>
    </row>
    <row r="117" spans="2:7">
      <c r="B117" s="218"/>
      <c r="C117" s="1133" t="s">
        <v>230</v>
      </c>
      <c r="D117" s="213" t="s">
        <v>66</v>
      </c>
      <c r="E117" s="214">
        <v>2</v>
      </c>
      <c r="F117" s="1599">
        <v>0</v>
      </c>
      <c r="G117" s="221">
        <f t="shared" si="4"/>
        <v>0</v>
      </c>
    </row>
    <row r="118" spans="2:7">
      <c r="B118" s="218"/>
      <c r="C118" s="1133" t="s">
        <v>134</v>
      </c>
      <c r="D118" s="213" t="s">
        <v>66</v>
      </c>
      <c r="E118" s="214">
        <v>1</v>
      </c>
      <c r="F118" s="1599">
        <v>0</v>
      </c>
      <c r="G118" s="221">
        <f t="shared" si="4"/>
        <v>0</v>
      </c>
    </row>
    <row r="119" spans="2:7">
      <c r="B119" s="218"/>
      <c r="C119" s="1134" t="s">
        <v>135</v>
      </c>
      <c r="D119" s="213" t="s">
        <v>66</v>
      </c>
      <c r="E119" s="214">
        <v>1</v>
      </c>
      <c r="F119" s="1599">
        <v>0</v>
      </c>
      <c r="G119" s="221">
        <f t="shared" si="4"/>
        <v>0</v>
      </c>
    </row>
    <row r="120" spans="2:7">
      <c r="B120" s="201" t="s">
        <v>136</v>
      </c>
      <c r="C120" s="238" t="s">
        <v>320</v>
      </c>
      <c r="D120" s="239"/>
      <c r="E120" s="240"/>
      <c r="F120" s="241"/>
      <c r="G120" s="242"/>
    </row>
    <row r="121" spans="2:7">
      <c r="B121" s="218"/>
      <c r="C121" s="238" t="s">
        <v>326</v>
      </c>
      <c r="D121" s="153"/>
      <c r="E121" s="741"/>
      <c r="F121" s="1611"/>
      <c r="G121" s="263"/>
    </row>
    <row r="122" spans="2:7" ht="36">
      <c r="B122" s="218"/>
      <c r="C122" s="1123" t="s">
        <v>322</v>
      </c>
      <c r="D122" s="239" t="s">
        <v>66</v>
      </c>
      <c r="E122" s="240">
        <v>1</v>
      </c>
      <c r="F122" s="1609">
        <v>0</v>
      </c>
      <c r="G122" s="245">
        <f t="shared" ref="G122:G124" si="5">E122*F122</f>
        <v>0</v>
      </c>
    </row>
    <row r="123" spans="2:7">
      <c r="B123" s="218"/>
      <c r="C123" s="246" t="s">
        <v>325</v>
      </c>
      <c r="D123" s="239" t="s">
        <v>66</v>
      </c>
      <c r="E123" s="240">
        <v>1</v>
      </c>
      <c r="F123" s="1609">
        <v>0</v>
      </c>
      <c r="G123" s="245">
        <f t="shared" si="5"/>
        <v>0</v>
      </c>
    </row>
    <row r="124" spans="2:7">
      <c r="B124" s="218"/>
      <c r="C124" s="247" t="s">
        <v>135</v>
      </c>
      <c r="D124" s="239" t="s">
        <v>66</v>
      </c>
      <c r="E124" s="240">
        <v>1</v>
      </c>
      <c r="F124" s="1609">
        <v>0</v>
      </c>
      <c r="G124" s="245">
        <f t="shared" si="5"/>
        <v>0</v>
      </c>
    </row>
    <row r="125" spans="2:7">
      <c r="B125" s="201" t="s">
        <v>151</v>
      </c>
      <c r="C125" s="223" t="s">
        <v>137</v>
      </c>
      <c r="D125" s="224"/>
      <c r="E125" s="225"/>
      <c r="F125" s="226"/>
      <c r="G125" s="227"/>
    </row>
    <row r="126" spans="2:7">
      <c r="B126" s="218"/>
      <c r="C126" s="223" t="s">
        <v>138</v>
      </c>
      <c r="D126" s="737"/>
      <c r="E126" s="738"/>
      <c r="F126" s="1605"/>
      <c r="G126" s="1125"/>
    </row>
    <row r="127" spans="2:7">
      <c r="B127" s="218"/>
      <c r="C127" s="228" t="s">
        <v>129</v>
      </c>
      <c r="D127" s="224" t="s">
        <v>66</v>
      </c>
      <c r="E127" s="225">
        <v>1</v>
      </c>
      <c r="F127" s="1603">
        <v>0</v>
      </c>
      <c r="G127" s="230">
        <f t="shared" ref="G127:G142" si="6">E127*F127</f>
        <v>0</v>
      </c>
    </row>
    <row r="128" spans="2:7">
      <c r="B128" s="218"/>
      <c r="C128" s="228" t="s">
        <v>139</v>
      </c>
      <c r="D128" s="224" t="s">
        <v>66</v>
      </c>
      <c r="E128" s="225">
        <v>2</v>
      </c>
      <c r="F128" s="1603">
        <v>0</v>
      </c>
      <c r="G128" s="230">
        <f t="shared" si="6"/>
        <v>0</v>
      </c>
    </row>
    <row r="129" spans="2:7">
      <c r="B129" s="218"/>
      <c r="C129" s="231" t="s">
        <v>140</v>
      </c>
      <c r="D129" s="224" t="s">
        <v>66</v>
      </c>
      <c r="E129" s="225">
        <v>1</v>
      </c>
      <c r="F129" s="1603">
        <v>0</v>
      </c>
      <c r="G129" s="230">
        <f t="shared" si="6"/>
        <v>0</v>
      </c>
    </row>
    <row r="130" spans="2:7">
      <c r="B130" s="218"/>
      <c r="C130" s="231" t="s">
        <v>141</v>
      </c>
      <c r="D130" s="224" t="s">
        <v>66</v>
      </c>
      <c r="E130" s="225">
        <v>1</v>
      </c>
      <c r="F130" s="1603">
        <v>0</v>
      </c>
      <c r="G130" s="230">
        <f t="shared" si="6"/>
        <v>0</v>
      </c>
    </row>
    <row r="131" spans="2:7">
      <c r="B131" s="218"/>
      <c r="C131" s="231" t="s">
        <v>142</v>
      </c>
      <c r="D131" s="224" t="s">
        <v>66</v>
      </c>
      <c r="E131" s="225">
        <v>1</v>
      </c>
      <c r="F131" s="1603">
        <v>0</v>
      </c>
      <c r="G131" s="230">
        <f t="shared" si="6"/>
        <v>0</v>
      </c>
    </row>
    <row r="132" spans="2:7">
      <c r="B132" s="218"/>
      <c r="C132" s="231" t="s">
        <v>143</v>
      </c>
      <c r="D132" s="224" t="s">
        <v>66</v>
      </c>
      <c r="E132" s="225">
        <v>1</v>
      </c>
      <c r="F132" s="1603">
        <v>0</v>
      </c>
      <c r="G132" s="230">
        <f t="shared" si="6"/>
        <v>0</v>
      </c>
    </row>
    <row r="133" spans="2:7">
      <c r="B133" s="218"/>
      <c r="C133" s="231" t="s">
        <v>2250</v>
      </c>
      <c r="D133" s="224" t="s">
        <v>66</v>
      </c>
      <c r="E133" s="225">
        <v>1</v>
      </c>
      <c r="F133" s="1603">
        <v>0</v>
      </c>
      <c r="G133" s="230">
        <f t="shared" si="6"/>
        <v>0</v>
      </c>
    </row>
    <row r="134" spans="2:7">
      <c r="B134" s="218"/>
      <c r="C134" s="231" t="s">
        <v>145</v>
      </c>
      <c r="D134" s="224" t="s">
        <v>66</v>
      </c>
      <c r="E134" s="225">
        <v>1</v>
      </c>
      <c r="F134" s="1603">
        <v>0</v>
      </c>
      <c r="G134" s="230">
        <f t="shared" si="6"/>
        <v>0</v>
      </c>
    </row>
    <row r="135" spans="2:7">
      <c r="B135" s="218"/>
      <c r="C135" s="231" t="s">
        <v>146</v>
      </c>
      <c r="D135" s="224" t="s">
        <v>66</v>
      </c>
      <c r="E135" s="225">
        <v>1</v>
      </c>
      <c r="F135" s="1603">
        <v>0</v>
      </c>
      <c r="G135" s="230">
        <f t="shared" si="6"/>
        <v>0</v>
      </c>
    </row>
    <row r="136" spans="2:7">
      <c r="B136" s="218"/>
      <c r="C136" s="739" t="s">
        <v>147</v>
      </c>
      <c r="D136" s="224" t="s">
        <v>66</v>
      </c>
      <c r="E136" s="225">
        <v>1</v>
      </c>
      <c r="F136" s="1603">
        <v>0</v>
      </c>
      <c r="G136" s="230">
        <f t="shared" si="6"/>
        <v>0</v>
      </c>
    </row>
    <row r="137" spans="2:7">
      <c r="B137" s="218"/>
      <c r="C137" s="739" t="s">
        <v>188</v>
      </c>
      <c r="D137" s="224" t="s">
        <v>66</v>
      </c>
      <c r="E137" s="225">
        <v>1</v>
      </c>
      <c r="F137" s="1603">
        <v>0</v>
      </c>
      <c r="G137" s="230">
        <f t="shared" si="6"/>
        <v>0</v>
      </c>
    </row>
    <row r="138" spans="2:7">
      <c r="B138" s="218"/>
      <c r="C138" s="739" t="s">
        <v>132</v>
      </c>
      <c r="D138" s="224" t="s">
        <v>66</v>
      </c>
      <c r="E138" s="225">
        <v>2</v>
      </c>
      <c r="F138" s="1603">
        <v>0</v>
      </c>
      <c r="G138" s="230">
        <f t="shared" si="6"/>
        <v>0</v>
      </c>
    </row>
    <row r="139" spans="2:7">
      <c r="B139" s="218"/>
      <c r="C139" s="739" t="s">
        <v>148</v>
      </c>
      <c r="D139" s="224" t="s">
        <v>66</v>
      </c>
      <c r="E139" s="225">
        <v>2</v>
      </c>
      <c r="F139" s="1603">
        <v>0</v>
      </c>
      <c r="G139" s="230">
        <f t="shared" si="6"/>
        <v>0</v>
      </c>
    </row>
    <row r="140" spans="2:7">
      <c r="B140" s="218"/>
      <c r="C140" s="739" t="s">
        <v>149</v>
      </c>
      <c r="D140" s="224" t="s">
        <v>66</v>
      </c>
      <c r="E140" s="225">
        <v>1</v>
      </c>
      <c r="F140" s="1603">
        <v>0</v>
      </c>
      <c r="G140" s="230">
        <f t="shared" si="6"/>
        <v>0</v>
      </c>
    </row>
    <row r="141" spans="2:7">
      <c r="B141" s="218"/>
      <c r="C141" s="739" t="s">
        <v>150</v>
      </c>
      <c r="D141" s="224" t="s">
        <v>66</v>
      </c>
      <c r="E141" s="225">
        <v>3</v>
      </c>
      <c r="F141" s="1603">
        <v>0</v>
      </c>
      <c r="G141" s="230">
        <f t="shared" si="6"/>
        <v>0</v>
      </c>
    </row>
    <row r="142" spans="2:7">
      <c r="B142" s="218"/>
      <c r="C142" s="740" t="s">
        <v>135</v>
      </c>
      <c r="D142" s="224" t="s">
        <v>66</v>
      </c>
      <c r="E142" s="225">
        <v>1</v>
      </c>
      <c r="F142" s="1603">
        <v>0</v>
      </c>
      <c r="G142" s="230">
        <f t="shared" si="6"/>
        <v>0</v>
      </c>
    </row>
    <row r="143" spans="2:7">
      <c r="B143" s="201" t="s">
        <v>159</v>
      </c>
      <c r="C143" s="212" t="s">
        <v>152</v>
      </c>
      <c r="D143" s="213"/>
      <c r="E143" s="214"/>
      <c r="F143" s="215"/>
      <c r="G143" s="216"/>
    </row>
    <row r="144" spans="2:7">
      <c r="B144" s="218"/>
      <c r="C144" s="212" t="s">
        <v>153</v>
      </c>
      <c r="D144" s="735"/>
      <c r="E144" s="736"/>
      <c r="F144" s="1601"/>
      <c r="G144" s="1121"/>
    </row>
    <row r="145" spans="2:7">
      <c r="B145" s="218"/>
      <c r="C145" s="219" t="s">
        <v>129</v>
      </c>
      <c r="D145" s="213" t="s">
        <v>66</v>
      </c>
      <c r="E145" s="214">
        <v>5</v>
      </c>
      <c r="F145" s="1599">
        <v>0</v>
      </c>
      <c r="G145" s="221">
        <f t="shared" ref="G145:G155" si="7">E145*F145</f>
        <v>0</v>
      </c>
    </row>
    <row r="146" spans="2:7" ht="24">
      <c r="B146" s="218"/>
      <c r="C146" s="222" t="s">
        <v>154</v>
      </c>
      <c r="D146" s="213" t="s">
        <v>66</v>
      </c>
      <c r="E146" s="214">
        <v>5</v>
      </c>
      <c r="F146" s="1599">
        <v>0</v>
      </c>
      <c r="G146" s="221">
        <f t="shared" si="7"/>
        <v>0</v>
      </c>
    </row>
    <row r="147" spans="2:7">
      <c r="B147" s="218"/>
      <c r="C147" s="222" t="s">
        <v>155</v>
      </c>
      <c r="D147" s="213" t="s">
        <v>66</v>
      </c>
      <c r="E147" s="214">
        <v>5</v>
      </c>
      <c r="F147" s="1599">
        <v>0</v>
      </c>
      <c r="G147" s="221">
        <f t="shared" si="7"/>
        <v>0</v>
      </c>
    </row>
    <row r="148" spans="2:7">
      <c r="B148" s="218"/>
      <c r="C148" s="222" t="s">
        <v>330</v>
      </c>
      <c r="D148" s="213" t="s">
        <v>66</v>
      </c>
      <c r="E148" s="214">
        <v>5</v>
      </c>
      <c r="F148" s="1599">
        <v>0</v>
      </c>
      <c r="G148" s="221">
        <f t="shared" si="7"/>
        <v>0</v>
      </c>
    </row>
    <row r="149" spans="2:7">
      <c r="B149" s="218"/>
      <c r="C149" s="222" t="s">
        <v>157</v>
      </c>
      <c r="D149" s="213" t="s">
        <v>66</v>
      </c>
      <c r="E149" s="214">
        <v>5</v>
      </c>
      <c r="F149" s="1599">
        <v>0</v>
      </c>
      <c r="G149" s="221">
        <f t="shared" si="7"/>
        <v>0</v>
      </c>
    </row>
    <row r="150" spans="2:7">
      <c r="B150" s="218"/>
      <c r="C150" s="234" t="s">
        <v>158</v>
      </c>
      <c r="D150" s="213" t="s">
        <v>66</v>
      </c>
      <c r="E150" s="214">
        <v>5</v>
      </c>
      <c r="F150" s="1599">
        <v>0</v>
      </c>
      <c r="G150" s="221">
        <f t="shared" si="7"/>
        <v>0</v>
      </c>
    </row>
    <row r="151" spans="2:7">
      <c r="B151" s="218"/>
      <c r="C151" s="234" t="s">
        <v>190</v>
      </c>
      <c r="D151" s="213" t="s">
        <v>66</v>
      </c>
      <c r="E151" s="214">
        <v>5</v>
      </c>
      <c r="F151" s="1599">
        <v>0</v>
      </c>
      <c r="G151" s="221">
        <f t="shared" si="7"/>
        <v>0</v>
      </c>
    </row>
    <row r="152" spans="2:7">
      <c r="B152" s="218"/>
      <c r="C152" s="234" t="s">
        <v>132</v>
      </c>
      <c r="D152" s="213" t="s">
        <v>66</v>
      </c>
      <c r="E152" s="214">
        <v>10</v>
      </c>
      <c r="F152" s="1599">
        <v>0</v>
      </c>
      <c r="G152" s="221">
        <f t="shared" si="7"/>
        <v>0</v>
      </c>
    </row>
    <row r="153" spans="2:7">
      <c r="B153" s="218"/>
      <c r="C153" s="234" t="s">
        <v>148</v>
      </c>
      <c r="D153" s="213" t="s">
        <v>66</v>
      </c>
      <c r="E153" s="214">
        <v>10</v>
      </c>
      <c r="F153" s="1599">
        <v>0</v>
      </c>
      <c r="G153" s="221">
        <f t="shared" si="7"/>
        <v>0</v>
      </c>
    </row>
    <row r="154" spans="2:7">
      <c r="B154" s="218"/>
      <c r="C154" s="234" t="s">
        <v>150</v>
      </c>
      <c r="D154" s="213" t="s">
        <v>66</v>
      </c>
      <c r="E154" s="214">
        <v>5</v>
      </c>
      <c r="F154" s="1599">
        <v>0</v>
      </c>
      <c r="G154" s="221">
        <f t="shared" si="7"/>
        <v>0</v>
      </c>
    </row>
    <row r="155" spans="2:7">
      <c r="B155" s="218"/>
      <c r="C155" s="235" t="s">
        <v>135</v>
      </c>
      <c r="D155" s="213" t="s">
        <v>66</v>
      </c>
      <c r="E155" s="214">
        <v>5</v>
      </c>
      <c r="F155" s="1599">
        <v>0</v>
      </c>
      <c r="G155" s="221">
        <f t="shared" si="7"/>
        <v>0</v>
      </c>
    </row>
    <row r="156" spans="2:7" ht="24">
      <c r="B156" s="199" t="s">
        <v>331</v>
      </c>
      <c r="C156" s="212" t="s">
        <v>332</v>
      </c>
      <c r="D156" s="735" t="s">
        <v>66</v>
      </c>
      <c r="E156" s="736">
        <v>5</v>
      </c>
      <c r="F156" s="1126">
        <v>0</v>
      </c>
      <c r="G156" s="1121">
        <f>E156*F156</f>
        <v>0</v>
      </c>
    </row>
    <row r="157" spans="2:7">
      <c r="B157" s="201" t="s">
        <v>168</v>
      </c>
      <c r="C157" s="223" t="s">
        <v>886</v>
      </c>
      <c r="D157" s="224"/>
      <c r="E157" s="225"/>
      <c r="F157" s="226"/>
      <c r="G157" s="227"/>
    </row>
    <row r="158" spans="2:7">
      <c r="B158" s="218"/>
      <c r="C158" s="223" t="s">
        <v>196</v>
      </c>
      <c r="D158" s="737"/>
      <c r="E158" s="738"/>
      <c r="F158" s="1605"/>
      <c r="G158" s="1128"/>
    </row>
    <row r="159" spans="2:7" ht="24">
      <c r="B159" s="218"/>
      <c r="C159" s="228" t="s">
        <v>2248</v>
      </c>
      <c r="D159" s="224" t="s">
        <v>66</v>
      </c>
      <c r="E159" s="225">
        <v>1</v>
      </c>
      <c r="F159" s="1603">
        <v>0</v>
      </c>
      <c r="G159" s="2229">
        <f t="shared" ref="G159:G173" si="8">E159*F159</f>
        <v>0</v>
      </c>
    </row>
    <row r="160" spans="2:7">
      <c r="B160" s="218"/>
      <c r="C160" s="232" t="s">
        <v>132</v>
      </c>
      <c r="D160" s="224" t="s">
        <v>66</v>
      </c>
      <c r="E160" s="225">
        <v>3</v>
      </c>
      <c r="F160" s="1603">
        <v>0</v>
      </c>
      <c r="G160" s="2229">
        <f t="shared" si="8"/>
        <v>0</v>
      </c>
    </row>
    <row r="161" spans="2:7">
      <c r="B161" s="218"/>
      <c r="C161" s="232" t="s">
        <v>148</v>
      </c>
      <c r="D161" s="224" t="s">
        <v>66</v>
      </c>
      <c r="E161" s="225">
        <v>3</v>
      </c>
      <c r="F161" s="1603">
        <v>0</v>
      </c>
      <c r="G161" s="2229">
        <f t="shared" si="8"/>
        <v>0</v>
      </c>
    </row>
    <row r="162" spans="2:7">
      <c r="B162" s="218"/>
      <c r="C162" s="232" t="s">
        <v>150</v>
      </c>
      <c r="D162" s="224" t="s">
        <v>66</v>
      </c>
      <c r="E162" s="225">
        <v>1</v>
      </c>
      <c r="F162" s="1603">
        <v>0</v>
      </c>
      <c r="G162" s="2229">
        <f t="shared" si="8"/>
        <v>0</v>
      </c>
    </row>
    <row r="163" spans="2:7">
      <c r="B163" s="218"/>
      <c r="C163" s="233" t="s">
        <v>135</v>
      </c>
      <c r="D163" s="224" t="s">
        <v>66</v>
      </c>
      <c r="E163" s="225">
        <v>1</v>
      </c>
      <c r="F163" s="1603">
        <v>0</v>
      </c>
      <c r="G163" s="2229">
        <f t="shared" si="8"/>
        <v>0</v>
      </c>
    </row>
    <row r="164" spans="2:7">
      <c r="B164" s="218"/>
      <c r="C164" s="223" t="s">
        <v>228</v>
      </c>
      <c r="D164" s="737"/>
      <c r="E164" s="738"/>
      <c r="F164" s="1603"/>
      <c r="G164" s="2229"/>
    </row>
    <row r="165" spans="2:7" ht="24">
      <c r="B165" s="218"/>
      <c r="C165" s="228" t="s">
        <v>2247</v>
      </c>
      <c r="D165" s="224" t="s">
        <v>66</v>
      </c>
      <c r="E165" s="225">
        <v>1</v>
      </c>
      <c r="F165" s="1603">
        <v>0</v>
      </c>
      <c r="G165" s="2229">
        <f t="shared" si="8"/>
        <v>0</v>
      </c>
    </row>
    <row r="166" spans="2:7">
      <c r="B166" s="218"/>
      <c r="C166" s="739" t="s">
        <v>132</v>
      </c>
      <c r="D166" s="224" t="s">
        <v>66</v>
      </c>
      <c r="E166" s="225">
        <v>2</v>
      </c>
      <c r="F166" s="1603">
        <v>0</v>
      </c>
      <c r="G166" s="2229">
        <f t="shared" si="8"/>
        <v>0</v>
      </c>
    </row>
    <row r="167" spans="2:7">
      <c r="B167" s="218"/>
      <c r="C167" s="739" t="s">
        <v>166</v>
      </c>
      <c r="D167" s="224" t="s">
        <v>66</v>
      </c>
      <c r="E167" s="225">
        <v>1</v>
      </c>
      <c r="F167" s="1603">
        <v>0</v>
      </c>
      <c r="G167" s="2229">
        <f t="shared" si="8"/>
        <v>0</v>
      </c>
    </row>
    <row r="168" spans="2:7">
      <c r="B168" s="218"/>
      <c r="C168" s="739" t="s">
        <v>148</v>
      </c>
      <c r="D168" s="224" t="s">
        <v>66</v>
      </c>
      <c r="E168" s="225">
        <v>2</v>
      </c>
      <c r="F168" s="1603">
        <v>0</v>
      </c>
      <c r="G168" s="2229">
        <f t="shared" si="8"/>
        <v>0</v>
      </c>
    </row>
    <row r="169" spans="2:7">
      <c r="B169" s="218"/>
      <c r="C169" s="739" t="s">
        <v>167</v>
      </c>
      <c r="D169" s="224" t="s">
        <v>66</v>
      </c>
      <c r="E169" s="225">
        <v>1</v>
      </c>
      <c r="F169" s="1603">
        <v>0</v>
      </c>
      <c r="G169" s="2229">
        <f t="shared" si="8"/>
        <v>0</v>
      </c>
    </row>
    <row r="170" spans="2:7">
      <c r="B170" s="218"/>
      <c r="C170" s="739" t="s">
        <v>229</v>
      </c>
      <c r="D170" s="224" t="s">
        <v>66</v>
      </c>
      <c r="E170" s="225">
        <v>1</v>
      </c>
      <c r="F170" s="1603">
        <v>0</v>
      </c>
      <c r="G170" s="2229">
        <f t="shared" si="8"/>
        <v>0</v>
      </c>
    </row>
    <row r="171" spans="2:7">
      <c r="B171" s="218"/>
      <c r="C171" s="739" t="s">
        <v>230</v>
      </c>
      <c r="D171" s="224" t="s">
        <v>66</v>
      </c>
      <c r="E171" s="225">
        <v>1</v>
      </c>
      <c r="F171" s="1603">
        <v>0</v>
      </c>
      <c r="G171" s="2229">
        <f t="shared" si="8"/>
        <v>0</v>
      </c>
    </row>
    <row r="172" spans="2:7">
      <c r="B172" s="218"/>
      <c r="C172" s="739" t="s">
        <v>150</v>
      </c>
      <c r="D172" s="224" t="s">
        <v>66</v>
      </c>
      <c r="E172" s="225">
        <v>1</v>
      </c>
      <c r="F172" s="1603">
        <v>0</v>
      </c>
      <c r="G172" s="2229">
        <f t="shared" si="8"/>
        <v>0</v>
      </c>
    </row>
    <row r="173" spans="2:7">
      <c r="B173" s="218"/>
      <c r="C173" s="740" t="s">
        <v>135</v>
      </c>
      <c r="D173" s="224" t="s">
        <v>66</v>
      </c>
      <c r="E173" s="225">
        <v>1</v>
      </c>
      <c r="F173" s="1603">
        <v>0</v>
      </c>
      <c r="G173" s="2229">
        <f t="shared" si="8"/>
        <v>0</v>
      </c>
    </row>
    <row r="174" spans="2:7">
      <c r="B174" s="201" t="s">
        <v>172</v>
      </c>
      <c r="C174" s="238" t="s">
        <v>169</v>
      </c>
      <c r="D174" s="239"/>
      <c r="E174" s="240"/>
      <c r="F174" s="241"/>
      <c r="G174" s="242"/>
    </row>
    <row r="175" spans="2:7">
      <c r="B175" s="218"/>
      <c r="C175" s="238" t="s">
        <v>170</v>
      </c>
      <c r="D175" s="153"/>
      <c r="E175" s="741"/>
      <c r="F175" s="1611"/>
      <c r="G175" s="263"/>
    </row>
    <row r="176" spans="2:7" ht="36">
      <c r="B176" s="218"/>
      <c r="C176" s="243" t="s">
        <v>2246</v>
      </c>
      <c r="D176" s="239" t="s">
        <v>66</v>
      </c>
      <c r="E176" s="240">
        <v>51</v>
      </c>
      <c r="F176" s="1609">
        <v>0</v>
      </c>
      <c r="G176" s="245">
        <f t="shared" ref="G176:G183" si="9">E176*F176</f>
        <v>0</v>
      </c>
    </row>
    <row r="177" spans="2:7">
      <c r="B177" s="218"/>
      <c r="C177" s="1129" t="s">
        <v>171</v>
      </c>
      <c r="D177" s="239" t="s">
        <v>66</v>
      </c>
      <c r="E177" s="240">
        <v>51</v>
      </c>
      <c r="F177" s="1609">
        <v>0</v>
      </c>
      <c r="G177" s="245">
        <f t="shared" si="9"/>
        <v>0</v>
      </c>
    </row>
    <row r="178" spans="2:7">
      <c r="B178" s="218"/>
      <c r="C178" s="1130" t="s">
        <v>135</v>
      </c>
      <c r="D178" s="239" t="s">
        <v>66</v>
      </c>
      <c r="E178" s="240">
        <v>51</v>
      </c>
      <c r="F178" s="1609">
        <v>0</v>
      </c>
      <c r="G178" s="245">
        <f t="shared" si="9"/>
        <v>0</v>
      </c>
    </row>
    <row r="179" spans="2:7">
      <c r="B179" s="218"/>
      <c r="C179" s="238" t="s">
        <v>234</v>
      </c>
      <c r="D179" s="153"/>
      <c r="E179" s="741"/>
      <c r="F179" s="1609"/>
      <c r="G179" s="245"/>
    </row>
    <row r="180" spans="2:7" ht="36">
      <c r="B180" s="218"/>
      <c r="C180" s="243" t="s">
        <v>2245</v>
      </c>
      <c r="D180" s="239" t="s">
        <v>66</v>
      </c>
      <c r="E180" s="240">
        <v>3</v>
      </c>
      <c r="F180" s="1609">
        <v>0</v>
      </c>
      <c r="G180" s="245">
        <f t="shared" si="9"/>
        <v>0</v>
      </c>
    </row>
    <row r="181" spans="2:7">
      <c r="B181" s="218"/>
      <c r="C181" s="246" t="s">
        <v>171</v>
      </c>
      <c r="D181" s="239" t="s">
        <v>66</v>
      </c>
      <c r="E181" s="240">
        <v>3</v>
      </c>
      <c r="F181" s="1609">
        <v>0</v>
      </c>
      <c r="G181" s="245">
        <f t="shared" si="9"/>
        <v>0</v>
      </c>
    </row>
    <row r="182" spans="2:7">
      <c r="B182" s="218"/>
      <c r="C182" s="247" t="s">
        <v>135</v>
      </c>
      <c r="D182" s="239" t="s">
        <v>66</v>
      </c>
      <c r="E182" s="240">
        <v>3</v>
      </c>
      <c r="F182" s="1609">
        <v>0</v>
      </c>
      <c r="G182" s="245">
        <f t="shared" si="9"/>
        <v>0</v>
      </c>
    </row>
    <row r="183" spans="2:7">
      <c r="B183" s="218"/>
      <c r="C183" s="247" t="s">
        <v>891</v>
      </c>
      <c r="D183" s="239" t="s">
        <v>66</v>
      </c>
      <c r="E183" s="240">
        <v>3</v>
      </c>
      <c r="F183" s="1609">
        <v>0</v>
      </c>
      <c r="G183" s="245">
        <f t="shared" si="9"/>
        <v>0</v>
      </c>
    </row>
    <row r="184" spans="2:7">
      <c r="B184" s="201" t="s">
        <v>340</v>
      </c>
      <c r="C184" s="742" t="s">
        <v>173</v>
      </c>
      <c r="D184" s="743"/>
      <c r="E184" s="744"/>
      <c r="F184" s="1131"/>
      <c r="G184" s="1132"/>
    </row>
    <row r="185" spans="2:7" ht="72">
      <c r="B185" s="218"/>
      <c r="C185" s="745" t="s">
        <v>174</v>
      </c>
      <c r="D185" s="746" t="s">
        <v>66</v>
      </c>
      <c r="E185" s="747">
        <v>1</v>
      </c>
      <c r="F185" s="1617">
        <v>0</v>
      </c>
      <c r="G185" s="1132">
        <f>E185*F185</f>
        <v>0</v>
      </c>
    </row>
    <row r="186" spans="2:7">
      <c r="B186" s="258" t="s">
        <v>1438</v>
      </c>
      <c r="C186" s="259" t="s">
        <v>1396</v>
      </c>
      <c r="D186" s="260"/>
      <c r="E186" s="261"/>
      <c r="F186" s="262"/>
      <c r="G186" s="263">
        <f>SUM(G81:G185)</f>
        <v>0</v>
      </c>
    </row>
  </sheetData>
  <mergeCells count="5">
    <mergeCell ref="B45:G45"/>
    <mergeCell ref="B53:B54"/>
    <mergeCell ref="B76:G76"/>
    <mergeCell ref="B77:G77"/>
    <mergeCell ref="B78:G7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DAB1-8CD8-4600-BAE2-A0B42C3E1FD2}">
  <sheetPr>
    <tabColor rgb="FF00B0F0"/>
  </sheetPr>
  <dimension ref="A2:Y207"/>
  <sheetViews>
    <sheetView showZeros="0" topLeftCell="A25"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1428</v>
      </c>
      <c r="D4" s="76"/>
      <c r="E4" s="77"/>
      <c r="F4" s="674"/>
      <c r="G4" s="79"/>
      <c r="H4" s="37"/>
    </row>
    <row r="5" spans="1:25" s="73" customFormat="1" ht="12" customHeight="1">
      <c r="B5" s="80"/>
      <c r="C5" s="81"/>
      <c r="D5" s="82"/>
      <c r="E5" s="83"/>
      <c r="F5" s="675"/>
      <c r="G5" s="85"/>
      <c r="H5" s="37"/>
    </row>
    <row r="6" spans="1:25" s="86" customFormat="1" ht="21" customHeight="1">
      <c r="B6" s="676" t="s">
        <v>37</v>
      </c>
      <c r="C6" s="677" t="s">
        <v>1439</v>
      </c>
      <c r="D6" s="678"/>
      <c r="E6" s="679"/>
      <c r="F6" s="680"/>
      <c r="G6" s="681"/>
      <c r="H6" s="27"/>
    </row>
    <row r="7" spans="1:25" s="86" customFormat="1" ht="21" customHeight="1">
      <c r="B7" s="1146"/>
      <c r="C7" s="1147"/>
      <c r="D7" s="1148"/>
      <c r="E7" s="1149"/>
      <c r="F7" s="1150"/>
      <c r="G7" s="1151"/>
      <c r="H7" s="27"/>
    </row>
    <row r="8" spans="1:25" s="86" customFormat="1" ht="14.25">
      <c r="B8" s="682" t="s">
        <v>551</v>
      </c>
      <c r="C8" s="683" t="s">
        <v>1440</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G66</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G207</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843</v>
      </c>
      <c r="F26" s="1082">
        <v>0</v>
      </c>
      <c r="G26" s="1083">
        <f t="shared" ref="G26" si="0">E26*F26</f>
        <v>0</v>
      </c>
    </row>
    <row r="27" spans="2:25">
      <c r="B27" s="125">
        <v>2</v>
      </c>
      <c r="C27" s="144" t="s">
        <v>58</v>
      </c>
      <c r="D27" s="140" t="s">
        <v>57</v>
      </c>
      <c r="E27" s="1081">
        <f>E26</f>
        <v>843</v>
      </c>
      <c r="F27" s="1082">
        <v>0</v>
      </c>
      <c r="G27" s="1083">
        <f>E27*F27</f>
        <v>0</v>
      </c>
    </row>
    <row r="28" spans="2:25" ht="24">
      <c r="B28" s="125">
        <v>3</v>
      </c>
      <c r="C28" s="144" t="s">
        <v>1389</v>
      </c>
      <c r="D28" s="146" t="s">
        <v>60</v>
      </c>
      <c r="E28" s="1081">
        <v>4</v>
      </c>
      <c r="F28" s="1082">
        <v>0</v>
      </c>
      <c r="G28" s="1083">
        <f t="shared" ref="G28:G36" si="1">E28*F28</f>
        <v>0</v>
      </c>
    </row>
    <row r="29" spans="2:25" ht="36">
      <c r="B29" s="125">
        <v>4</v>
      </c>
      <c r="C29" s="1084" t="s">
        <v>63</v>
      </c>
      <c r="D29" s="140" t="s">
        <v>57</v>
      </c>
      <c r="E29" s="1081">
        <f>E26</f>
        <v>843</v>
      </c>
      <c r="F29" s="1082">
        <v>0</v>
      </c>
      <c r="G29" s="1083">
        <f t="shared" si="1"/>
        <v>0</v>
      </c>
    </row>
    <row r="30" spans="2:25" ht="48">
      <c r="B30" s="125">
        <v>5</v>
      </c>
      <c r="C30" s="1084" t="s">
        <v>64</v>
      </c>
      <c r="D30" s="146" t="s">
        <v>60</v>
      </c>
      <c r="E30" s="1081">
        <v>1</v>
      </c>
      <c r="F30" s="1082">
        <v>0</v>
      </c>
      <c r="G30" s="1083">
        <f t="shared" si="1"/>
        <v>0</v>
      </c>
    </row>
    <row r="31" spans="2:25" ht="56.25" customHeight="1">
      <c r="B31" s="125">
        <v>6</v>
      </c>
      <c r="C31" s="1080" t="s">
        <v>2292</v>
      </c>
      <c r="D31" s="146" t="s">
        <v>66</v>
      </c>
      <c r="E31" s="1081">
        <v>37</v>
      </c>
      <c r="F31" s="1082">
        <v>0</v>
      </c>
      <c r="G31" s="1083">
        <f t="shared" si="1"/>
        <v>0</v>
      </c>
    </row>
    <row r="32" spans="2:25" ht="39.75" customHeight="1">
      <c r="B32" s="125">
        <v>7</v>
      </c>
      <c r="C32" s="1080" t="s">
        <v>2295</v>
      </c>
      <c r="D32" s="146" t="s">
        <v>57</v>
      </c>
      <c r="E32" s="1081">
        <f>E26+E84+E85</f>
        <v>1347</v>
      </c>
      <c r="F32" s="1082">
        <v>0</v>
      </c>
      <c r="G32" s="1083">
        <f t="shared" si="1"/>
        <v>0</v>
      </c>
    </row>
    <row r="33" spans="1:25" ht="27.75" customHeight="1">
      <c r="B33" s="125">
        <v>8</v>
      </c>
      <c r="C33" s="1080" t="s">
        <v>2293</v>
      </c>
      <c r="D33" s="146" t="s">
        <v>57</v>
      </c>
      <c r="E33" s="1081">
        <f>E26+E84+E85</f>
        <v>1347</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SUM(G26:G36)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4">
      <c r="A44" s="1"/>
      <c r="B44" s="167">
        <v>1</v>
      </c>
      <c r="C44" s="139" t="s">
        <v>73</v>
      </c>
      <c r="D44" s="140" t="s">
        <v>74</v>
      </c>
      <c r="E44" s="1091">
        <v>35</v>
      </c>
      <c r="F44" s="1092">
        <v>0</v>
      </c>
      <c r="G44" s="1093">
        <f t="shared" ref="G44:G64"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227.60999999999999</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1289.79</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1264.5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843</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1011.5999999999999</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505.8</v>
      </c>
      <c r="F50" s="1092">
        <v>0</v>
      </c>
      <c r="G50" s="1083">
        <f t="shared" si="2"/>
        <v>0</v>
      </c>
      <c r="I50" s="1"/>
      <c r="J50" s="1"/>
      <c r="K50" s="1"/>
      <c r="L50" s="1"/>
      <c r="M50" s="1"/>
      <c r="N50" s="1"/>
      <c r="O50" s="1"/>
      <c r="P50" s="1"/>
      <c r="Q50" s="1"/>
      <c r="R50" s="1"/>
      <c r="S50" s="1"/>
      <c r="T50" s="1"/>
      <c r="U50" s="1"/>
      <c r="V50" s="1"/>
      <c r="W50" s="1"/>
      <c r="X50" s="1"/>
      <c r="Y50" s="1"/>
    </row>
    <row r="51" spans="1:25" s="8" customFormat="1" ht="41.25" customHeight="1">
      <c r="A51" s="1"/>
      <c r="B51" s="2408">
        <v>8</v>
      </c>
      <c r="C51" s="177" t="s">
        <v>295</v>
      </c>
      <c r="D51" s="146" t="s">
        <v>252</v>
      </c>
      <c r="E51" s="128">
        <v>1</v>
      </c>
      <c r="F51" s="1092">
        <v>0</v>
      </c>
      <c r="G51" s="1083">
        <f t="shared" si="2"/>
        <v>0</v>
      </c>
      <c r="I51" s="1"/>
      <c r="J51" s="1"/>
      <c r="K51" s="1"/>
      <c r="L51" s="1"/>
      <c r="M51" s="1"/>
      <c r="N51" s="1"/>
      <c r="O51" s="1"/>
      <c r="P51" s="1"/>
      <c r="Q51" s="1"/>
      <c r="R51" s="1"/>
      <c r="S51" s="1"/>
      <c r="T51" s="1"/>
      <c r="U51" s="1"/>
      <c r="V51" s="1"/>
      <c r="W51" s="1"/>
      <c r="X51" s="1"/>
      <c r="Y51" s="1"/>
    </row>
    <row r="52" spans="1:25" s="8" customFormat="1" ht="15" customHeight="1">
      <c r="A52" s="1"/>
      <c r="B52" s="2608"/>
      <c r="C52" s="177" t="s">
        <v>297</v>
      </c>
      <c r="D52" s="140" t="s">
        <v>57</v>
      </c>
      <c r="E52" s="128">
        <v>8</v>
      </c>
      <c r="F52" s="141"/>
      <c r="G52" s="142"/>
      <c r="I52" s="1"/>
      <c r="J52" s="1"/>
      <c r="K52" s="1"/>
      <c r="L52" s="1"/>
      <c r="M52" s="1"/>
      <c r="N52" s="1"/>
      <c r="O52" s="1"/>
      <c r="P52" s="1"/>
      <c r="Q52" s="1"/>
      <c r="R52" s="1"/>
      <c r="S52" s="1"/>
      <c r="T52" s="1"/>
      <c r="U52" s="1"/>
      <c r="V52" s="1"/>
      <c r="W52" s="1"/>
      <c r="X52" s="1"/>
      <c r="Y52" s="1"/>
    </row>
    <row r="53" spans="1:25" s="8" customFormat="1" ht="41.25" customHeight="1">
      <c r="A53" s="1"/>
      <c r="B53" s="1155">
        <v>9</v>
      </c>
      <c r="C53" s="177" t="s">
        <v>298</v>
      </c>
      <c r="D53" s="145" t="s">
        <v>78</v>
      </c>
      <c r="E53" s="1094">
        <v>3</v>
      </c>
      <c r="F53" s="1082">
        <v>0</v>
      </c>
      <c r="G53" s="1083">
        <f t="shared" ref="G53" si="3">E53*F53</f>
        <v>0</v>
      </c>
      <c r="I53" s="1"/>
      <c r="J53" s="1"/>
      <c r="K53" s="1"/>
      <c r="L53" s="1"/>
      <c r="M53" s="1"/>
      <c r="N53" s="1"/>
      <c r="O53" s="1"/>
      <c r="P53" s="1"/>
      <c r="Q53" s="1"/>
      <c r="R53" s="1"/>
      <c r="S53" s="1"/>
      <c r="T53" s="1"/>
      <c r="U53" s="1"/>
      <c r="V53" s="1"/>
      <c r="W53" s="1"/>
      <c r="X53" s="1"/>
      <c r="Y53" s="1"/>
    </row>
    <row r="54" spans="1:25" s="8" customFormat="1" ht="27" customHeight="1">
      <c r="A54" s="1"/>
      <c r="B54" s="717">
        <v>10</v>
      </c>
      <c r="C54" s="1095" t="s">
        <v>85</v>
      </c>
      <c r="D54" s="140" t="s">
        <v>57</v>
      </c>
      <c r="E54" s="1094">
        <v>28</v>
      </c>
      <c r="F54" s="1082">
        <v>0</v>
      </c>
      <c r="G54" s="1083">
        <f t="shared" si="2"/>
        <v>0</v>
      </c>
      <c r="I54" s="1"/>
      <c r="J54" s="1"/>
      <c r="K54" s="1"/>
      <c r="L54" s="1"/>
      <c r="M54" s="1"/>
      <c r="N54" s="1"/>
      <c r="O54" s="1"/>
      <c r="P54" s="1"/>
      <c r="Q54" s="1"/>
      <c r="R54" s="1"/>
      <c r="S54" s="1"/>
      <c r="T54" s="1"/>
      <c r="U54" s="1"/>
      <c r="V54" s="1"/>
      <c r="W54" s="1"/>
      <c r="X54" s="1"/>
      <c r="Y54" s="1"/>
    </row>
    <row r="55" spans="1:25" s="8" customFormat="1" ht="24">
      <c r="A55" s="1"/>
      <c r="B55" s="1155">
        <v>11</v>
      </c>
      <c r="C55" s="1095" t="s">
        <v>1391</v>
      </c>
      <c r="D55" s="140" t="s">
        <v>78</v>
      </c>
      <c r="E55" s="1094">
        <f>E26*1.2</f>
        <v>1011.5999999999999</v>
      </c>
      <c r="F55" s="1082">
        <v>0</v>
      </c>
      <c r="G55" s="1083">
        <f t="shared" si="2"/>
        <v>0</v>
      </c>
      <c r="I55" s="1"/>
      <c r="J55" s="1"/>
      <c r="K55" s="1"/>
      <c r="L55" s="1"/>
      <c r="M55" s="1"/>
      <c r="N55" s="1"/>
      <c r="O55" s="1"/>
      <c r="P55" s="1"/>
      <c r="Q55" s="1"/>
      <c r="R55" s="1"/>
      <c r="S55" s="1"/>
      <c r="T55" s="1"/>
      <c r="U55" s="1"/>
      <c r="V55" s="1"/>
      <c r="W55" s="1"/>
      <c r="X55" s="1"/>
      <c r="Y55" s="1"/>
    </row>
    <row r="56" spans="1:25" s="8" customFormat="1" ht="63.75" customHeight="1">
      <c r="A56" s="1"/>
      <c r="B56" s="717">
        <v>12</v>
      </c>
      <c r="C56" s="397" t="s">
        <v>254</v>
      </c>
      <c r="D56" s="145" t="s">
        <v>78</v>
      </c>
      <c r="E56" s="1094">
        <v>10</v>
      </c>
      <c r="F56" s="1082">
        <v>0</v>
      </c>
      <c r="G56" s="1083">
        <f t="shared" si="2"/>
        <v>0</v>
      </c>
      <c r="I56" s="1"/>
      <c r="J56" s="1"/>
      <c r="K56" s="1"/>
      <c r="L56" s="1"/>
      <c r="M56" s="1"/>
      <c r="N56" s="1"/>
      <c r="O56" s="1"/>
      <c r="P56" s="1"/>
      <c r="Q56" s="1"/>
      <c r="R56" s="1"/>
      <c r="S56" s="1"/>
      <c r="T56" s="1"/>
      <c r="U56" s="1"/>
      <c r="V56" s="1"/>
      <c r="W56" s="1"/>
      <c r="X56" s="1"/>
      <c r="Y56" s="1"/>
    </row>
    <row r="57" spans="1:25" s="8" customFormat="1" ht="51.75" customHeight="1">
      <c r="A57" s="1"/>
      <c r="B57" s="1155">
        <v>13</v>
      </c>
      <c r="C57" s="397" t="s">
        <v>879</v>
      </c>
      <c r="D57" s="145" t="s">
        <v>78</v>
      </c>
      <c r="E57" s="1094">
        <v>5</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717">
        <v>14</v>
      </c>
      <c r="C58" s="139" t="s">
        <v>264</v>
      </c>
      <c r="D58" s="145" t="s">
        <v>74</v>
      </c>
      <c r="E58" s="128">
        <f>E45+E46+(E55*0.06)-E49</f>
        <v>566.49599999999987</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1155">
        <v>15</v>
      </c>
      <c r="C59" s="139" t="s">
        <v>265</v>
      </c>
      <c r="D59" s="145" t="s">
        <v>74</v>
      </c>
      <c r="E59" s="128">
        <f>E58</f>
        <v>566.49599999999987</v>
      </c>
      <c r="F59" s="1082">
        <v>0</v>
      </c>
      <c r="G59" s="142">
        <f t="shared" si="2"/>
        <v>0</v>
      </c>
      <c r="I59" s="1"/>
      <c r="J59" s="1"/>
      <c r="K59" s="1"/>
      <c r="L59" s="1"/>
      <c r="M59" s="1"/>
      <c r="N59" s="1"/>
      <c r="O59" s="1"/>
      <c r="P59" s="1"/>
      <c r="Q59" s="1"/>
      <c r="R59" s="1"/>
      <c r="S59" s="1"/>
      <c r="T59" s="1"/>
      <c r="U59" s="1"/>
      <c r="V59" s="1"/>
      <c r="W59" s="1"/>
      <c r="X59" s="1"/>
      <c r="Y59" s="1"/>
    </row>
    <row r="60" spans="1:25" s="8" customFormat="1" ht="28.5" customHeight="1">
      <c r="A60" s="1"/>
      <c r="B60" s="717">
        <v>16</v>
      </c>
      <c r="C60" s="126" t="s">
        <v>95</v>
      </c>
      <c r="D60" s="140" t="s">
        <v>74</v>
      </c>
      <c r="E60" s="1094">
        <f>E26*0.75*0.1</f>
        <v>63.225000000000001</v>
      </c>
      <c r="F60" s="1082">
        <v>0</v>
      </c>
      <c r="G60" s="1083">
        <f t="shared" si="2"/>
        <v>0</v>
      </c>
      <c r="I60" s="1"/>
      <c r="J60" s="1"/>
      <c r="K60" s="1"/>
      <c r="L60" s="1"/>
      <c r="M60" s="1"/>
      <c r="N60" s="1"/>
      <c r="O60" s="1"/>
      <c r="P60" s="1"/>
      <c r="Q60" s="1"/>
      <c r="R60" s="1"/>
      <c r="S60" s="1"/>
      <c r="T60" s="1"/>
      <c r="U60" s="1"/>
      <c r="V60" s="1"/>
      <c r="W60" s="1"/>
      <c r="X60" s="1"/>
      <c r="Y60" s="1"/>
    </row>
    <row r="61" spans="1:25" s="8" customFormat="1" ht="48">
      <c r="A61" s="1"/>
      <c r="B61" s="1155">
        <v>17</v>
      </c>
      <c r="C61" s="1096" t="s">
        <v>1393</v>
      </c>
      <c r="D61" s="182" t="s">
        <v>74</v>
      </c>
      <c r="E61" s="1097">
        <v>5</v>
      </c>
      <c r="F61" s="108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717">
        <v>18</v>
      </c>
      <c r="C62" s="1096" t="s">
        <v>270</v>
      </c>
      <c r="D62" s="182" t="s">
        <v>66</v>
      </c>
      <c r="E62" s="1097">
        <v>72</v>
      </c>
      <c r="F62" s="1082">
        <v>0</v>
      </c>
      <c r="G62" s="1083">
        <f t="shared" si="2"/>
        <v>0</v>
      </c>
      <c r="I62" s="1"/>
      <c r="J62" s="1"/>
      <c r="K62" s="1"/>
      <c r="L62" s="1"/>
      <c r="M62" s="1"/>
      <c r="N62" s="1"/>
      <c r="O62" s="1"/>
      <c r="P62" s="1"/>
      <c r="Q62" s="1"/>
      <c r="R62" s="1"/>
      <c r="S62" s="1"/>
      <c r="T62" s="1"/>
      <c r="U62" s="1"/>
      <c r="V62" s="1"/>
      <c r="W62" s="1"/>
      <c r="X62" s="1"/>
      <c r="Y62" s="1"/>
    </row>
    <row r="63" spans="1:25" s="8" customFormat="1" ht="36">
      <c r="A63" s="1"/>
      <c r="B63" s="1155">
        <v>19</v>
      </c>
      <c r="C63" s="1096" t="s">
        <v>99</v>
      </c>
      <c r="D63" s="182" t="s">
        <v>74</v>
      </c>
      <c r="E63" s="1097">
        <v>8</v>
      </c>
      <c r="F63" s="108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717">
        <v>20</v>
      </c>
      <c r="C64" s="1096" t="s">
        <v>100</v>
      </c>
      <c r="D64" s="182" t="s">
        <v>65</v>
      </c>
      <c r="E64" s="1097">
        <v>30</v>
      </c>
      <c r="F64" s="1082">
        <v>0</v>
      </c>
      <c r="G64" s="1083">
        <f t="shared" si="2"/>
        <v>0</v>
      </c>
      <c r="I64" s="1"/>
      <c r="J64" s="1"/>
      <c r="K64" s="1"/>
      <c r="L64" s="1"/>
      <c r="M64" s="1"/>
      <c r="N64" s="1"/>
      <c r="O64" s="1"/>
      <c r="P64" s="1"/>
      <c r="Q64" s="1"/>
      <c r="R64" s="1"/>
      <c r="S64" s="1"/>
      <c r="T64" s="1"/>
      <c r="U64" s="1"/>
      <c r="V64" s="1"/>
      <c r="W64" s="1"/>
      <c r="X64" s="1"/>
      <c r="Y64" s="1"/>
    </row>
    <row r="65" spans="1:25" s="8" customFormat="1">
      <c r="A65" s="1"/>
      <c r="B65" s="167"/>
      <c r="C65" s="1098"/>
      <c r="D65" s="1099"/>
      <c r="E65" s="1100"/>
      <c r="F65" s="1101"/>
      <c r="G65" s="1102"/>
      <c r="I65" s="1"/>
      <c r="J65" s="1"/>
      <c r="K65" s="1"/>
      <c r="L65" s="1"/>
      <c r="M65" s="1"/>
      <c r="N65" s="1"/>
      <c r="O65" s="1"/>
      <c r="P65" s="1"/>
      <c r="Q65" s="1"/>
      <c r="R65" s="1"/>
      <c r="S65" s="1"/>
      <c r="T65" s="1"/>
      <c r="U65" s="1"/>
      <c r="V65" s="1"/>
      <c r="W65" s="1"/>
      <c r="X65" s="1"/>
      <c r="Y65" s="1"/>
    </row>
    <row r="66" spans="1:25" s="8" customFormat="1">
      <c r="A66" s="1"/>
      <c r="B66" s="151" t="s">
        <v>45</v>
      </c>
      <c r="C66" s="1086" t="s">
        <v>101</v>
      </c>
      <c r="D66" s="1103"/>
      <c r="E66" s="1088"/>
      <c r="F66" s="1089"/>
      <c r="G66" s="263">
        <f>SUM(G44:G64)</f>
        <v>0</v>
      </c>
      <c r="I66" s="1"/>
      <c r="J66" s="1"/>
      <c r="K66" s="1"/>
      <c r="L66" s="1"/>
      <c r="M66" s="1"/>
      <c r="N66" s="1"/>
      <c r="O66" s="1"/>
      <c r="P66" s="1"/>
      <c r="Q66" s="1"/>
      <c r="R66" s="1"/>
      <c r="S66" s="1"/>
      <c r="T66" s="1"/>
      <c r="U66" s="1"/>
      <c r="V66" s="1"/>
      <c r="W66" s="1"/>
      <c r="X66" s="1"/>
      <c r="Y66" s="1"/>
    </row>
    <row r="67" spans="1:25" s="8" customFormat="1">
      <c r="A67" s="1"/>
      <c r="B67" s="67"/>
      <c r="C67" s="68"/>
      <c r="D67" s="69"/>
      <c r="E67" s="1104"/>
      <c r="F67" s="1105"/>
      <c r="G67" s="1106"/>
      <c r="I67" s="1"/>
      <c r="J67" s="1"/>
      <c r="K67" s="1"/>
      <c r="L67" s="1"/>
      <c r="M67" s="1"/>
      <c r="N67" s="1"/>
      <c r="O67" s="1"/>
      <c r="P67" s="1"/>
      <c r="Q67" s="1"/>
      <c r="R67" s="1"/>
      <c r="S67" s="1"/>
      <c r="T67" s="1"/>
      <c r="U67" s="1"/>
      <c r="V67" s="1"/>
      <c r="W67" s="1"/>
      <c r="X67" s="1"/>
      <c r="Y67" s="1"/>
    </row>
    <row r="68" spans="1:25" s="8" customFormat="1" ht="24">
      <c r="A68" s="1"/>
      <c r="B68" s="119" t="s">
        <v>50</v>
      </c>
      <c r="C68" s="120" t="s">
        <v>51</v>
      </c>
      <c r="D68" s="121" t="s">
        <v>52</v>
      </c>
      <c r="E68" s="122" t="s">
        <v>53</v>
      </c>
      <c r="F68" s="123" t="s">
        <v>54</v>
      </c>
      <c r="G68" s="124" t="s">
        <v>55</v>
      </c>
      <c r="I68" s="1"/>
      <c r="J68" s="1"/>
      <c r="K68" s="1"/>
      <c r="L68" s="1"/>
      <c r="M68" s="1"/>
      <c r="N68" s="1"/>
      <c r="O68" s="1"/>
      <c r="P68" s="1"/>
      <c r="Q68" s="1"/>
      <c r="R68" s="1"/>
      <c r="S68" s="1"/>
      <c r="T68" s="1"/>
      <c r="U68" s="1"/>
      <c r="V68" s="1"/>
      <c r="W68" s="1"/>
      <c r="X68" s="1"/>
      <c r="Y68" s="1"/>
    </row>
    <row r="69" spans="1:25" s="8" customFormat="1">
      <c r="A69" s="1"/>
      <c r="B69" s="125"/>
      <c r="C69" s="126"/>
      <c r="D69" s="127"/>
      <c r="E69" s="719"/>
      <c r="F69" s="1107"/>
      <c r="G69" s="731"/>
      <c r="I69" s="1"/>
      <c r="J69" s="1"/>
      <c r="K69" s="1"/>
      <c r="L69" s="1"/>
      <c r="M69" s="1"/>
      <c r="N69" s="1"/>
      <c r="O69" s="1"/>
      <c r="P69" s="1"/>
      <c r="Q69" s="1"/>
      <c r="R69" s="1"/>
      <c r="S69" s="1"/>
      <c r="T69" s="1"/>
      <c r="U69" s="1"/>
      <c r="V69" s="1"/>
      <c r="W69" s="1"/>
      <c r="X69" s="1"/>
      <c r="Y69" s="1"/>
    </row>
    <row r="70" spans="1:25"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c r="Y70" s="1"/>
    </row>
    <row r="71" spans="1:25" s="8" customFormat="1">
      <c r="A71" s="1"/>
      <c r="B71" s="1108" t="s">
        <v>38</v>
      </c>
      <c r="C71" s="1109"/>
      <c r="D71" s="1110"/>
      <c r="E71" s="1109"/>
      <c r="F71" s="1109"/>
      <c r="G71" s="1110"/>
      <c r="I71" s="1"/>
      <c r="J71" s="1"/>
      <c r="K71" s="1"/>
      <c r="L71" s="1"/>
      <c r="M71" s="1"/>
      <c r="N71" s="1"/>
      <c r="O71" s="1"/>
      <c r="P71" s="1"/>
      <c r="Q71" s="1"/>
      <c r="R71" s="1"/>
      <c r="S71" s="1"/>
      <c r="T71" s="1"/>
      <c r="U71" s="1"/>
      <c r="V71" s="1"/>
      <c r="W71" s="1"/>
      <c r="X71" s="1"/>
      <c r="Y71" s="1"/>
    </row>
    <row r="72" spans="1:25" s="8" customFormat="1">
      <c r="A72" s="1"/>
      <c r="B72" s="1111" t="s">
        <v>39</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1108" t="s">
        <v>4</v>
      </c>
      <c r="C73" s="1109"/>
      <c r="D73" s="1114"/>
      <c r="E73" s="1109"/>
      <c r="F73" s="1109"/>
      <c r="G73" s="1110"/>
      <c r="I73" s="1"/>
      <c r="J73" s="1"/>
      <c r="K73" s="1"/>
      <c r="L73" s="1"/>
      <c r="M73" s="1"/>
      <c r="N73" s="1"/>
      <c r="O73" s="1"/>
      <c r="P73" s="1"/>
      <c r="Q73" s="1"/>
      <c r="R73" s="1"/>
      <c r="S73" s="1"/>
      <c r="T73" s="1"/>
      <c r="U73" s="1"/>
      <c r="V73" s="1"/>
      <c r="W73" s="1"/>
      <c r="X73" s="1"/>
      <c r="Y73" s="1"/>
    </row>
    <row r="74" spans="1:25" s="8" customFormat="1">
      <c r="A74" s="1"/>
      <c r="B74" s="1111" t="s">
        <v>5</v>
      </c>
      <c r="C74" s="1112"/>
      <c r="D74" s="1112"/>
      <c r="E74" s="1112"/>
      <c r="F74" s="1112"/>
      <c r="G74" s="1113"/>
      <c r="I74" s="1"/>
      <c r="J74" s="1"/>
      <c r="K74" s="1"/>
      <c r="L74" s="1"/>
      <c r="M74" s="1"/>
      <c r="N74" s="1"/>
      <c r="O74" s="1"/>
      <c r="P74" s="1"/>
      <c r="Q74" s="1"/>
      <c r="R74" s="1"/>
      <c r="S74" s="1"/>
      <c r="T74" s="1"/>
      <c r="U74" s="1"/>
      <c r="V74" s="1"/>
      <c r="W74" s="1"/>
      <c r="X74" s="1"/>
      <c r="Y74" s="1"/>
    </row>
    <row r="75" spans="1:25" s="8" customFormat="1">
      <c r="A75" s="1"/>
      <c r="B75" s="2399" t="s">
        <v>271</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104</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105</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1115"/>
      <c r="C78" s="1116"/>
      <c r="D78" s="1116"/>
      <c r="E78" s="1116"/>
      <c r="F78" s="1116"/>
      <c r="G78" s="1117"/>
      <c r="I78" s="1"/>
      <c r="J78" s="1"/>
      <c r="K78" s="1"/>
      <c r="L78" s="1"/>
      <c r="M78" s="1"/>
      <c r="N78" s="1"/>
      <c r="O78" s="1"/>
      <c r="P78" s="1"/>
      <c r="Q78" s="1"/>
      <c r="R78" s="1"/>
      <c r="S78" s="1"/>
      <c r="T78" s="1"/>
      <c r="U78" s="1"/>
      <c r="V78" s="1"/>
      <c r="W78" s="1"/>
      <c r="X78" s="1"/>
      <c r="Y78" s="1"/>
    </row>
    <row r="79" spans="1:25" ht="24">
      <c r="B79" s="188">
        <v>1</v>
      </c>
      <c r="C79" s="189" t="s">
        <v>106</v>
      </c>
      <c r="D79" s="190"/>
      <c r="E79" s="719"/>
      <c r="F79" s="1107"/>
      <c r="G79" s="731"/>
    </row>
    <row r="80" spans="1:25">
      <c r="B80" s="191"/>
      <c r="C80" s="192" t="s">
        <v>107</v>
      </c>
      <c r="D80" s="190" t="s">
        <v>57</v>
      </c>
      <c r="E80" s="719">
        <f>515*0.9</f>
        <v>463.5</v>
      </c>
      <c r="F80" s="1092">
        <v>0</v>
      </c>
      <c r="G80" s="1093">
        <f t="shared" ref="G80:G90" si="4">E80*F80</f>
        <v>0</v>
      </c>
    </row>
    <row r="81" spans="2:7" ht="24">
      <c r="B81" s="191"/>
      <c r="C81" s="192" t="s">
        <v>884</v>
      </c>
      <c r="D81" s="190" t="s">
        <v>57</v>
      </c>
      <c r="E81" s="719">
        <f>515*0.1</f>
        <v>51.5</v>
      </c>
      <c r="F81" s="1092">
        <v>0</v>
      </c>
      <c r="G81" s="1093">
        <f t="shared" si="4"/>
        <v>0</v>
      </c>
    </row>
    <row r="82" spans="2:7">
      <c r="B82" s="191"/>
      <c r="C82" s="192" t="s">
        <v>226</v>
      </c>
      <c r="D82" s="190" t="s">
        <v>57</v>
      </c>
      <c r="E82" s="719">
        <f>328*0.9</f>
        <v>295.2</v>
      </c>
      <c r="F82" s="1092">
        <v>0</v>
      </c>
      <c r="G82" s="1093">
        <f t="shared" si="4"/>
        <v>0</v>
      </c>
    </row>
    <row r="83" spans="2:7" ht="24">
      <c r="B83" s="191"/>
      <c r="C83" s="192" t="s">
        <v>227</v>
      </c>
      <c r="D83" s="190" t="s">
        <v>57</v>
      </c>
      <c r="E83" s="719">
        <f>328*0.1</f>
        <v>32.800000000000004</v>
      </c>
      <c r="F83" s="1092">
        <v>0</v>
      </c>
      <c r="G83" s="1093">
        <f t="shared" si="4"/>
        <v>0</v>
      </c>
    </row>
    <row r="84" spans="2:7">
      <c r="B84" s="191"/>
      <c r="C84" s="192" t="s">
        <v>109</v>
      </c>
      <c r="D84" s="190" t="s">
        <v>57</v>
      </c>
      <c r="E84" s="719">
        <f>504*0.9</f>
        <v>453.6</v>
      </c>
      <c r="F84" s="1092">
        <v>0</v>
      </c>
      <c r="G84" s="1093">
        <f t="shared" si="4"/>
        <v>0</v>
      </c>
    </row>
    <row r="85" spans="2:7" ht="24">
      <c r="B85" s="191"/>
      <c r="C85" s="192" t="s">
        <v>110</v>
      </c>
      <c r="D85" s="190" t="s">
        <v>57</v>
      </c>
      <c r="E85" s="719">
        <f>504*0.1</f>
        <v>50.400000000000006</v>
      </c>
      <c r="F85" s="1092">
        <v>0</v>
      </c>
      <c r="G85" s="1093">
        <f t="shared" si="4"/>
        <v>0</v>
      </c>
    </row>
    <row r="86" spans="2:7" ht="36">
      <c r="B86" s="2404" t="s">
        <v>111</v>
      </c>
      <c r="C86" s="193" t="s">
        <v>112</v>
      </c>
      <c r="D86" s="194"/>
      <c r="E86" s="719"/>
      <c r="F86" s="1092"/>
      <c r="G86" s="1093"/>
    </row>
    <row r="87" spans="2:7">
      <c r="B87" s="2405"/>
      <c r="C87" s="195" t="s">
        <v>113</v>
      </c>
      <c r="D87" s="194" t="s">
        <v>57</v>
      </c>
      <c r="E87" s="719">
        <v>80</v>
      </c>
      <c r="F87" s="1092">
        <v>0</v>
      </c>
      <c r="G87" s="1093">
        <f>E87*F87</f>
        <v>0</v>
      </c>
    </row>
    <row r="88" spans="2:7">
      <c r="B88" s="2405"/>
      <c r="C88" s="195" t="s">
        <v>274</v>
      </c>
      <c r="D88" s="194" t="s">
        <v>57</v>
      </c>
      <c r="E88" s="719">
        <v>50</v>
      </c>
      <c r="F88" s="1092">
        <v>0</v>
      </c>
      <c r="G88" s="1093">
        <f>E88*F88</f>
        <v>0</v>
      </c>
    </row>
    <row r="89" spans="2:7">
      <c r="B89" s="2413"/>
      <c r="C89" s="195" t="s">
        <v>275</v>
      </c>
      <c r="D89" s="194" t="s">
        <v>57</v>
      </c>
      <c r="E89" s="719">
        <v>80</v>
      </c>
      <c r="F89" s="1092">
        <v>0</v>
      </c>
      <c r="G89" s="1093">
        <f>E89*F89</f>
        <v>0</v>
      </c>
    </row>
    <row r="90" spans="2:7" ht="48">
      <c r="B90" s="196">
        <v>2</v>
      </c>
      <c r="C90" s="197" t="s">
        <v>114</v>
      </c>
      <c r="D90" s="145" t="s">
        <v>57</v>
      </c>
      <c r="E90" s="732">
        <f>SUM(E80:E85)</f>
        <v>1347</v>
      </c>
      <c r="F90" s="1092">
        <v>0</v>
      </c>
      <c r="G90" s="1093">
        <f t="shared" si="4"/>
        <v>0</v>
      </c>
    </row>
    <row r="91" spans="2:7" ht="36">
      <c r="B91" s="199" t="s">
        <v>115</v>
      </c>
      <c r="C91" s="197" t="s">
        <v>116</v>
      </c>
      <c r="D91" s="145" t="s">
        <v>57</v>
      </c>
      <c r="E91" s="732">
        <f>E90</f>
        <v>1347</v>
      </c>
      <c r="F91" s="1092">
        <v>0</v>
      </c>
      <c r="G91" s="1093">
        <f>E91*F91</f>
        <v>0</v>
      </c>
    </row>
    <row r="92" spans="2:7" ht="24">
      <c r="B92" s="199" t="s">
        <v>117</v>
      </c>
      <c r="C92" s="197" t="s">
        <v>118</v>
      </c>
      <c r="D92" s="145" t="s">
        <v>57</v>
      </c>
      <c r="E92" s="732">
        <f>E90</f>
        <v>1347</v>
      </c>
      <c r="F92" s="1092">
        <v>0</v>
      </c>
      <c r="G92" s="1093">
        <f>E92*F92</f>
        <v>0</v>
      </c>
    </row>
    <row r="93" spans="2:7" ht="36">
      <c r="B93" s="199" t="s">
        <v>119</v>
      </c>
      <c r="C93" s="197" t="s">
        <v>120</v>
      </c>
      <c r="D93" s="145" t="s">
        <v>57</v>
      </c>
      <c r="E93" s="732">
        <f>E90</f>
        <v>1347</v>
      </c>
      <c r="F93" s="1092">
        <v>0</v>
      </c>
      <c r="G93" s="1093">
        <f>E93*F93</f>
        <v>0</v>
      </c>
    </row>
    <row r="94" spans="2:7" ht="24">
      <c r="B94" s="188">
        <v>3</v>
      </c>
      <c r="C94" s="200" t="s">
        <v>121</v>
      </c>
      <c r="D94" s="127"/>
      <c r="E94" s="719">
        <v>0</v>
      </c>
      <c r="F94" s="719"/>
      <c r="G94" s="731"/>
    </row>
    <row r="95" spans="2:7">
      <c r="B95" s="201" t="s">
        <v>122</v>
      </c>
      <c r="C95" s="202" t="s">
        <v>123</v>
      </c>
      <c r="D95" s="203"/>
      <c r="E95" s="204"/>
      <c r="F95" s="205"/>
      <c r="G95" s="206"/>
    </row>
    <row r="96" spans="2:7">
      <c r="B96" s="125"/>
      <c r="C96" s="202" t="s">
        <v>124</v>
      </c>
      <c r="D96" s="203"/>
      <c r="E96" s="204"/>
      <c r="F96" s="205"/>
      <c r="G96" s="206"/>
    </row>
    <row r="97" spans="2:7">
      <c r="B97" s="207"/>
      <c r="C97" s="208" t="s">
        <v>1441</v>
      </c>
      <c r="D97" s="209" t="s">
        <v>66</v>
      </c>
      <c r="E97" s="204">
        <v>4</v>
      </c>
      <c r="F97" s="210">
        <v>0</v>
      </c>
      <c r="G97" s="211">
        <f>E97*F97</f>
        <v>0</v>
      </c>
    </row>
    <row r="98" spans="2:7">
      <c r="B98" s="125"/>
      <c r="C98" s="202" t="s">
        <v>311</v>
      </c>
      <c r="D98" s="203"/>
      <c r="E98" s="204"/>
      <c r="F98" s="205">
        <v>0</v>
      </c>
      <c r="G98" s="206"/>
    </row>
    <row r="99" spans="2:7">
      <c r="B99" s="207"/>
      <c r="C99" s="208" t="s">
        <v>312</v>
      </c>
      <c r="D99" s="209" t="s">
        <v>66</v>
      </c>
      <c r="E99" s="204">
        <v>6</v>
      </c>
      <c r="F99" s="210">
        <v>0</v>
      </c>
      <c r="G99" s="211">
        <f>E99*F99</f>
        <v>0</v>
      </c>
    </row>
    <row r="100" spans="2:7">
      <c r="B100" s="201" t="s">
        <v>126</v>
      </c>
      <c r="C100" s="212" t="s">
        <v>127</v>
      </c>
      <c r="D100" s="213"/>
      <c r="E100" s="214"/>
      <c r="F100" s="215">
        <v>0</v>
      </c>
      <c r="G100" s="216"/>
    </row>
    <row r="101" spans="2:7">
      <c r="B101" s="218"/>
      <c r="C101" s="212" t="s">
        <v>128</v>
      </c>
      <c r="D101" s="735"/>
      <c r="E101" s="736"/>
      <c r="F101" s="1601"/>
      <c r="G101" s="1121"/>
    </row>
    <row r="102" spans="2:7">
      <c r="B102" s="218"/>
      <c r="C102" s="219" t="s">
        <v>129</v>
      </c>
      <c r="D102" s="213" t="s">
        <v>66</v>
      </c>
      <c r="E102" s="214">
        <v>1</v>
      </c>
      <c r="F102" s="1599">
        <v>0</v>
      </c>
      <c r="G102" s="221">
        <f t="shared" ref="G102:G120" si="5">E102*F102</f>
        <v>0</v>
      </c>
    </row>
    <row r="103" spans="2:7" ht="36">
      <c r="B103" s="218"/>
      <c r="C103" s="222" t="s">
        <v>130</v>
      </c>
      <c r="D103" s="213" t="s">
        <v>66</v>
      </c>
      <c r="E103" s="214">
        <v>1</v>
      </c>
      <c r="F103" s="1599">
        <v>0</v>
      </c>
      <c r="G103" s="221">
        <f t="shared" si="5"/>
        <v>0</v>
      </c>
    </row>
    <row r="104" spans="2:7">
      <c r="B104" s="218"/>
      <c r="C104" s="222" t="s">
        <v>183</v>
      </c>
      <c r="D104" s="213" t="s">
        <v>66</v>
      </c>
      <c r="E104" s="214">
        <v>1</v>
      </c>
      <c r="F104" s="1599">
        <v>0</v>
      </c>
      <c r="G104" s="221">
        <f t="shared" si="5"/>
        <v>0</v>
      </c>
    </row>
    <row r="105" spans="2:7">
      <c r="B105" s="218"/>
      <c r="C105" s="222" t="s">
        <v>131</v>
      </c>
      <c r="D105" s="213" t="s">
        <v>66</v>
      </c>
      <c r="E105" s="214">
        <v>1</v>
      </c>
      <c r="F105" s="1599">
        <v>0</v>
      </c>
      <c r="G105" s="221">
        <f t="shared" si="5"/>
        <v>0</v>
      </c>
    </row>
    <row r="106" spans="2:7">
      <c r="B106" s="218"/>
      <c r="C106" s="222" t="s">
        <v>132</v>
      </c>
      <c r="D106" s="213" t="s">
        <v>66</v>
      </c>
      <c r="E106" s="214">
        <v>2</v>
      </c>
      <c r="F106" s="1599">
        <v>0</v>
      </c>
      <c r="G106" s="221">
        <f t="shared" si="5"/>
        <v>0</v>
      </c>
    </row>
    <row r="107" spans="2:7">
      <c r="B107" s="218"/>
      <c r="C107" s="222" t="s">
        <v>133</v>
      </c>
      <c r="D107" s="213" t="s">
        <v>66</v>
      </c>
      <c r="E107" s="214">
        <v>2</v>
      </c>
      <c r="F107" s="1599">
        <v>0</v>
      </c>
      <c r="G107" s="221">
        <f t="shared" si="5"/>
        <v>0</v>
      </c>
    </row>
    <row r="108" spans="2:7">
      <c r="B108" s="218"/>
      <c r="C108" s="222" t="s">
        <v>134</v>
      </c>
      <c r="D108" s="213" t="s">
        <v>66</v>
      </c>
      <c r="E108" s="214">
        <v>1</v>
      </c>
      <c r="F108" s="1599">
        <v>0</v>
      </c>
      <c r="G108" s="221">
        <f t="shared" si="5"/>
        <v>0</v>
      </c>
    </row>
    <row r="109" spans="2:7">
      <c r="B109" s="218"/>
      <c r="C109" s="222" t="s">
        <v>135</v>
      </c>
      <c r="D109" s="213" t="s">
        <v>66</v>
      </c>
      <c r="E109" s="214">
        <v>1</v>
      </c>
      <c r="F109" s="1599">
        <v>0</v>
      </c>
      <c r="G109" s="221">
        <f t="shared" si="5"/>
        <v>0</v>
      </c>
    </row>
    <row r="110" spans="2:7">
      <c r="B110" s="218"/>
      <c r="C110" s="212" t="s">
        <v>318</v>
      </c>
      <c r="D110" s="735"/>
      <c r="E110" s="736"/>
      <c r="F110" s="1599"/>
      <c r="G110" s="221"/>
    </row>
    <row r="111" spans="2:7">
      <c r="B111" s="218"/>
      <c r="C111" s="219" t="s">
        <v>319</v>
      </c>
      <c r="D111" s="213" t="s">
        <v>66</v>
      </c>
      <c r="E111" s="214">
        <v>1</v>
      </c>
      <c r="F111" s="1599">
        <v>0</v>
      </c>
      <c r="G111" s="221">
        <f t="shared" si="5"/>
        <v>0</v>
      </c>
    </row>
    <row r="112" spans="2:7" ht="36">
      <c r="B112" s="218"/>
      <c r="C112" s="222" t="s">
        <v>283</v>
      </c>
      <c r="D112" s="213" t="s">
        <v>66</v>
      </c>
      <c r="E112" s="214">
        <v>1</v>
      </c>
      <c r="F112" s="1599">
        <v>0</v>
      </c>
      <c r="G112" s="221">
        <f t="shared" si="5"/>
        <v>0</v>
      </c>
    </row>
    <row r="113" spans="2:7">
      <c r="B113" s="218"/>
      <c r="C113" s="222" t="s">
        <v>183</v>
      </c>
      <c r="D113" s="213" t="s">
        <v>66</v>
      </c>
      <c r="E113" s="214">
        <v>1</v>
      </c>
      <c r="F113" s="1599">
        <v>0</v>
      </c>
      <c r="G113" s="221">
        <f t="shared" si="5"/>
        <v>0</v>
      </c>
    </row>
    <row r="114" spans="2:7">
      <c r="B114" s="218"/>
      <c r="C114" s="222" t="s">
        <v>131</v>
      </c>
      <c r="D114" s="213" t="s">
        <v>66</v>
      </c>
      <c r="E114" s="214">
        <v>1</v>
      </c>
      <c r="F114" s="1599">
        <v>0</v>
      </c>
      <c r="G114" s="221">
        <f t="shared" si="5"/>
        <v>0</v>
      </c>
    </row>
    <row r="115" spans="2:7">
      <c r="B115" s="218"/>
      <c r="C115" s="1133" t="s">
        <v>166</v>
      </c>
      <c r="D115" s="213" t="s">
        <v>66</v>
      </c>
      <c r="E115" s="214">
        <v>2</v>
      </c>
      <c r="F115" s="1599">
        <v>0</v>
      </c>
      <c r="G115" s="221">
        <f t="shared" si="5"/>
        <v>0</v>
      </c>
    </row>
    <row r="116" spans="2:7">
      <c r="B116" s="218"/>
      <c r="C116" s="1133" t="s">
        <v>167</v>
      </c>
      <c r="D116" s="213" t="s">
        <v>66</v>
      </c>
      <c r="E116" s="214">
        <v>2</v>
      </c>
      <c r="F116" s="1599">
        <v>0</v>
      </c>
      <c r="G116" s="221">
        <f t="shared" si="5"/>
        <v>0</v>
      </c>
    </row>
    <row r="117" spans="2:7">
      <c r="B117" s="218"/>
      <c r="C117" s="1133" t="s">
        <v>229</v>
      </c>
      <c r="D117" s="213" t="s">
        <v>66</v>
      </c>
      <c r="E117" s="214">
        <v>2</v>
      </c>
      <c r="F117" s="1599">
        <v>0</v>
      </c>
      <c r="G117" s="221">
        <f t="shared" si="5"/>
        <v>0</v>
      </c>
    </row>
    <row r="118" spans="2:7">
      <c r="B118" s="218"/>
      <c r="C118" s="1133" t="s">
        <v>230</v>
      </c>
      <c r="D118" s="213" t="s">
        <v>66</v>
      </c>
      <c r="E118" s="214">
        <v>2</v>
      </c>
      <c r="F118" s="1599">
        <v>0</v>
      </c>
      <c r="G118" s="221">
        <f t="shared" si="5"/>
        <v>0</v>
      </c>
    </row>
    <row r="119" spans="2:7">
      <c r="B119" s="218"/>
      <c r="C119" s="1133" t="s">
        <v>134</v>
      </c>
      <c r="D119" s="213" t="s">
        <v>66</v>
      </c>
      <c r="E119" s="214">
        <v>1</v>
      </c>
      <c r="F119" s="1599">
        <v>0</v>
      </c>
      <c r="G119" s="221">
        <f t="shared" si="5"/>
        <v>0</v>
      </c>
    </row>
    <row r="120" spans="2:7">
      <c r="B120" s="218"/>
      <c r="C120" s="1134" t="s">
        <v>135</v>
      </c>
      <c r="D120" s="213" t="s">
        <v>66</v>
      </c>
      <c r="E120" s="214">
        <v>1</v>
      </c>
      <c r="F120" s="1599">
        <v>0</v>
      </c>
      <c r="G120" s="221">
        <f t="shared" si="5"/>
        <v>0</v>
      </c>
    </row>
    <row r="121" spans="2:7">
      <c r="B121" s="201" t="s">
        <v>136</v>
      </c>
      <c r="C121" s="238" t="s">
        <v>320</v>
      </c>
      <c r="D121" s="239"/>
      <c r="E121" s="240"/>
      <c r="F121" s="241"/>
      <c r="G121" s="242"/>
    </row>
    <row r="122" spans="2:7">
      <c r="B122" s="218"/>
      <c r="C122" s="238" t="s">
        <v>326</v>
      </c>
      <c r="D122" s="153"/>
      <c r="E122" s="741"/>
      <c r="F122" s="1611"/>
      <c r="G122" s="263"/>
    </row>
    <row r="123" spans="2:7" ht="28.5" customHeight="1">
      <c r="B123" s="218"/>
      <c r="C123" s="1123" t="s">
        <v>322</v>
      </c>
      <c r="D123" s="239" t="s">
        <v>66</v>
      </c>
      <c r="E123" s="240">
        <v>1</v>
      </c>
      <c r="F123" s="1609">
        <v>0</v>
      </c>
      <c r="G123" s="245">
        <f t="shared" ref="G123:G125" si="6">E123*F123</f>
        <v>0</v>
      </c>
    </row>
    <row r="124" spans="2:7">
      <c r="B124" s="218"/>
      <c r="C124" s="246" t="s">
        <v>325</v>
      </c>
      <c r="D124" s="239" t="s">
        <v>66</v>
      </c>
      <c r="E124" s="240">
        <v>1</v>
      </c>
      <c r="F124" s="1609">
        <v>0</v>
      </c>
      <c r="G124" s="245">
        <f t="shared" si="6"/>
        <v>0</v>
      </c>
    </row>
    <row r="125" spans="2:7">
      <c r="B125" s="218"/>
      <c r="C125" s="247" t="s">
        <v>135</v>
      </c>
      <c r="D125" s="239" t="s">
        <v>66</v>
      </c>
      <c r="E125" s="240">
        <v>1</v>
      </c>
      <c r="F125" s="1609">
        <v>0</v>
      </c>
      <c r="G125" s="245">
        <f t="shared" si="6"/>
        <v>0</v>
      </c>
    </row>
    <row r="126" spans="2:7">
      <c r="B126" s="201" t="s">
        <v>151</v>
      </c>
      <c r="C126" s="223" t="s">
        <v>137</v>
      </c>
      <c r="D126" s="224"/>
      <c r="E126" s="225"/>
      <c r="F126" s="226"/>
      <c r="G126" s="227"/>
    </row>
    <row r="127" spans="2:7">
      <c r="B127" s="218"/>
      <c r="C127" s="223" t="s">
        <v>138</v>
      </c>
      <c r="D127" s="737"/>
      <c r="E127" s="738"/>
      <c r="F127" s="1605"/>
      <c r="G127" s="1125"/>
    </row>
    <row r="128" spans="2:7">
      <c r="B128" s="218"/>
      <c r="C128" s="228" t="s">
        <v>129</v>
      </c>
      <c r="D128" s="224" t="s">
        <v>66</v>
      </c>
      <c r="E128" s="225">
        <v>1</v>
      </c>
      <c r="F128" s="1603">
        <v>0</v>
      </c>
      <c r="G128" s="230">
        <f t="shared" ref="G128:G143" si="7">E128*F128</f>
        <v>0</v>
      </c>
    </row>
    <row r="129" spans="2:7">
      <c r="B129" s="218"/>
      <c r="C129" s="228" t="s">
        <v>139</v>
      </c>
      <c r="D129" s="224" t="s">
        <v>66</v>
      </c>
      <c r="E129" s="225">
        <v>2</v>
      </c>
      <c r="F129" s="1603">
        <v>0</v>
      </c>
      <c r="G129" s="230">
        <f t="shared" si="7"/>
        <v>0</v>
      </c>
    </row>
    <row r="130" spans="2:7">
      <c r="B130" s="218"/>
      <c r="C130" s="231" t="s">
        <v>140</v>
      </c>
      <c r="D130" s="224" t="s">
        <v>66</v>
      </c>
      <c r="E130" s="225">
        <v>1</v>
      </c>
      <c r="F130" s="1603">
        <v>0</v>
      </c>
      <c r="G130" s="230">
        <f t="shared" si="7"/>
        <v>0</v>
      </c>
    </row>
    <row r="131" spans="2:7">
      <c r="B131" s="218"/>
      <c r="C131" s="231" t="s">
        <v>141</v>
      </c>
      <c r="D131" s="224" t="s">
        <v>66</v>
      </c>
      <c r="E131" s="225">
        <v>1</v>
      </c>
      <c r="F131" s="1603">
        <v>0</v>
      </c>
      <c r="G131" s="230">
        <f t="shared" si="7"/>
        <v>0</v>
      </c>
    </row>
    <row r="132" spans="2:7">
      <c r="B132" s="218"/>
      <c r="C132" s="231" t="s">
        <v>142</v>
      </c>
      <c r="D132" s="224" t="s">
        <v>66</v>
      </c>
      <c r="E132" s="225">
        <v>1</v>
      </c>
      <c r="F132" s="1603">
        <v>0</v>
      </c>
      <c r="G132" s="230">
        <f t="shared" si="7"/>
        <v>0</v>
      </c>
    </row>
    <row r="133" spans="2:7">
      <c r="B133" s="218"/>
      <c r="C133" s="231" t="s">
        <v>143</v>
      </c>
      <c r="D133" s="224" t="s">
        <v>66</v>
      </c>
      <c r="E133" s="225">
        <v>1</v>
      </c>
      <c r="F133" s="1603">
        <v>0</v>
      </c>
      <c r="G133" s="230">
        <f t="shared" si="7"/>
        <v>0</v>
      </c>
    </row>
    <row r="134" spans="2:7">
      <c r="B134" s="218"/>
      <c r="C134" s="231" t="s">
        <v>2250</v>
      </c>
      <c r="D134" s="224" t="s">
        <v>66</v>
      </c>
      <c r="E134" s="225">
        <v>1</v>
      </c>
      <c r="F134" s="1603">
        <v>0</v>
      </c>
      <c r="G134" s="230">
        <f t="shared" si="7"/>
        <v>0</v>
      </c>
    </row>
    <row r="135" spans="2:7">
      <c r="B135" s="218"/>
      <c r="C135" s="231" t="s">
        <v>145</v>
      </c>
      <c r="D135" s="224" t="s">
        <v>66</v>
      </c>
      <c r="E135" s="225">
        <v>1</v>
      </c>
      <c r="F135" s="1603">
        <v>0</v>
      </c>
      <c r="G135" s="230">
        <f t="shared" si="7"/>
        <v>0</v>
      </c>
    </row>
    <row r="136" spans="2:7">
      <c r="B136" s="218"/>
      <c r="C136" s="231" t="s">
        <v>146</v>
      </c>
      <c r="D136" s="224" t="s">
        <v>66</v>
      </c>
      <c r="E136" s="225">
        <v>1</v>
      </c>
      <c r="F136" s="1603">
        <v>0</v>
      </c>
      <c r="G136" s="230">
        <f t="shared" si="7"/>
        <v>0</v>
      </c>
    </row>
    <row r="137" spans="2:7">
      <c r="B137" s="218"/>
      <c r="C137" s="739" t="s">
        <v>147</v>
      </c>
      <c r="D137" s="224" t="s">
        <v>66</v>
      </c>
      <c r="E137" s="225">
        <v>1</v>
      </c>
      <c r="F137" s="1603">
        <v>0</v>
      </c>
      <c r="G137" s="230">
        <f t="shared" si="7"/>
        <v>0</v>
      </c>
    </row>
    <row r="138" spans="2:7">
      <c r="B138" s="218"/>
      <c r="C138" s="739" t="s">
        <v>188</v>
      </c>
      <c r="D138" s="224" t="s">
        <v>66</v>
      </c>
      <c r="E138" s="225">
        <v>1</v>
      </c>
      <c r="F138" s="1603">
        <v>0</v>
      </c>
      <c r="G138" s="230">
        <f t="shared" si="7"/>
        <v>0</v>
      </c>
    </row>
    <row r="139" spans="2:7">
      <c r="B139" s="218"/>
      <c r="C139" s="739" t="s">
        <v>132</v>
      </c>
      <c r="D139" s="224" t="s">
        <v>66</v>
      </c>
      <c r="E139" s="225">
        <v>2</v>
      </c>
      <c r="F139" s="1603">
        <v>0</v>
      </c>
      <c r="G139" s="230">
        <f t="shared" si="7"/>
        <v>0</v>
      </c>
    </row>
    <row r="140" spans="2:7">
      <c r="B140" s="218"/>
      <c r="C140" s="739" t="s">
        <v>148</v>
      </c>
      <c r="D140" s="224" t="s">
        <v>66</v>
      </c>
      <c r="E140" s="225">
        <v>2</v>
      </c>
      <c r="F140" s="1603">
        <v>0</v>
      </c>
      <c r="G140" s="230">
        <f t="shared" si="7"/>
        <v>0</v>
      </c>
    </row>
    <row r="141" spans="2:7">
      <c r="B141" s="218"/>
      <c r="C141" s="739" t="s">
        <v>149</v>
      </c>
      <c r="D141" s="224" t="s">
        <v>66</v>
      </c>
      <c r="E141" s="225">
        <v>1</v>
      </c>
      <c r="F141" s="1603">
        <v>0</v>
      </c>
      <c r="G141" s="230">
        <f t="shared" si="7"/>
        <v>0</v>
      </c>
    </row>
    <row r="142" spans="2:7">
      <c r="B142" s="218"/>
      <c r="C142" s="739" t="s">
        <v>150</v>
      </c>
      <c r="D142" s="224" t="s">
        <v>66</v>
      </c>
      <c r="E142" s="225">
        <v>3</v>
      </c>
      <c r="F142" s="1603">
        <v>0</v>
      </c>
      <c r="G142" s="230">
        <f t="shared" si="7"/>
        <v>0</v>
      </c>
    </row>
    <row r="143" spans="2:7">
      <c r="B143" s="218"/>
      <c r="C143" s="740" t="s">
        <v>135</v>
      </c>
      <c r="D143" s="224" t="s">
        <v>66</v>
      </c>
      <c r="E143" s="225">
        <v>1</v>
      </c>
      <c r="F143" s="1603">
        <v>0</v>
      </c>
      <c r="G143" s="230">
        <f t="shared" si="7"/>
        <v>0</v>
      </c>
    </row>
    <row r="144" spans="2:7">
      <c r="B144" s="201" t="s">
        <v>159</v>
      </c>
      <c r="C144" s="212" t="s">
        <v>152</v>
      </c>
      <c r="D144" s="213"/>
      <c r="E144" s="214"/>
      <c r="F144" s="215"/>
      <c r="G144" s="216"/>
    </row>
    <row r="145" spans="2:7">
      <c r="B145" s="218"/>
      <c r="C145" s="212" t="s">
        <v>153</v>
      </c>
      <c r="D145" s="735"/>
      <c r="E145" s="736"/>
      <c r="F145" s="1601"/>
      <c r="G145" s="1121"/>
    </row>
    <row r="146" spans="2:7">
      <c r="B146" s="218"/>
      <c r="C146" s="219" t="s">
        <v>129</v>
      </c>
      <c r="D146" s="213" t="s">
        <v>66</v>
      </c>
      <c r="E146" s="214">
        <v>5</v>
      </c>
      <c r="F146" s="1599">
        <v>0</v>
      </c>
      <c r="G146" s="221">
        <f t="shared" ref="G146:G156" si="8">E146*F146</f>
        <v>0</v>
      </c>
    </row>
    <row r="147" spans="2:7" ht="24">
      <c r="B147" s="218"/>
      <c r="C147" s="222" t="s">
        <v>154</v>
      </c>
      <c r="D147" s="213" t="s">
        <v>66</v>
      </c>
      <c r="E147" s="214">
        <v>5</v>
      </c>
      <c r="F147" s="1599">
        <v>0</v>
      </c>
      <c r="G147" s="221">
        <f t="shared" si="8"/>
        <v>0</v>
      </c>
    </row>
    <row r="148" spans="2:7">
      <c r="B148" s="218"/>
      <c r="C148" s="222" t="s">
        <v>155</v>
      </c>
      <c r="D148" s="213" t="s">
        <v>66</v>
      </c>
      <c r="E148" s="214">
        <v>5</v>
      </c>
      <c r="F148" s="1599">
        <v>0</v>
      </c>
      <c r="G148" s="221">
        <f t="shared" si="8"/>
        <v>0</v>
      </c>
    </row>
    <row r="149" spans="2:7">
      <c r="B149" s="218"/>
      <c r="C149" s="222" t="s">
        <v>330</v>
      </c>
      <c r="D149" s="213" t="s">
        <v>66</v>
      </c>
      <c r="E149" s="214">
        <v>5</v>
      </c>
      <c r="F149" s="1599">
        <v>0</v>
      </c>
      <c r="G149" s="221">
        <f t="shared" si="8"/>
        <v>0</v>
      </c>
    </row>
    <row r="150" spans="2:7">
      <c r="B150" s="218"/>
      <c r="C150" s="222" t="s">
        <v>157</v>
      </c>
      <c r="D150" s="213" t="s">
        <v>66</v>
      </c>
      <c r="E150" s="214">
        <v>5</v>
      </c>
      <c r="F150" s="1599">
        <v>0</v>
      </c>
      <c r="G150" s="221">
        <f t="shared" si="8"/>
        <v>0</v>
      </c>
    </row>
    <row r="151" spans="2:7">
      <c r="B151" s="218"/>
      <c r="C151" s="234" t="s">
        <v>158</v>
      </c>
      <c r="D151" s="213" t="s">
        <v>66</v>
      </c>
      <c r="E151" s="214">
        <v>5</v>
      </c>
      <c r="F151" s="1599">
        <v>0</v>
      </c>
      <c r="G151" s="221">
        <f t="shared" si="8"/>
        <v>0</v>
      </c>
    </row>
    <row r="152" spans="2:7">
      <c r="B152" s="218"/>
      <c r="C152" s="234" t="s">
        <v>190</v>
      </c>
      <c r="D152" s="213" t="s">
        <v>66</v>
      </c>
      <c r="E152" s="214">
        <v>5</v>
      </c>
      <c r="F152" s="1599">
        <v>0</v>
      </c>
      <c r="G152" s="221">
        <f t="shared" si="8"/>
        <v>0</v>
      </c>
    </row>
    <row r="153" spans="2:7">
      <c r="B153" s="218"/>
      <c r="C153" s="234" t="s">
        <v>132</v>
      </c>
      <c r="D153" s="213" t="s">
        <v>66</v>
      </c>
      <c r="E153" s="214">
        <v>10</v>
      </c>
      <c r="F153" s="1599">
        <v>0</v>
      </c>
      <c r="G153" s="221">
        <f t="shared" si="8"/>
        <v>0</v>
      </c>
    </row>
    <row r="154" spans="2:7">
      <c r="B154" s="218"/>
      <c r="C154" s="234" t="s">
        <v>148</v>
      </c>
      <c r="D154" s="213" t="s">
        <v>66</v>
      </c>
      <c r="E154" s="214">
        <v>10</v>
      </c>
      <c r="F154" s="1599">
        <v>0</v>
      </c>
      <c r="G154" s="221">
        <f t="shared" si="8"/>
        <v>0</v>
      </c>
    </row>
    <row r="155" spans="2:7">
      <c r="B155" s="218"/>
      <c r="C155" s="234" t="s">
        <v>150</v>
      </c>
      <c r="D155" s="213" t="s">
        <v>66</v>
      </c>
      <c r="E155" s="214">
        <v>5</v>
      </c>
      <c r="F155" s="1599">
        <v>0</v>
      </c>
      <c r="G155" s="221">
        <f t="shared" si="8"/>
        <v>0</v>
      </c>
    </row>
    <row r="156" spans="2:7">
      <c r="B156" s="218"/>
      <c r="C156" s="235" t="s">
        <v>135</v>
      </c>
      <c r="D156" s="213" t="s">
        <v>66</v>
      </c>
      <c r="E156" s="214">
        <v>5</v>
      </c>
      <c r="F156" s="1599">
        <v>0</v>
      </c>
      <c r="G156" s="221">
        <f t="shared" si="8"/>
        <v>0</v>
      </c>
    </row>
    <row r="157" spans="2:7" ht="24">
      <c r="B157" s="199" t="s">
        <v>331</v>
      </c>
      <c r="C157" s="212" t="s">
        <v>332</v>
      </c>
      <c r="D157" s="735" t="s">
        <v>66</v>
      </c>
      <c r="E157" s="736">
        <v>5</v>
      </c>
      <c r="F157" s="1126">
        <v>0</v>
      </c>
      <c r="G157" s="1121">
        <f>E157*F157</f>
        <v>0</v>
      </c>
    </row>
    <row r="158" spans="2:7">
      <c r="B158" s="201" t="s">
        <v>168</v>
      </c>
      <c r="C158" s="223" t="s">
        <v>886</v>
      </c>
      <c r="D158" s="224"/>
      <c r="E158" s="225"/>
      <c r="F158" s="226"/>
      <c r="G158" s="227"/>
    </row>
    <row r="159" spans="2:7">
      <c r="B159" s="218"/>
      <c r="C159" s="223" t="s">
        <v>220</v>
      </c>
      <c r="D159" s="737"/>
      <c r="E159" s="738"/>
      <c r="F159" s="1768"/>
      <c r="G159" s="1714"/>
    </row>
    <row r="160" spans="2:7" ht="24">
      <c r="B160" s="218"/>
      <c r="C160" s="228" t="s">
        <v>2249</v>
      </c>
      <c r="D160" s="224" t="s">
        <v>66</v>
      </c>
      <c r="E160" s="225">
        <v>1</v>
      </c>
      <c r="F160" s="1768">
        <v>0</v>
      </c>
      <c r="G160" s="1714">
        <f t="shared" ref="G160:G190" si="9">E160*F160</f>
        <v>0</v>
      </c>
    </row>
    <row r="161" spans="2:7">
      <c r="B161" s="218"/>
      <c r="C161" s="739" t="s">
        <v>184</v>
      </c>
      <c r="D161" s="224" t="s">
        <v>66</v>
      </c>
      <c r="E161" s="225">
        <v>2</v>
      </c>
      <c r="F161" s="1768">
        <v>0</v>
      </c>
      <c r="G161" s="1714">
        <f t="shared" si="9"/>
        <v>0</v>
      </c>
    </row>
    <row r="162" spans="2:7">
      <c r="B162" s="218"/>
      <c r="C162" s="739" t="s">
        <v>132</v>
      </c>
      <c r="D162" s="224" t="s">
        <v>66</v>
      </c>
      <c r="E162" s="225">
        <v>1</v>
      </c>
      <c r="F162" s="1768">
        <v>0</v>
      </c>
      <c r="G162" s="1714">
        <f t="shared" si="9"/>
        <v>0</v>
      </c>
    </row>
    <row r="163" spans="2:7">
      <c r="B163" s="218"/>
      <c r="C163" s="739" t="s">
        <v>150</v>
      </c>
      <c r="D163" s="224" t="s">
        <v>66</v>
      </c>
      <c r="E163" s="225">
        <v>1</v>
      </c>
      <c r="F163" s="1768">
        <v>0</v>
      </c>
      <c r="G163" s="1714">
        <f t="shared" si="9"/>
        <v>0</v>
      </c>
    </row>
    <row r="164" spans="2:7">
      <c r="B164" s="218"/>
      <c r="C164" s="740" t="s">
        <v>135</v>
      </c>
      <c r="D164" s="224" t="s">
        <v>66</v>
      </c>
      <c r="E164" s="225">
        <v>1</v>
      </c>
      <c r="F164" s="1768">
        <v>0</v>
      </c>
      <c r="G164" s="1714">
        <f t="shared" si="9"/>
        <v>0</v>
      </c>
    </row>
    <row r="165" spans="2:7">
      <c r="B165" s="218"/>
      <c r="C165" s="223" t="s">
        <v>196</v>
      </c>
      <c r="D165" s="737"/>
      <c r="E165" s="738"/>
      <c r="F165" s="1768"/>
      <c r="G165" s="1714"/>
    </row>
    <row r="166" spans="2:7" ht="24">
      <c r="B166" s="218"/>
      <c r="C166" s="228" t="s">
        <v>2248</v>
      </c>
      <c r="D166" s="224" t="s">
        <v>66</v>
      </c>
      <c r="E166" s="225">
        <v>1</v>
      </c>
      <c r="F166" s="1768">
        <v>0</v>
      </c>
      <c r="G166" s="1714">
        <f t="shared" si="9"/>
        <v>0</v>
      </c>
    </row>
    <row r="167" spans="2:7">
      <c r="B167" s="218"/>
      <c r="C167" s="232" t="s">
        <v>132</v>
      </c>
      <c r="D167" s="224" t="s">
        <v>66</v>
      </c>
      <c r="E167" s="225">
        <v>3</v>
      </c>
      <c r="F167" s="1768">
        <v>0</v>
      </c>
      <c r="G167" s="1714">
        <f t="shared" si="9"/>
        <v>0</v>
      </c>
    </row>
    <row r="168" spans="2:7">
      <c r="B168" s="218"/>
      <c r="C168" s="232" t="s">
        <v>148</v>
      </c>
      <c r="D168" s="224" t="s">
        <v>66</v>
      </c>
      <c r="E168" s="225">
        <v>3</v>
      </c>
      <c r="F168" s="1768">
        <v>0</v>
      </c>
      <c r="G168" s="1714">
        <f t="shared" si="9"/>
        <v>0</v>
      </c>
    </row>
    <row r="169" spans="2:7">
      <c r="B169" s="218"/>
      <c r="C169" s="232" t="s">
        <v>150</v>
      </c>
      <c r="D169" s="224" t="s">
        <v>66</v>
      </c>
      <c r="E169" s="225">
        <v>1</v>
      </c>
      <c r="F169" s="1768">
        <v>0</v>
      </c>
      <c r="G169" s="1714">
        <f t="shared" si="9"/>
        <v>0</v>
      </c>
    </row>
    <row r="170" spans="2:7">
      <c r="B170" s="218"/>
      <c r="C170" s="233" t="s">
        <v>135</v>
      </c>
      <c r="D170" s="224" t="s">
        <v>66</v>
      </c>
      <c r="E170" s="225">
        <v>1</v>
      </c>
      <c r="F170" s="1768">
        <v>0</v>
      </c>
      <c r="G170" s="1714">
        <f t="shared" si="9"/>
        <v>0</v>
      </c>
    </row>
    <row r="171" spans="2:7">
      <c r="B171" s="218"/>
      <c r="C171" s="223" t="s">
        <v>228</v>
      </c>
      <c r="D171" s="737"/>
      <c r="E171" s="738"/>
      <c r="F171" s="1768"/>
      <c r="G171" s="1714"/>
    </row>
    <row r="172" spans="2:7" ht="24">
      <c r="B172" s="218"/>
      <c r="C172" s="228" t="s">
        <v>2247</v>
      </c>
      <c r="D172" s="224" t="s">
        <v>66</v>
      </c>
      <c r="E172" s="225">
        <v>1</v>
      </c>
      <c r="F172" s="1768">
        <v>0</v>
      </c>
      <c r="G172" s="1714">
        <f t="shared" si="9"/>
        <v>0</v>
      </c>
    </row>
    <row r="173" spans="2:7">
      <c r="B173" s="218"/>
      <c r="C173" s="739" t="s">
        <v>132</v>
      </c>
      <c r="D173" s="224" t="s">
        <v>66</v>
      </c>
      <c r="E173" s="225">
        <v>2</v>
      </c>
      <c r="F173" s="1768">
        <v>0</v>
      </c>
      <c r="G173" s="1714">
        <f t="shared" si="9"/>
        <v>0</v>
      </c>
    </row>
    <row r="174" spans="2:7">
      <c r="B174" s="218"/>
      <c r="C174" s="739" t="s">
        <v>166</v>
      </c>
      <c r="D174" s="224" t="s">
        <v>66</v>
      </c>
      <c r="E174" s="225">
        <v>1</v>
      </c>
      <c r="F174" s="1768">
        <v>0</v>
      </c>
      <c r="G174" s="1714">
        <f t="shared" si="9"/>
        <v>0</v>
      </c>
    </row>
    <row r="175" spans="2:7">
      <c r="B175" s="218"/>
      <c r="C175" s="739" t="s">
        <v>148</v>
      </c>
      <c r="D175" s="224" t="s">
        <v>66</v>
      </c>
      <c r="E175" s="225">
        <v>2</v>
      </c>
      <c r="F175" s="1768">
        <v>0</v>
      </c>
      <c r="G175" s="1714">
        <f t="shared" si="9"/>
        <v>0</v>
      </c>
    </row>
    <row r="176" spans="2:7">
      <c r="B176" s="218"/>
      <c r="C176" s="739" t="s">
        <v>167</v>
      </c>
      <c r="D176" s="224" t="s">
        <v>66</v>
      </c>
      <c r="E176" s="225">
        <v>1</v>
      </c>
      <c r="F176" s="1768">
        <v>0</v>
      </c>
      <c r="G176" s="1714">
        <f t="shared" si="9"/>
        <v>0</v>
      </c>
    </row>
    <row r="177" spans="2:8">
      <c r="B177" s="218"/>
      <c r="C177" s="739" t="s">
        <v>229</v>
      </c>
      <c r="D177" s="224" t="s">
        <v>66</v>
      </c>
      <c r="E177" s="225">
        <v>1</v>
      </c>
      <c r="F177" s="1768">
        <v>0</v>
      </c>
      <c r="G177" s="1714">
        <f t="shared" si="9"/>
        <v>0</v>
      </c>
    </row>
    <row r="178" spans="2:8">
      <c r="B178" s="218"/>
      <c r="C178" s="739" t="s">
        <v>230</v>
      </c>
      <c r="D178" s="224" t="s">
        <v>66</v>
      </c>
      <c r="E178" s="225">
        <v>1</v>
      </c>
      <c r="F178" s="1768">
        <v>0</v>
      </c>
      <c r="G178" s="1714">
        <f t="shared" si="9"/>
        <v>0</v>
      </c>
    </row>
    <row r="179" spans="2:8">
      <c r="B179" s="218"/>
      <c r="C179" s="739" t="s">
        <v>150</v>
      </c>
      <c r="D179" s="224" t="s">
        <v>66</v>
      </c>
      <c r="E179" s="225">
        <v>1</v>
      </c>
      <c r="F179" s="1768">
        <v>0</v>
      </c>
      <c r="G179" s="1714">
        <f t="shared" si="9"/>
        <v>0</v>
      </c>
    </row>
    <row r="180" spans="2:8">
      <c r="B180" s="218"/>
      <c r="C180" s="740" t="s">
        <v>135</v>
      </c>
      <c r="D180" s="224" t="s">
        <v>66</v>
      </c>
      <c r="E180" s="225">
        <v>1</v>
      </c>
      <c r="F180" s="1768">
        <v>0</v>
      </c>
      <c r="G180" s="1714">
        <f t="shared" si="9"/>
        <v>0</v>
      </c>
    </row>
    <row r="181" spans="2:8">
      <c r="B181" s="218"/>
      <c r="C181" s="223" t="s">
        <v>1442</v>
      </c>
      <c r="D181" s="737"/>
      <c r="E181" s="738"/>
      <c r="F181" s="1768"/>
      <c r="G181" s="1714"/>
    </row>
    <row r="182" spans="2:8" ht="24">
      <c r="B182" s="218"/>
      <c r="C182" s="228" t="s">
        <v>2247</v>
      </c>
      <c r="D182" s="224" t="s">
        <v>66</v>
      </c>
      <c r="E182" s="225">
        <v>1</v>
      </c>
      <c r="F182" s="1768">
        <v>0</v>
      </c>
      <c r="G182" s="1714">
        <f t="shared" si="9"/>
        <v>0</v>
      </c>
    </row>
    <row r="183" spans="2:8">
      <c r="B183" s="218"/>
      <c r="C183" s="739" t="s">
        <v>132</v>
      </c>
      <c r="D183" s="224" t="s">
        <v>66</v>
      </c>
      <c r="E183" s="225">
        <v>2</v>
      </c>
      <c r="F183" s="1768">
        <v>0</v>
      </c>
      <c r="G183" s="1714">
        <f t="shared" si="9"/>
        <v>0</v>
      </c>
    </row>
    <row r="184" spans="2:8">
      <c r="B184" s="218"/>
      <c r="C184" s="739" t="s">
        <v>166</v>
      </c>
      <c r="D184" s="224" t="s">
        <v>66</v>
      </c>
      <c r="E184" s="225">
        <v>1</v>
      </c>
      <c r="F184" s="1768">
        <v>0</v>
      </c>
      <c r="G184" s="1714">
        <f t="shared" si="9"/>
        <v>0</v>
      </c>
    </row>
    <row r="185" spans="2:8">
      <c r="B185" s="218"/>
      <c r="C185" s="739" t="s">
        <v>148</v>
      </c>
      <c r="D185" s="224" t="s">
        <v>66</v>
      </c>
      <c r="E185" s="225">
        <v>2</v>
      </c>
      <c r="F185" s="1768">
        <v>0</v>
      </c>
      <c r="G185" s="1714">
        <f t="shared" si="9"/>
        <v>0</v>
      </c>
    </row>
    <row r="186" spans="2:8">
      <c r="B186" s="218"/>
      <c r="C186" s="739" t="s">
        <v>167</v>
      </c>
      <c r="D186" s="224" t="s">
        <v>66</v>
      </c>
      <c r="E186" s="225">
        <v>1</v>
      </c>
      <c r="F186" s="1768">
        <v>0</v>
      </c>
      <c r="G186" s="1714">
        <f t="shared" si="9"/>
        <v>0</v>
      </c>
    </row>
    <row r="187" spans="2:8">
      <c r="B187" s="218"/>
      <c r="C187" s="739" t="s">
        <v>1443</v>
      </c>
      <c r="D187" s="224" t="s">
        <v>66</v>
      </c>
      <c r="E187" s="225">
        <v>1</v>
      </c>
      <c r="F187" s="1768">
        <v>0</v>
      </c>
      <c r="G187" s="1714">
        <f t="shared" si="9"/>
        <v>0</v>
      </c>
    </row>
    <row r="188" spans="2:8">
      <c r="B188" s="218"/>
      <c r="C188" s="739" t="s">
        <v>1444</v>
      </c>
      <c r="D188" s="224" t="s">
        <v>66</v>
      </c>
      <c r="E188" s="225">
        <v>1</v>
      </c>
      <c r="F188" s="1768">
        <v>0</v>
      </c>
      <c r="G188" s="1714">
        <f t="shared" si="9"/>
        <v>0</v>
      </c>
    </row>
    <row r="189" spans="2:8">
      <c r="B189" s="218"/>
      <c r="C189" s="739" t="s">
        <v>150</v>
      </c>
      <c r="D189" s="224" t="s">
        <v>66</v>
      </c>
      <c r="E189" s="225">
        <v>1</v>
      </c>
      <c r="F189" s="1768">
        <v>0</v>
      </c>
      <c r="G189" s="1714">
        <f t="shared" si="9"/>
        <v>0</v>
      </c>
    </row>
    <row r="190" spans="2:8">
      <c r="B190" s="218"/>
      <c r="C190" s="740" t="s">
        <v>135</v>
      </c>
      <c r="D190" s="224" t="s">
        <v>66</v>
      </c>
      <c r="E190" s="225">
        <v>1</v>
      </c>
      <c r="F190" s="1768">
        <v>0</v>
      </c>
      <c r="G190" s="1714">
        <f t="shared" si="9"/>
        <v>0</v>
      </c>
    </row>
    <row r="191" spans="2:8">
      <c r="B191" s="218"/>
      <c r="C191" s="223" t="s">
        <v>1395</v>
      </c>
      <c r="D191" s="737"/>
      <c r="E191" s="738"/>
      <c r="F191" s="1605"/>
      <c r="G191" s="1646"/>
    </row>
    <row r="192" spans="2:8" s="217" customFormat="1">
      <c r="B192" s="218"/>
      <c r="C192" s="1655" t="s">
        <v>230</v>
      </c>
      <c r="D192" s="224" t="s">
        <v>66</v>
      </c>
      <c r="E192" s="225">
        <v>2</v>
      </c>
      <c r="F192" s="1768">
        <v>0</v>
      </c>
      <c r="G192" s="1714">
        <f t="shared" ref="G192:G194" si="10">E192*F192</f>
        <v>0</v>
      </c>
      <c r="H192" s="1703"/>
    </row>
    <row r="193" spans="2:8" s="217" customFormat="1">
      <c r="B193" s="218"/>
      <c r="C193" s="1655" t="s">
        <v>2255</v>
      </c>
      <c r="D193" s="224" t="s">
        <v>66</v>
      </c>
      <c r="E193" s="225">
        <v>2</v>
      </c>
      <c r="F193" s="1768">
        <v>0</v>
      </c>
      <c r="G193" s="1714">
        <f t="shared" si="10"/>
        <v>0</v>
      </c>
      <c r="H193" s="1703"/>
    </row>
    <row r="194" spans="2:8" s="217" customFormat="1">
      <c r="B194" s="218"/>
      <c r="C194" s="1655" t="s">
        <v>1444</v>
      </c>
      <c r="D194" s="224" t="s">
        <v>66</v>
      </c>
      <c r="E194" s="225">
        <v>2</v>
      </c>
      <c r="F194" s="1768">
        <v>0</v>
      </c>
      <c r="G194" s="1714">
        <f t="shared" si="10"/>
        <v>0</v>
      </c>
      <c r="H194" s="1703"/>
    </row>
    <row r="195" spans="2:8">
      <c r="B195" s="201" t="s">
        <v>172</v>
      </c>
      <c r="C195" s="238" t="s">
        <v>169</v>
      </c>
      <c r="D195" s="239"/>
      <c r="E195" s="240"/>
      <c r="F195" s="241"/>
      <c r="G195" s="242"/>
    </row>
    <row r="196" spans="2:8">
      <c r="B196" s="218"/>
      <c r="C196" s="238" t="s">
        <v>170</v>
      </c>
      <c r="D196" s="153"/>
      <c r="E196" s="741"/>
      <c r="F196" s="1611"/>
      <c r="G196" s="263"/>
    </row>
    <row r="197" spans="2:8" ht="36">
      <c r="B197" s="218"/>
      <c r="C197" s="243" t="s">
        <v>2246</v>
      </c>
      <c r="D197" s="239" t="s">
        <v>66</v>
      </c>
      <c r="E197" s="240">
        <v>21</v>
      </c>
      <c r="F197" s="1609">
        <v>0</v>
      </c>
      <c r="G197" s="245">
        <f t="shared" ref="G197:G204" si="11">E197*F197</f>
        <v>0</v>
      </c>
    </row>
    <row r="198" spans="2:8">
      <c r="B198" s="218"/>
      <c r="C198" s="1129" t="s">
        <v>171</v>
      </c>
      <c r="D198" s="239" t="s">
        <v>66</v>
      </c>
      <c r="E198" s="240">
        <v>21</v>
      </c>
      <c r="F198" s="1609">
        <v>0</v>
      </c>
      <c r="G198" s="245">
        <f t="shared" si="11"/>
        <v>0</v>
      </c>
    </row>
    <row r="199" spans="2:8">
      <c r="B199" s="218"/>
      <c r="C199" s="1130" t="s">
        <v>135</v>
      </c>
      <c r="D199" s="239" t="s">
        <v>66</v>
      </c>
      <c r="E199" s="240">
        <v>21</v>
      </c>
      <c r="F199" s="1609">
        <v>0</v>
      </c>
      <c r="G199" s="245">
        <f t="shared" si="11"/>
        <v>0</v>
      </c>
    </row>
    <row r="200" spans="2:8">
      <c r="B200" s="218"/>
      <c r="C200" s="238" t="s">
        <v>234</v>
      </c>
      <c r="D200" s="153"/>
      <c r="E200" s="741"/>
      <c r="F200" s="1609"/>
      <c r="G200" s="245"/>
    </row>
    <row r="201" spans="2:8" ht="36">
      <c r="B201" s="218"/>
      <c r="C201" s="243" t="s">
        <v>2245</v>
      </c>
      <c r="D201" s="239" t="s">
        <v>66</v>
      </c>
      <c r="E201" s="240">
        <v>17</v>
      </c>
      <c r="F201" s="1609">
        <v>0</v>
      </c>
      <c r="G201" s="245">
        <f t="shared" si="11"/>
        <v>0</v>
      </c>
    </row>
    <row r="202" spans="2:8">
      <c r="B202" s="218"/>
      <c r="C202" s="246" t="s">
        <v>171</v>
      </c>
      <c r="D202" s="239" t="s">
        <v>66</v>
      </c>
      <c r="E202" s="240">
        <v>17</v>
      </c>
      <c r="F202" s="1609">
        <v>0</v>
      </c>
      <c r="G202" s="245">
        <f t="shared" si="11"/>
        <v>0</v>
      </c>
    </row>
    <row r="203" spans="2:8">
      <c r="B203" s="218"/>
      <c r="C203" s="247" t="s">
        <v>135</v>
      </c>
      <c r="D203" s="239" t="s">
        <v>66</v>
      </c>
      <c r="E203" s="240">
        <v>17</v>
      </c>
      <c r="F203" s="1609">
        <v>0</v>
      </c>
      <c r="G203" s="245">
        <f t="shared" si="11"/>
        <v>0</v>
      </c>
    </row>
    <row r="204" spans="2:8">
      <c r="B204" s="218"/>
      <c r="C204" s="247" t="s">
        <v>891</v>
      </c>
      <c r="D204" s="239" t="s">
        <v>66</v>
      </c>
      <c r="E204" s="240">
        <v>17</v>
      </c>
      <c r="F204" s="1609">
        <v>0</v>
      </c>
      <c r="G204" s="245">
        <f t="shared" si="11"/>
        <v>0</v>
      </c>
    </row>
    <row r="205" spans="2:8">
      <c r="B205" s="201" t="s">
        <v>340</v>
      </c>
      <c r="C205" s="742" t="s">
        <v>173</v>
      </c>
      <c r="D205" s="743"/>
      <c r="E205" s="744"/>
      <c r="F205" s="1131"/>
      <c r="G205" s="1132"/>
    </row>
    <row r="206" spans="2:8" ht="72">
      <c r="B206" s="218"/>
      <c r="C206" s="745" t="s">
        <v>174</v>
      </c>
      <c r="D206" s="746" t="s">
        <v>66</v>
      </c>
      <c r="E206" s="747">
        <v>1</v>
      </c>
      <c r="F206" s="1617">
        <v>0</v>
      </c>
      <c r="G206" s="1132">
        <f>E206*F206</f>
        <v>0</v>
      </c>
    </row>
    <row r="207" spans="2:8">
      <c r="B207" s="258" t="s">
        <v>1445</v>
      </c>
      <c r="C207" s="259" t="s">
        <v>1396</v>
      </c>
      <c r="D207" s="260"/>
      <c r="E207" s="261"/>
      <c r="F207" s="262"/>
      <c r="G207" s="263">
        <f>SUM(G79:G206)</f>
        <v>0</v>
      </c>
    </row>
  </sheetData>
  <mergeCells count="6">
    <mergeCell ref="B86:B89"/>
    <mergeCell ref="B43:G43"/>
    <mergeCell ref="B51:B52"/>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A466-5E85-4B6D-AA1E-AA04613A8C37}">
  <sheetPr>
    <tabColor rgb="FF00B0F0"/>
  </sheetPr>
  <dimension ref="A2:Y205"/>
  <sheetViews>
    <sheetView showZeros="0" topLeftCell="A19"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0.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1446</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1447</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1448</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G63</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G205</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2447</v>
      </c>
      <c r="F26" s="1082">
        <v>0</v>
      </c>
      <c r="G26" s="1083">
        <f t="shared" ref="G26" si="0">E26*F26</f>
        <v>0</v>
      </c>
    </row>
    <row r="27" spans="2:25">
      <c r="B27" s="125">
        <v>2</v>
      </c>
      <c r="C27" s="144" t="s">
        <v>58</v>
      </c>
      <c r="D27" s="140" t="s">
        <v>57</v>
      </c>
      <c r="E27" s="1081">
        <f>E26</f>
        <v>2447</v>
      </c>
      <c r="F27" s="1082">
        <v>0</v>
      </c>
      <c r="G27" s="1083">
        <f>E27*F27</f>
        <v>0</v>
      </c>
    </row>
    <row r="28" spans="2:25" ht="24">
      <c r="B28" s="125">
        <v>3</v>
      </c>
      <c r="C28" s="144" t="s">
        <v>1389</v>
      </c>
      <c r="D28" s="146" t="s">
        <v>60</v>
      </c>
      <c r="E28" s="1081">
        <v>4</v>
      </c>
      <c r="F28" s="1082">
        <v>0</v>
      </c>
      <c r="G28" s="1083">
        <f t="shared" ref="G28:G36" si="1">E28*F28</f>
        <v>0</v>
      </c>
    </row>
    <row r="29" spans="2:25" ht="27.75" customHeight="1">
      <c r="B29" s="125">
        <v>4</v>
      </c>
      <c r="C29" s="1084" t="s">
        <v>63</v>
      </c>
      <c r="D29" s="140" t="s">
        <v>57</v>
      </c>
      <c r="E29" s="1081">
        <f>E26</f>
        <v>2447</v>
      </c>
      <c r="F29" s="1082">
        <v>0</v>
      </c>
      <c r="G29" s="1083">
        <f t="shared" si="1"/>
        <v>0</v>
      </c>
    </row>
    <row r="30" spans="2:25" ht="52.5" customHeight="1">
      <c r="B30" s="125">
        <v>5</v>
      </c>
      <c r="C30" s="1084" t="s">
        <v>64</v>
      </c>
      <c r="D30" s="146" t="s">
        <v>60</v>
      </c>
      <c r="E30" s="1081">
        <v>1</v>
      </c>
      <c r="F30" s="1082">
        <v>0</v>
      </c>
      <c r="G30" s="1083">
        <f t="shared" si="1"/>
        <v>0</v>
      </c>
    </row>
    <row r="31" spans="2:25" ht="54" customHeight="1">
      <c r="B31" s="125">
        <v>6</v>
      </c>
      <c r="C31" s="1080" t="s">
        <v>2292</v>
      </c>
      <c r="D31" s="146" t="s">
        <v>66</v>
      </c>
      <c r="E31" s="1081">
        <v>70</v>
      </c>
      <c r="F31" s="1082">
        <v>0</v>
      </c>
      <c r="G31" s="1083">
        <f t="shared" si="1"/>
        <v>0</v>
      </c>
    </row>
    <row r="32" spans="2:25" ht="39" customHeight="1">
      <c r="B32" s="125">
        <v>7</v>
      </c>
      <c r="C32" s="1080" t="s">
        <v>2295</v>
      </c>
      <c r="D32" s="146" t="s">
        <v>57</v>
      </c>
      <c r="E32" s="1081">
        <f>E26+E81+E82</f>
        <v>2882</v>
      </c>
      <c r="F32" s="1082">
        <v>0</v>
      </c>
      <c r="G32" s="1083">
        <f t="shared" si="1"/>
        <v>0</v>
      </c>
    </row>
    <row r="33" spans="1:25" ht="26.25" customHeight="1">
      <c r="B33" s="125">
        <v>8</v>
      </c>
      <c r="C33" s="1080" t="s">
        <v>2293</v>
      </c>
      <c r="D33" s="146" t="s">
        <v>57</v>
      </c>
      <c r="E33" s="1081">
        <f>E26+E81+E82</f>
        <v>2882</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E26*1.5*1.2*0.15</f>
        <v>660.68999999999994</v>
      </c>
      <c r="F44" s="1092">
        <v>0</v>
      </c>
      <c r="G44" s="1093">
        <f t="shared" ref="G44:G61"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E26*1.5*1.2*0.85</f>
        <v>3743.9099999999994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E26*1.5</f>
        <v>3670.5</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E26</f>
        <v>2447</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E26*1.2*1</f>
        <v>2936.4</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E26*1.5*0.4</f>
        <v>1468.2</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24</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1391</v>
      </c>
      <c r="D51" s="140" t="s">
        <v>78</v>
      </c>
      <c r="E51" s="1094">
        <f>E26*1.2</f>
        <v>2936.4</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52.5" customHeight="1">
      <c r="A53" s="1"/>
      <c r="B53" s="167">
        <v>10</v>
      </c>
      <c r="C53" s="397" t="s">
        <v>879</v>
      </c>
      <c r="D53" s="145" t="s">
        <v>78</v>
      </c>
      <c r="E53" s="1094">
        <v>5</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717">
        <v>11</v>
      </c>
      <c r="C54" s="139" t="s">
        <v>264</v>
      </c>
      <c r="D54" s="145" t="s">
        <v>74</v>
      </c>
      <c r="E54" s="128">
        <f>E44+E45+(E51*0.06)-E48</f>
        <v>1644.3839999999996</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167">
        <v>12</v>
      </c>
      <c r="C55" s="139" t="s">
        <v>265</v>
      </c>
      <c r="D55" s="145" t="s">
        <v>74</v>
      </c>
      <c r="E55" s="128">
        <f>E54</f>
        <v>1644.3839999999996</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717">
        <v>13</v>
      </c>
      <c r="C56" s="126" t="s">
        <v>95</v>
      </c>
      <c r="D56" s="140" t="s">
        <v>74</v>
      </c>
      <c r="E56" s="1094">
        <f>E26*0.75*0.1</f>
        <v>183.52500000000001</v>
      </c>
      <c r="F56" s="1092">
        <v>0</v>
      </c>
      <c r="G56" s="1083">
        <f t="shared" si="2"/>
        <v>0</v>
      </c>
      <c r="I56" s="1"/>
      <c r="J56" s="1"/>
      <c r="K56" s="1"/>
      <c r="L56" s="1"/>
      <c r="M56" s="1"/>
      <c r="N56" s="1"/>
      <c r="O56" s="1"/>
      <c r="P56" s="1"/>
      <c r="Q56" s="1"/>
      <c r="R56" s="1"/>
      <c r="S56" s="1"/>
      <c r="T56" s="1"/>
      <c r="U56" s="1"/>
      <c r="V56" s="1"/>
      <c r="W56" s="1"/>
      <c r="X56" s="1"/>
      <c r="Y56" s="1"/>
    </row>
    <row r="57" spans="1:25" s="8" customFormat="1" ht="24">
      <c r="A57" s="1"/>
      <c r="B57" s="167">
        <v>14</v>
      </c>
      <c r="C57" s="177" t="s">
        <v>96</v>
      </c>
      <c r="D57" s="140" t="s">
        <v>57</v>
      </c>
      <c r="E57" s="1094">
        <v>45</v>
      </c>
      <c r="F57" s="1092">
        <v>0</v>
      </c>
      <c r="G57" s="1083">
        <f t="shared" si="2"/>
        <v>0</v>
      </c>
      <c r="I57" s="1"/>
      <c r="J57" s="1"/>
      <c r="K57" s="1"/>
      <c r="L57" s="1"/>
      <c r="M57" s="1"/>
      <c r="N57" s="1"/>
      <c r="O57" s="1"/>
      <c r="P57" s="1"/>
      <c r="Q57" s="1"/>
      <c r="R57" s="1"/>
      <c r="S57" s="1"/>
      <c r="T57" s="1"/>
      <c r="U57" s="1"/>
      <c r="V57" s="1"/>
      <c r="W57" s="1"/>
      <c r="X57" s="1"/>
      <c r="Y57" s="1"/>
    </row>
    <row r="58" spans="1:25" s="8" customFormat="1" ht="48">
      <c r="A58" s="1"/>
      <c r="B58" s="717">
        <v>15</v>
      </c>
      <c r="C58" s="1096" t="s">
        <v>1393</v>
      </c>
      <c r="D58" s="182" t="s">
        <v>74</v>
      </c>
      <c r="E58" s="1097">
        <v>15</v>
      </c>
      <c r="F58" s="1092">
        <v>0</v>
      </c>
      <c r="G58" s="1083">
        <f t="shared" si="2"/>
        <v>0</v>
      </c>
      <c r="I58" s="1"/>
      <c r="J58" s="1"/>
      <c r="K58" s="1"/>
      <c r="L58" s="1"/>
      <c r="M58" s="1"/>
      <c r="N58" s="1"/>
      <c r="O58" s="1"/>
      <c r="P58" s="1"/>
      <c r="Q58" s="1"/>
      <c r="R58" s="1"/>
      <c r="S58" s="1"/>
      <c r="T58" s="1"/>
      <c r="U58" s="1"/>
      <c r="V58" s="1"/>
      <c r="W58" s="1"/>
      <c r="X58" s="1"/>
      <c r="Y58" s="1"/>
    </row>
    <row r="59" spans="1:25" s="8" customFormat="1" ht="39" customHeight="1">
      <c r="A59" s="1"/>
      <c r="B59" s="167">
        <v>16</v>
      </c>
      <c r="C59" s="1096" t="s">
        <v>270</v>
      </c>
      <c r="D59" s="182" t="s">
        <v>66</v>
      </c>
      <c r="E59" s="1097">
        <v>165</v>
      </c>
      <c r="F59" s="1092">
        <v>0</v>
      </c>
      <c r="G59" s="1083">
        <f t="shared" si="2"/>
        <v>0</v>
      </c>
      <c r="I59" s="1"/>
      <c r="J59" s="1"/>
      <c r="K59" s="1"/>
      <c r="L59" s="1"/>
      <c r="M59" s="1"/>
      <c r="N59" s="1"/>
      <c r="O59" s="1"/>
      <c r="P59" s="1"/>
      <c r="Q59" s="1"/>
      <c r="R59" s="1"/>
      <c r="S59" s="1"/>
      <c r="T59" s="1"/>
      <c r="U59" s="1"/>
      <c r="V59" s="1"/>
      <c r="W59" s="1"/>
      <c r="X59" s="1"/>
      <c r="Y59" s="1"/>
    </row>
    <row r="60" spans="1:25" s="8" customFormat="1" ht="36">
      <c r="A60" s="1"/>
      <c r="B60" s="717">
        <v>17</v>
      </c>
      <c r="C60" s="1096" t="s">
        <v>99</v>
      </c>
      <c r="D60" s="182" t="s">
        <v>74</v>
      </c>
      <c r="E60" s="1097">
        <v>7</v>
      </c>
      <c r="F60" s="1092">
        <v>0</v>
      </c>
      <c r="G60" s="1083">
        <f t="shared" si="2"/>
        <v>0</v>
      </c>
      <c r="I60" s="1"/>
      <c r="J60" s="1"/>
      <c r="K60" s="1"/>
      <c r="L60" s="1"/>
      <c r="M60" s="1"/>
      <c r="N60" s="1"/>
      <c r="O60" s="1"/>
      <c r="P60" s="1"/>
      <c r="Q60" s="1"/>
      <c r="R60" s="1"/>
      <c r="S60" s="1"/>
      <c r="T60" s="1"/>
      <c r="U60" s="1"/>
      <c r="V60" s="1"/>
      <c r="W60" s="1"/>
      <c r="X60" s="1"/>
      <c r="Y60" s="1"/>
    </row>
    <row r="61" spans="1:25" s="8" customFormat="1" ht="27.75" customHeight="1">
      <c r="A61" s="1"/>
      <c r="B61" s="167">
        <v>18</v>
      </c>
      <c r="C61" s="1096" t="s">
        <v>100</v>
      </c>
      <c r="D61" s="182" t="s">
        <v>65</v>
      </c>
      <c r="E61" s="1097">
        <v>40</v>
      </c>
      <c r="F61" s="1092">
        <v>0</v>
      </c>
      <c r="G61" s="1083">
        <f t="shared" si="2"/>
        <v>0</v>
      </c>
      <c r="I61" s="1"/>
      <c r="J61" s="1"/>
      <c r="K61" s="1"/>
      <c r="L61" s="1"/>
      <c r="M61" s="1"/>
      <c r="N61" s="1"/>
      <c r="O61" s="1"/>
      <c r="P61" s="1"/>
      <c r="Q61" s="1"/>
      <c r="R61" s="1"/>
      <c r="S61" s="1"/>
      <c r="T61" s="1"/>
      <c r="U61" s="1"/>
      <c r="V61" s="1"/>
      <c r="W61" s="1"/>
      <c r="X61" s="1"/>
      <c r="Y61" s="1"/>
    </row>
    <row r="62" spans="1:25" s="8" customFormat="1">
      <c r="A62" s="1"/>
      <c r="B62" s="167"/>
      <c r="C62" s="1098"/>
      <c r="D62" s="1099"/>
      <c r="E62" s="1100"/>
      <c r="F62" s="1101"/>
      <c r="G62" s="1102"/>
      <c r="I62" s="1"/>
      <c r="J62" s="1"/>
      <c r="K62" s="1"/>
      <c r="L62" s="1"/>
      <c r="M62" s="1"/>
      <c r="N62" s="1"/>
      <c r="O62" s="1"/>
      <c r="P62" s="1"/>
      <c r="Q62" s="1"/>
      <c r="R62" s="1"/>
      <c r="S62" s="1"/>
      <c r="T62" s="1"/>
      <c r="U62" s="1"/>
      <c r="V62" s="1"/>
      <c r="W62" s="1"/>
      <c r="X62" s="1"/>
      <c r="Y62" s="1"/>
    </row>
    <row r="63" spans="1:25" s="8" customFormat="1">
      <c r="A63" s="1"/>
      <c r="B63" s="151" t="s">
        <v>45</v>
      </c>
      <c r="C63" s="1086" t="s">
        <v>101</v>
      </c>
      <c r="D63" s="1103"/>
      <c r="E63" s="1088"/>
      <c r="F63" s="1089"/>
      <c r="G63" s="263">
        <f>SUM(G44:G61)</f>
        <v>0</v>
      </c>
      <c r="I63" s="1"/>
      <c r="J63" s="1"/>
      <c r="K63" s="1"/>
      <c r="L63" s="1"/>
      <c r="M63" s="1"/>
      <c r="N63" s="1"/>
      <c r="O63" s="1"/>
      <c r="P63" s="1"/>
      <c r="Q63" s="1"/>
      <c r="R63" s="1"/>
      <c r="S63" s="1"/>
      <c r="T63" s="1"/>
      <c r="U63" s="1"/>
      <c r="V63" s="1"/>
      <c r="W63" s="1"/>
      <c r="X63" s="1"/>
      <c r="Y63" s="1"/>
    </row>
    <row r="64" spans="1:25" s="8" customFormat="1">
      <c r="A64" s="1"/>
      <c r="B64" s="67"/>
      <c r="C64" s="68"/>
      <c r="D64" s="1188"/>
      <c r="E64" s="1104"/>
      <c r="F64" s="1105"/>
      <c r="G64" s="1106"/>
      <c r="I64" s="1"/>
      <c r="J64" s="1"/>
      <c r="K64" s="1"/>
      <c r="L64" s="1"/>
      <c r="M64" s="1"/>
      <c r="N64" s="1"/>
      <c r="O64" s="1"/>
      <c r="P64" s="1"/>
      <c r="Q64" s="1"/>
      <c r="R64" s="1"/>
      <c r="S64" s="1"/>
      <c r="T64" s="1"/>
      <c r="U64" s="1"/>
      <c r="V64" s="1"/>
      <c r="W64" s="1"/>
      <c r="X64" s="1"/>
      <c r="Y64" s="1"/>
    </row>
    <row r="65" spans="1:25" s="8" customFormat="1" ht="24">
      <c r="A65" s="1"/>
      <c r="B65" s="119" t="s">
        <v>50</v>
      </c>
      <c r="C65" s="120" t="s">
        <v>51</v>
      </c>
      <c r="D65" s="120" t="s">
        <v>52</v>
      </c>
      <c r="E65" s="122" t="s">
        <v>53</v>
      </c>
      <c r="F65" s="123" t="s">
        <v>54</v>
      </c>
      <c r="G65" s="124" t="s">
        <v>55</v>
      </c>
      <c r="I65" s="1"/>
      <c r="J65" s="1"/>
      <c r="K65" s="1"/>
      <c r="L65" s="1"/>
      <c r="M65" s="1"/>
      <c r="N65" s="1"/>
      <c r="O65" s="1"/>
      <c r="P65" s="1"/>
      <c r="Q65" s="1"/>
      <c r="R65" s="1"/>
      <c r="S65" s="1"/>
      <c r="T65" s="1"/>
      <c r="U65" s="1"/>
      <c r="V65" s="1"/>
      <c r="W65" s="1"/>
      <c r="X65" s="1"/>
      <c r="Y65" s="1"/>
    </row>
    <row r="66" spans="1:25" s="8" customFormat="1">
      <c r="A66" s="1"/>
      <c r="B66" s="125"/>
      <c r="C66" s="126"/>
      <c r="D66" s="140"/>
      <c r="E66" s="719"/>
      <c r="F66" s="1107"/>
      <c r="G66" s="731"/>
      <c r="I66" s="1"/>
      <c r="J66" s="1"/>
      <c r="K66" s="1"/>
      <c r="L66" s="1"/>
      <c r="M66" s="1"/>
      <c r="N66" s="1"/>
      <c r="O66" s="1"/>
      <c r="P66" s="1"/>
      <c r="Q66" s="1"/>
      <c r="R66" s="1"/>
      <c r="S66" s="1"/>
      <c r="T66" s="1"/>
      <c r="U66" s="1"/>
      <c r="V66" s="1"/>
      <c r="W66" s="1"/>
      <c r="X66" s="1"/>
      <c r="Y66" s="1"/>
    </row>
    <row r="67" spans="1:25" s="8" customFormat="1" ht="20.25">
      <c r="A67" s="1"/>
      <c r="B67" s="186" t="s">
        <v>47</v>
      </c>
      <c r="C67" s="187" t="s">
        <v>48</v>
      </c>
      <c r="D67" s="165"/>
      <c r="E67" s="134"/>
      <c r="F67" s="135"/>
      <c r="G67" s="136"/>
      <c r="I67" s="1"/>
      <c r="J67" s="1"/>
      <c r="K67" s="1"/>
      <c r="L67" s="1"/>
      <c r="M67" s="1"/>
      <c r="N67" s="1"/>
      <c r="O67" s="1"/>
      <c r="P67" s="1"/>
      <c r="Q67" s="1"/>
      <c r="R67" s="1"/>
      <c r="S67" s="1"/>
      <c r="T67" s="1"/>
      <c r="U67" s="1"/>
      <c r="V67" s="1"/>
      <c r="W67" s="1"/>
      <c r="X67" s="1"/>
      <c r="Y67" s="1"/>
    </row>
    <row r="68" spans="1:25" s="8" customFormat="1">
      <c r="A68" s="1"/>
      <c r="B68" s="1108" t="s">
        <v>38</v>
      </c>
      <c r="C68" s="1109"/>
      <c r="D68" s="2235"/>
      <c r="E68" s="1109"/>
      <c r="F68" s="1109"/>
      <c r="G68" s="1110"/>
      <c r="I68" s="1"/>
      <c r="J68" s="1"/>
      <c r="K68" s="1"/>
      <c r="L68" s="1"/>
      <c r="M68" s="1"/>
      <c r="N68" s="1"/>
      <c r="O68" s="1"/>
      <c r="P68" s="1"/>
      <c r="Q68" s="1"/>
      <c r="R68" s="1"/>
      <c r="S68" s="1"/>
      <c r="T68" s="1"/>
      <c r="U68" s="1"/>
      <c r="V68" s="1"/>
      <c r="W68" s="1"/>
      <c r="X68" s="1"/>
      <c r="Y68" s="1"/>
    </row>
    <row r="69" spans="1:25" s="8" customFormat="1">
      <c r="A69" s="1"/>
      <c r="B69" s="1111" t="s">
        <v>39</v>
      </c>
      <c r="C69" s="1112"/>
      <c r="D69" s="2236"/>
      <c r="E69" s="1112"/>
      <c r="F69" s="1112"/>
      <c r="G69" s="1113"/>
      <c r="I69" s="1"/>
      <c r="J69" s="1"/>
      <c r="K69" s="1"/>
      <c r="L69" s="1"/>
      <c r="M69" s="1"/>
      <c r="N69" s="1"/>
      <c r="O69" s="1"/>
      <c r="P69" s="1"/>
      <c r="Q69" s="1"/>
      <c r="R69" s="1"/>
      <c r="S69" s="1"/>
      <c r="T69" s="1"/>
      <c r="U69" s="1"/>
      <c r="V69" s="1"/>
      <c r="W69" s="1"/>
      <c r="X69" s="1"/>
      <c r="Y69" s="1"/>
    </row>
    <row r="70" spans="1:25" s="8" customFormat="1">
      <c r="A70" s="1"/>
      <c r="B70" s="1108" t="s">
        <v>4</v>
      </c>
      <c r="C70" s="1109"/>
      <c r="D70" s="2237"/>
      <c r="E70" s="1109"/>
      <c r="F70" s="1109"/>
      <c r="G70" s="1110"/>
      <c r="I70" s="1"/>
      <c r="J70" s="1"/>
      <c r="K70" s="1"/>
      <c r="L70" s="1"/>
      <c r="M70" s="1"/>
      <c r="N70" s="1"/>
      <c r="O70" s="1"/>
      <c r="P70" s="1"/>
      <c r="Q70" s="1"/>
      <c r="R70" s="1"/>
      <c r="S70" s="1"/>
      <c r="T70" s="1"/>
      <c r="U70" s="1"/>
      <c r="V70" s="1"/>
      <c r="W70" s="1"/>
      <c r="X70" s="1"/>
      <c r="Y70" s="1"/>
    </row>
    <row r="71" spans="1:25" s="8" customFormat="1">
      <c r="A71" s="1"/>
      <c r="B71" s="1111" t="s">
        <v>5</v>
      </c>
      <c r="C71" s="1112"/>
      <c r="D71" s="2236"/>
      <c r="E71" s="1112"/>
      <c r="F71" s="1112"/>
      <c r="G71" s="1113"/>
      <c r="I71" s="1"/>
      <c r="J71" s="1"/>
      <c r="K71" s="1"/>
      <c r="L71" s="1"/>
      <c r="M71" s="1"/>
      <c r="N71" s="1"/>
      <c r="O71" s="1"/>
      <c r="P71" s="1"/>
      <c r="Q71" s="1"/>
      <c r="R71" s="1"/>
      <c r="S71" s="1"/>
      <c r="T71" s="1"/>
      <c r="U71" s="1"/>
      <c r="V71" s="1"/>
      <c r="W71" s="1"/>
      <c r="X71" s="1"/>
      <c r="Y71" s="1"/>
    </row>
    <row r="72" spans="1:25" s="8" customFormat="1">
      <c r="A72" s="1"/>
      <c r="B72" s="2399" t="s">
        <v>271</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104</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2399" t="s">
        <v>105</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1115"/>
      <c r="C75" s="1116"/>
      <c r="D75" s="2238"/>
      <c r="E75" s="1116"/>
      <c r="F75" s="1116"/>
      <c r="G75" s="1117"/>
      <c r="I75" s="1"/>
      <c r="J75" s="1"/>
      <c r="K75" s="1"/>
      <c r="L75" s="1"/>
      <c r="M75" s="1"/>
      <c r="N75" s="1"/>
      <c r="O75" s="1"/>
      <c r="P75" s="1"/>
      <c r="Q75" s="1"/>
      <c r="R75" s="1"/>
      <c r="S75" s="1"/>
      <c r="T75" s="1"/>
      <c r="U75" s="1"/>
      <c r="V75" s="1"/>
      <c r="W75" s="1"/>
      <c r="X75" s="1"/>
      <c r="Y75" s="1"/>
    </row>
    <row r="76" spans="1:25" ht="24">
      <c r="B76" s="188">
        <v>1</v>
      </c>
      <c r="C76" s="1156" t="s">
        <v>106</v>
      </c>
      <c r="D76" s="190"/>
      <c r="E76" s="719"/>
      <c r="F76" s="1107"/>
      <c r="G76" s="731"/>
    </row>
    <row r="77" spans="1:25" s="8" customFormat="1">
      <c r="A77" s="1"/>
      <c r="B77" s="191"/>
      <c r="C77" s="1157" t="s">
        <v>107</v>
      </c>
      <c r="D77" s="190" t="s">
        <v>57</v>
      </c>
      <c r="E77" s="719">
        <f>684*0.9</f>
        <v>615.6</v>
      </c>
      <c r="F77" s="1092">
        <v>0</v>
      </c>
      <c r="G77" s="1093">
        <f>+E77*F77</f>
        <v>0</v>
      </c>
      <c r="I77" s="1"/>
      <c r="J77" s="1"/>
      <c r="K77" s="1"/>
      <c r="L77" s="1"/>
      <c r="M77" s="1"/>
      <c r="N77" s="1"/>
      <c r="O77" s="1"/>
      <c r="P77" s="1"/>
      <c r="Q77" s="1"/>
      <c r="R77" s="1"/>
      <c r="S77" s="1"/>
      <c r="T77" s="1"/>
      <c r="U77" s="1"/>
      <c r="V77" s="1"/>
      <c r="W77" s="1"/>
      <c r="X77" s="1"/>
      <c r="Y77" s="1"/>
    </row>
    <row r="78" spans="1:25" s="8" customFormat="1" ht="24">
      <c r="A78" s="1"/>
      <c r="B78" s="191"/>
      <c r="C78" s="1157" t="s">
        <v>884</v>
      </c>
      <c r="D78" s="190" t="s">
        <v>57</v>
      </c>
      <c r="E78" s="719">
        <f>684*0.1</f>
        <v>68.400000000000006</v>
      </c>
      <c r="F78" s="1092">
        <v>0</v>
      </c>
      <c r="G78" s="1093">
        <f t="shared" ref="G78:G90" si="3">+E78*F78</f>
        <v>0</v>
      </c>
      <c r="I78" s="1"/>
      <c r="J78" s="1"/>
      <c r="K78" s="1"/>
      <c r="L78" s="1"/>
      <c r="M78" s="1"/>
      <c r="N78" s="1"/>
      <c r="O78" s="1"/>
      <c r="P78" s="1"/>
      <c r="Q78" s="1"/>
      <c r="R78" s="1"/>
      <c r="S78" s="1"/>
      <c r="T78" s="1"/>
      <c r="U78" s="1"/>
      <c r="V78" s="1"/>
      <c r="W78" s="1"/>
      <c r="X78" s="1"/>
      <c r="Y78" s="1"/>
    </row>
    <row r="79" spans="1:25">
      <c r="B79" s="191"/>
      <c r="C79" s="1157" t="s">
        <v>226</v>
      </c>
      <c r="D79" s="190" t="s">
        <v>57</v>
      </c>
      <c r="E79" s="719">
        <f>1763*0.9</f>
        <v>1586.7</v>
      </c>
      <c r="F79" s="1092">
        <v>0</v>
      </c>
      <c r="G79" s="1093">
        <f t="shared" si="3"/>
        <v>0</v>
      </c>
    </row>
    <row r="80" spans="1:25" ht="24">
      <c r="B80" s="191"/>
      <c r="C80" s="1157" t="s">
        <v>227</v>
      </c>
      <c r="D80" s="190" t="s">
        <v>57</v>
      </c>
      <c r="E80" s="719">
        <f>1763*0.1</f>
        <v>176.3</v>
      </c>
      <c r="F80" s="1092">
        <v>0</v>
      </c>
      <c r="G80" s="1093">
        <f t="shared" si="3"/>
        <v>0</v>
      </c>
    </row>
    <row r="81" spans="2:7">
      <c r="B81" s="191"/>
      <c r="C81" s="1157" t="s">
        <v>109</v>
      </c>
      <c r="D81" s="190" t="s">
        <v>57</v>
      </c>
      <c r="E81" s="719">
        <f>435*0.9</f>
        <v>391.5</v>
      </c>
      <c r="F81" s="1092">
        <v>0</v>
      </c>
      <c r="G81" s="1093">
        <f t="shared" si="3"/>
        <v>0</v>
      </c>
    </row>
    <row r="82" spans="2:7" ht="24">
      <c r="B82" s="191"/>
      <c r="C82" s="1157" t="s">
        <v>110</v>
      </c>
      <c r="D82" s="190" t="s">
        <v>57</v>
      </c>
      <c r="E82" s="719">
        <f>435*0.1</f>
        <v>43.5</v>
      </c>
      <c r="F82" s="1092">
        <v>0</v>
      </c>
      <c r="G82" s="1093">
        <f t="shared" si="3"/>
        <v>0</v>
      </c>
    </row>
    <row r="83" spans="2:7" ht="36">
      <c r="B83" s="2404" t="s">
        <v>111</v>
      </c>
      <c r="C83" s="193" t="s">
        <v>112</v>
      </c>
      <c r="D83" s="194"/>
      <c r="E83" s="719"/>
      <c r="F83" s="1092"/>
      <c r="G83" s="1093"/>
    </row>
    <row r="84" spans="2:7">
      <c r="B84" s="2405"/>
      <c r="C84" s="195" t="s">
        <v>113</v>
      </c>
      <c r="D84" s="194" t="s">
        <v>57</v>
      </c>
      <c r="E84" s="719">
        <v>102</v>
      </c>
      <c r="F84" s="1092">
        <v>0</v>
      </c>
      <c r="G84" s="1093">
        <f t="shared" si="3"/>
        <v>0</v>
      </c>
    </row>
    <row r="85" spans="2:7">
      <c r="B85" s="2405"/>
      <c r="C85" s="195" t="s">
        <v>274</v>
      </c>
      <c r="D85" s="194" t="s">
        <v>57</v>
      </c>
      <c r="E85" s="719">
        <v>264</v>
      </c>
      <c r="F85" s="1092">
        <v>0</v>
      </c>
      <c r="G85" s="1093">
        <f t="shared" si="3"/>
        <v>0</v>
      </c>
    </row>
    <row r="86" spans="2:7">
      <c r="B86" s="2413"/>
      <c r="C86" s="195" t="s">
        <v>275</v>
      </c>
      <c r="D86" s="194" t="s">
        <v>57</v>
      </c>
      <c r="E86" s="719">
        <v>80</v>
      </c>
      <c r="F86" s="1092">
        <v>0</v>
      </c>
      <c r="G86" s="1093">
        <f t="shared" si="3"/>
        <v>0</v>
      </c>
    </row>
    <row r="87" spans="2:7" ht="48">
      <c r="B87" s="196">
        <v>2</v>
      </c>
      <c r="C87" s="197" t="s">
        <v>114</v>
      </c>
      <c r="D87" s="145" t="s">
        <v>57</v>
      </c>
      <c r="E87" s="732">
        <f>SUM(E77:E82)</f>
        <v>2882</v>
      </c>
      <c r="F87" s="1092">
        <v>0</v>
      </c>
      <c r="G87" s="1093">
        <f t="shared" si="3"/>
        <v>0</v>
      </c>
    </row>
    <row r="88" spans="2:7" ht="36">
      <c r="B88" s="199" t="s">
        <v>115</v>
      </c>
      <c r="C88" s="197" t="s">
        <v>116</v>
      </c>
      <c r="D88" s="145" t="s">
        <v>57</v>
      </c>
      <c r="E88" s="732">
        <f>E87</f>
        <v>2882</v>
      </c>
      <c r="F88" s="1092">
        <v>0</v>
      </c>
      <c r="G88" s="1093">
        <f t="shared" si="3"/>
        <v>0</v>
      </c>
    </row>
    <row r="89" spans="2:7" ht="24">
      <c r="B89" s="199" t="s">
        <v>117</v>
      </c>
      <c r="C89" s="197" t="s">
        <v>118</v>
      </c>
      <c r="D89" s="145" t="s">
        <v>57</v>
      </c>
      <c r="E89" s="732">
        <f>E87</f>
        <v>2882</v>
      </c>
      <c r="F89" s="1092">
        <v>0</v>
      </c>
      <c r="G89" s="1093">
        <f t="shared" si="3"/>
        <v>0</v>
      </c>
    </row>
    <row r="90" spans="2:7" ht="36">
      <c r="B90" s="199" t="s">
        <v>119</v>
      </c>
      <c r="C90" s="197" t="s">
        <v>120</v>
      </c>
      <c r="D90" s="145" t="s">
        <v>57</v>
      </c>
      <c r="E90" s="732">
        <f>E87</f>
        <v>2882</v>
      </c>
      <c r="F90" s="1092">
        <v>0</v>
      </c>
      <c r="G90" s="1093">
        <f t="shared" si="3"/>
        <v>0</v>
      </c>
    </row>
    <row r="91" spans="2:7" ht="24">
      <c r="B91" s="188">
        <v>3</v>
      </c>
      <c r="C91" s="200" t="s">
        <v>121</v>
      </c>
      <c r="D91" s="140"/>
      <c r="E91" s="719">
        <v>0</v>
      </c>
      <c r="F91" s="719"/>
      <c r="G91" s="1093"/>
    </row>
    <row r="92" spans="2:7">
      <c r="B92" s="201" t="s">
        <v>122</v>
      </c>
      <c r="C92" s="1158" t="s">
        <v>123</v>
      </c>
      <c r="D92" s="209"/>
      <c r="E92" s="204"/>
      <c r="F92" s="205"/>
      <c r="G92" s="206"/>
    </row>
    <row r="93" spans="2:7">
      <c r="B93" s="125"/>
      <c r="C93" s="1158" t="s">
        <v>124</v>
      </c>
      <c r="D93" s="209"/>
      <c r="E93" s="204"/>
      <c r="F93" s="205"/>
      <c r="G93" s="206"/>
    </row>
    <row r="94" spans="2:7">
      <c r="B94" s="207"/>
      <c r="C94" s="1159" t="s">
        <v>312</v>
      </c>
      <c r="D94" s="209" t="s">
        <v>66</v>
      </c>
      <c r="E94" s="204">
        <v>6</v>
      </c>
      <c r="F94" s="210">
        <v>0</v>
      </c>
      <c r="G94" s="211">
        <f>+E94*F94</f>
        <v>0</v>
      </c>
    </row>
    <row r="95" spans="2:7">
      <c r="B95" s="207"/>
      <c r="C95" s="1159" t="s">
        <v>313</v>
      </c>
      <c r="D95" s="209" t="s">
        <v>66</v>
      </c>
      <c r="E95" s="204">
        <v>1</v>
      </c>
      <c r="F95" s="210">
        <v>0</v>
      </c>
      <c r="G95" s="211">
        <f t="shared" ref="G95:G97" si="4">+E95*F95</f>
        <v>0</v>
      </c>
    </row>
    <row r="96" spans="2:7">
      <c r="B96" s="125"/>
      <c r="C96" s="1158" t="s">
        <v>311</v>
      </c>
      <c r="D96" s="209"/>
      <c r="E96" s="204"/>
      <c r="F96" s="205"/>
      <c r="G96" s="211"/>
    </row>
    <row r="97" spans="2:7">
      <c r="B97" s="207"/>
      <c r="C97" s="1159" t="s">
        <v>313</v>
      </c>
      <c r="D97" s="209" t="s">
        <v>66</v>
      </c>
      <c r="E97" s="204">
        <v>1</v>
      </c>
      <c r="F97" s="210">
        <v>0</v>
      </c>
      <c r="G97" s="211">
        <f t="shared" si="4"/>
        <v>0</v>
      </c>
    </row>
    <row r="98" spans="2:7">
      <c r="B98" s="201" t="s">
        <v>126</v>
      </c>
      <c r="C98" s="212" t="s">
        <v>127</v>
      </c>
      <c r="D98" s="1228"/>
      <c r="E98" s="214"/>
      <c r="F98" s="215">
        <v>0</v>
      </c>
      <c r="G98" s="216"/>
    </row>
    <row r="99" spans="2:7">
      <c r="B99" s="218"/>
      <c r="C99" s="212" t="s">
        <v>128</v>
      </c>
      <c r="D99" s="2239"/>
      <c r="E99" s="736"/>
      <c r="F99" s="1601"/>
      <c r="G99" s="1121"/>
    </row>
    <row r="100" spans="2:7">
      <c r="B100" s="218"/>
      <c r="C100" s="219" t="s">
        <v>129</v>
      </c>
      <c r="D100" s="1228" t="s">
        <v>66</v>
      </c>
      <c r="E100" s="214">
        <v>2</v>
      </c>
      <c r="F100" s="1599">
        <v>0</v>
      </c>
      <c r="G100" s="221">
        <f t="shared" ref="G100:G118" si="5">+E100*F100</f>
        <v>0</v>
      </c>
    </row>
    <row r="101" spans="2:7" ht="36">
      <c r="B101" s="218"/>
      <c r="C101" s="222" t="s">
        <v>130</v>
      </c>
      <c r="D101" s="1228" t="s">
        <v>66</v>
      </c>
      <c r="E101" s="214">
        <v>2</v>
      </c>
      <c r="F101" s="1599">
        <v>0</v>
      </c>
      <c r="G101" s="221">
        <f t="shared" si="5"/>
        <v>0</v>
      </c>
    </row>
    <row r="102" spans="2:7">
      <c r="B102" s="218"/>
      <c r="C102" s="222" t="s">
        <v>183</v>
      </c>
      <c r="D102" s="1228" t="s">
        <v>66</v>
      </c>
      <c r="E102" s="214">
        <v>2</v>
      </c>
      <c r="F102" s="1599">
        <v>0</v>
      </c>
      <c r="G102" s="221">
        <f t="shared" si="5"/>
        <v>0</v>
      </c>
    </row>
    <row r="103" spans="2:7">
      <c r="B103" s="218"/>
      <c r="C103" s="222" t="s">
        <v>131</v>
      </c>
      <c r="D103" s="1228" t="s">
        <v>66</v>
      </c>
      <c r="E103" s="214">
        <v>2</v>
      </c>
      <c r="F103" s="1599">
        <v>0</v>
      </c>
      <c r="G103" s="221">
        <f t="shared" si="5"/>
        <v>0</v>
      </c>
    </row>
    <row r="104" spans="2:7">
      <c r="B104" s="218"/>
      <c r="C104" s="222" t="s">
        <v>132</v>
      </c>
      <c r="D104" s="1228" t="s">
        <v>66</v>
      </c>
      <c r="E104" s="214">
        <v>4</v>
      </c>
      <c r="F104" s="1599">
        <v>0</v>
      </c>
      <c r="G104" s="221">
        <f t="shared" si="5"/>
        <v>0</v>
      </c>
    </row>
    <row r="105" spans="2:7">
      <c r="B105" s="218"/>
      <c r="C105" s="222" t="s">
        <v>133</v>
      </c>
      <c r="D105" s="1228" t="s">
        <v>66</v>
      </c>
      <c r="E105" s="214">
        <v>4</v>
      </c>
      <c r="F105" s="1599">
        <v>0</v>
      </c>
      <c r="G105" s="221">
        <f t="shared" si="5"/>
        <v>0</v>
      </c>
    </row>
    <row r="106" spans="2:7">
      <c r="B106" s="218"/>
      <c r="C106" s="222" t="s">
        <v>134</v>
      </c>
      <c r="D106" s="1228" t="s">
        <v>66</v>
      </c>
      <c r="E106" s="214">
        <v>2</v>
      </c>
      <c r="F106" s="1599">
        <v>0</v>
      </c>
      <c r="G106" s="221">
        <f t="shared" si="5"/>
        <v>0</v>
      </c>
    </row>
    <row r="107" spans="2:7">
      <c r="B107" s="218"/>
      <c r="C107" s="222" t="s">
        <v>135</v>
      </c>
      <c r="D107" s="1228" t="s">
        <v>66</v>
      </c>
      <c r="E107" s="214">
        <v>2</v>
      </c>
      <c r="F107" s="1599">
        <v>0</v>
      </c>
      <c r="G107" s="221">
        <f t="shared" si="5"/>
        <v>0</v>
      </c>
    </row>
    <row r="108" spans="2:7">
      <c r="B108" s="218"/>
      <c r="C108" s="212" t="s">
        <v>318</v>
      </c>
      <c r="D108" s="2239"/>
      <c r="E108" s="736"/>
      <c r="F108" s="1599"/>
      <c r="G108" s="221"/>
    </row>
    <row r="109" spans="2:7">
      <c r="B109" s="218"/>
      <c r="C109" s="219" t="s">
        <v>319</v>
      </c>
      <c r="D109" s="1228" t="s">
        <v>66</v>
      </c>
      <c r="E109" s="214">
        <v>2</v>
      </c>
      <c r="F109" s="1599">
        <v>0</v>
      </c>
      <c r="G109" s="221">
        <f t="shared" si="5"/>
        <v>0</v>
      </c>
    </row>
    <row r="110" spans="2:7" ht="36">
      <c r="B110" s="218"/>
      <c r="C110" s="222" t="s">
        <v>283</v>
      </c>
      <c r="D110" s="1228" t="s">
        <v>66</v>
      </c>
      <c r="E110" s="214">
        <v>2</v>
      </c>
      <c r="F110" s="1599">
        <v>0</v>
      </c>
      <c r="G110" s="221">
        <f t="shared" si="5"/>
        <v>0</v>
      </c>
    </row>
    <row r="111" spans="2:7">
      <c r="B111" s="218"/>
      <c r="C111" s="222" t="s">
        <v>183</v>
      </c>
      <c r="D111" s="1228" t="s">
        <v>66</v>
      </c>
      <c r="E111" s="214">
        <v>2</v>
      </c>
      <c r="F111" s="1599">
        <v>0</v>
      </c>
      <c r="G111" s="221">
        <f t="shared" si="5"/>
        <v>0</v>
      </c>
    </row>
    <row r="112" spans="2:7">
      <c r="B112" s="218"/>
      <c r="C112" s="222" t="s">
        <v>131</v>
      </c>
      <c r="D112" s="1228" t="s">
        <v>66</v>
      </c>
      <c r="E112" s="214">
        <v>2</v>
      </c>
      <c r="F112" s="1599">
        <v>0</v>
      </c>
      <c r="G112" s="221">
        <f t="shared" si="5"/>
        <v>0</v>
      </c>
    </row>
    <row r="113" spans="2:7">
      <c r="B113" s="218"/>
      <c r="C113" s="1133" t="s">
        <v>166</v>
      </c>
      <c r="D113" s="1228" t="s">
        <v>66</v>
      </c>
      <c r="E113" s="214">
        <v>4</v>
      </c>
      <c r="F113" s="1599">
        <v>0</v>
      </c>
      <c r="G113" s="221">
        <f t="shared" si="5"/>
        <v>0</v>
      </c>
    </row>
    <row r="114" spans="2:7">
      <c r="B114" s="218"/>
      <c r="C114" s="1133" t="s">
        <v>167</v>
      </c>
      <c r="D114" s="1228" t="s">
        <v>66</v>
      </c>
      <c r="E114" s="214">
        <v>4</v>
      </c>
      <c r="F114" s="1599">
        <v>0</v>
      </c>
      <c r="G114" s="221">
        <f t="shared" si="5"/>
        <v>0</v>
      </c>
    </row>
    <row r="115" spans="2:7">
      <c r="B115" s="218"/>
      <c r="C115" s="1133" t="s">
        <v>229</v>
      </c>
      <c r="D115" s="1228" t="s">
        <v>66</v>
      </c>
      <c r="E115" s="214">
        <v>4</v>
      </c>
      <c r="F115" s="1599">
        <v>0</v>
      </c>
      <c r="G115" s="221">
        <f t="shared" si="5"/>
        <v>0</v>
      </c>
    </row>
    <row r="116" spans="2:7">
      <c r="B116" s="218"/>
      <c r="C116" s="1133" t="s">
        <v>230</v>
      </c>
      <c r="D116" s="1228" t="s">
        <v>66</v>
      </c>
      <c r="E116" s="214">
        <v>4</v>
      </c>
      <c r="F116" s="1599">
        <v>0</v>
      </c>
      <c r="G116" s="221">
        <f t="shared" si="5"/>
        <v>0</v>
      </c>
    </row>
    <row r="117" spans="2:7">
      <c r="B117" s="218"/>
      <c r="C117" s="1133" t="s">
        <v>134</v>
      </c>
      <c r="D117" s="1228" t="s">
        <v>66</v>
      </c>
      <c r="E117" s="214">
        <v>2</v>
      </c>
      <c r="F117" s="1599">
        <v>0</v>
      </c>
      <c r="G117" s="221">
        <f t="shared" si="5"/>
        <v>0</v>
      </c>
    </row>
    <row r="118" spans="2:7">
      <c r="B118" s="218"/>
      <c r="C118" s="1134" t="s">
        <v>135</v>
      </c>
      <c r="D118" s="1228" t="s">
        <v>66</v>
      </c>
      <c r="E118" s="214">
        <v>2</v>
      </c>
      <c r="F118" s="1599">
        <v>0</v>
      </c>
      <c r="G118" s="221">
        <f t="shared" si="5"/>
        <v>0</v>
      </c>
    </row>
    <row r="119" spans="2:7">
      <c r="B119" s="201" t="s">
        <v>136</v>
      </c>
      <c r="C119" s="238" t="s">
        <v>320</v>
      </c>
      <c r="D119" s="260"/>
      <c r="E119" s="240"/>
      <c r="F119" s="241"/>
      <c r="G119" s="242"/>
    </row>
    <row r="120" spans="2:7">
      <c r="B120" s="218"/>
      <c r="C120" s="238" t="s">
        <v>326</v>
      </c>
      <c r="D120" s="185"/>
      <c r="E120" s="741"/>
      <c r="F120" s="1611"/>
      <c r="G120" s="263"/>
    </row>
    <row r="121" spans="2:7" ht="27" customHeight="1">
      <c r="B121" s="218"/>
      <c r="C121" s="1123" t="s">
        <v>322</v>
      </c>
      <c r="D121" s="260" t="s">
        <v>66</v>
      </c>
      <c r="E121" s="240">
        <v>4</v>
      </c>
      <c r="F121" s="1609">
        <v>0</v>
      </c>
      <c r="G121" s="245">
        <f t="shared" ref="G121:G123" si="6">E121*F121</f>
        <v>0</v>
      </c>
    </row>
    <row r="122" spans="2:7">
      <c r="B122" s="218"/>
      <c r="C122" s="1160" t="s">
        <v>325</v>
      </c>
      <c r="D122" s="260" t="s">
        <v>66</v>
      </c>
      <c r="E122" s="240">
        <v>4</v>
      </c>
      <c r="F122" s="1609">
        <v>0</v>
      </c>
      <c r="G122" s="245">
        <f t="shared" si="6"/>
        <v>0</v>
      </c>
    </row>
    <row r="123" spans="2:7">
      <c r="B123" s="218"/>
      <c r="C123" s="1161" t="s">
        <v>135</v>
      </c>
      <c r="D123" s="260" t="s">
        <v>66</v>
      </c>
      <c r="E123" s="240">
        <v>4</v>
      </c>
      <c r="F123" s="1609">
        <v>0</v>
      </c>
      <c r="G123" s="245">
        <f t="shared" si="6"/>
        <v>0</v>
      </c>
    </row>
    <row r="124" spans="2:7">
      <c r="B124" s="201" t="s">
        <v>151</v>
      </c>
      <c r="C124" s="223" t="s">
        <v>137</v>
      </c>
      <c r="D124" s="1232"/>
      <c r="E124" s="225"/>
      <c r="F124" s="226"/>
      <c r="G124" s="227"/>
    </row>
    <row r="125" spans="2:7">
      <c r="B125" s="218"/>
      <c r="C125" s="223" t="s">
        <v>138</v>
      </c>
      <c r="D125" s="2240"/>
      <c r="E125" s="738"/>
      <c r="F125" s="1605"/>
      <c r="G125" s="1125"/>
    </row>
    <row r="126" spans="2:7">
      <c r="B126" s="218"/>
      <c r="C126" s="228" t="s">
        <v>129</v>
      </c>
      <c r="D126" s="1232" t="s">
        <v>66</v>
      </c>
      <c r="E126" s="225">
        <v>1</v>
      </c>
      <c r="F126" s="1603">
        <v>0</v>
      </c>
      <c r="G126" s="230">
        <f t="shared" ref="G126:G141" si="7">E126*F126</f>
        <v>0</v>
      </c>
    </row>
    <row r="127" spans="2:7">
      <c r="B127" s="218"/>
      <c r="C127" s="228" t="s">
        <v>139</v>
      </c>
      <c r="D127" s="1232" t="s">
        <v>66</v>
      </c>
      <c r="E127" s="225">
        <v>2</v>
      </c>
      <c r="F127" s="1603">
        <v>0</v>
      </c>
      <c r="G127" s="230">
        <f t="shared" si="7"/>
        <v>0</v>
      </c>
    </row>
    <row r="128" spans="2:7">
      <c r="B128" s="218"/>
      <c r="C128" s="231" t="s">
        <v>140</v>
      </c>
      <c r="D128" s="1232" t="s">
        <v>66</v>
      </c>
      <c r="E128" s="225">
        <v>1</v>
      </c>
      <c r="F128" s="1603">
        <v>0</v>
      </c>
      <c r="G128" s="230">
        <f t="shared" si="7"/>
        <v>0</v>
      </c>
    </row>
    <row r="129" spans="2:7">
      <c r="B129" s="218"/>
      <c r="C129" s="231" t="s">
        <v>141</v>
      </c>
      <c r="D129" s="1232" t="s">
        <v>66</v>
      </c>
      <c r="E129" s="225">
        <v>1</v>
      </c>
      <c r="F129" s="1603">
        <v>0</v>
      </c>
      <c r="G129" s="230">
        <f t="shared" si="7"/>
        <v>0</v>
      </c>
    </row>
    <row r="130" spans="2:7">
      <c r="B130" s="218"/>
      <c r="C130" s="231" t="s">
        <v>142</v>
      </c>
      <c r="D130" s="1232" t="s">
        <v>66</v>
      </c>
      <c r="E130" s="225">
        <v>1</v>
      </c>
      <c r="F130" s="1603">
        <v>0</v>
      </c>
      <c r="G130" s="230">
        <f t="shared" si="7"/>
        <v>0</v>
      </c>
    </row>
    <row r="131" spans="2:7">
      <c r="B131" s="218"/>
      <c r="C131" s="231" t="s">
        <v>143</v>
      </c>
      <c r="D131" s="1232" t="s">
        <v>66</v>
      </c>
      <c r="E131" s="225">
        <v>1</v>
      </c>
      <c r="F131" s="1603">
        <v>0</v>
      </c>
      <c r="G131" s="230">
        <f t="shared" si="7"/>
        <v>0</v>
      </c>
    </row>
    <row r="132" spans="2:7">
      <c r="B132" s="218"/>
      <c r="C132" s="231" t="s">
        <v>2250</v>
      </c>
      <c r="D132" s="1232" t="s">
        <v>66</v>
      </c>
      <c r="E132" s="225">
        <v>1</v>
      </c>
      <c r="F132" s="1603">
        <v>0</v>
      </c>
      <c r="G132" s="230">
        <f t="shared" si="7"/>
        <v>0</v>
      </c>
    </row>
    <row r="133" spans="2:7">
      <c r="B133" s="218"/>
      <c r="C133" s="231" t="s">
        <v>145</v>
      </c>
      <c r="D133" s="1232" t="s">
        <v>66</v>
      </c>
      <c r="E133" s="225">
        <v>1</v>
      </c>
      <c r="F133" s="1603">
        <v>0</v>
      </c>
      <c r="G133" s="230">
        <f t="shared" si="7"/>
        <v>0</v>
      </c>
    </row>
    <row r="134" spans="2:7">
      <c r="B134" s="218"/>
      <c r="C134" s="231" t="s">
        <v>146</v>
      </c>
      <c r="D134" s="1232" t="s">
        <v>66</v>
      </c>
      <c r="E134" s="225">
        <v>1</v>
      </c>
      <c r="F134" s="1603">
        <v>0</v>
      </c>
      <c r="G134" s="230">
        <f t="shared" si="7"/>
        <v>0</v>
      </c>
    </row>
    <row r="135" spans="2:7">
      <c r="B135" s="218"/>
      <c r="C135" s="739" t="s">
        <v>147</v>
      </c>
      <c r="D135" s="1232" t="s">
        <v>66</v>
      </c>
      <c r="E135" s="225">
        <v>1</v>
      </c>
      <c r="F135" s="1603">
        <v>0</v>
      </c>
      <c r="G135" s="230">
        <f t="shared" si="7"/>
        <v>0</v>
      </c>
    </row>
    <row r="136" spans="2:7">
      <c r="B136" s="218"/>
      <c r="C136" s="739" t="s">
        <v>188</v>
      </c>
      <c r="D136" s="1232" t="s">
        <v>66</v>
      </c>
      <c r="E136" s="225">
        <v>1</v>
      </c>
      <c r="F136" s="1603">
        <v>0</v>
      </c>
      <c r="G136" s="230">
        <f t="shared" si="7"/>
        <v>0</v>
      </c>
    </row>
    <row r="137" spans="2:7">
      <c r="B137" s="218"/>
      <c r="C137" s="739" t="s">
        <v>132</v>
      </c>
      <c r="D137" s="1232" t="s">
        <v>66</v>
      </c>
      <c r="E137" s="225">
        <v>2</v>
      </c>
      <c r="F137" s="1603">
        <v>0</v>
      </c>
      <c r="G137" s="230">
        <f t="shared" si="7"/>
        <v>0</v>
      </c>
    </row>
    <row r="138" spans="2:7">
      <c r="B138" s="218"/>
      <c r="C138" s="739" t="s">
        <v>148</v>
      </c>
      <c r="D138" s="1232" t="s">
        <v>66</v>
      </c>
      <c r="E138" s="225">
        <v>2</v>
      </c>
      <c r="F138" s="1603">
        <v>0</v>
      </c>
      <c r="G138" s="230">
        <f t="shared" si="7"/>
        <v>0</v>
      </c>
    </row>
    <row r="139" spans="2:7">
      <c r="B139" s="218"/>
      <c r="C139" s="739" t="s">
        <v>149</v>
      </c>
      <c r="D139" s="1232" t="s">
        <v>66</v>
      </c>
      <c r="E139" s="225">
        <v>1</v>
      </c>
      <c r="F139" s="1603">
        <v>0</v>
      </c>
      <c r="G139" s="230">
        <f t="shared" si="7"/>
        <v>0</v>
      </c>
    </row>
    <row r="140" spans="2:7">
      <c r="B140" s="218"/>
      <c r="C140" s="739" t="s">
        <v>150</v>
      </c>
      <c r="D140" s="1232" t="s">
        <v>66</v>
      </c>
      <c r="E140" s="225">
        <v>3</v>
      </c>
      <c r="F140" s="1603">
        <v>0</v>
      </c>
      <c r="G140" s="230">
        <f t="shared" si="7"/>
        <v>0</v>
      </c>
    </row>
    <row r="141" spans="2:7">
      <c r="B141" s="218"/>
      <c r="C141" s="740" t="s">
        <v>135</v>
      </c>
      <c r="D141" s="1232" t="s">
        <v>66</v>
      </c>
      <c r="E141" s="225">
        <v>1</v>
      </c>
      <c r="F141" s="1603">
        <v>0</v>
      </c>
      <c r="G141" s="230">
        <f t="shared" si="7"/>
        <v>0</v>
      </c>
    </row>
    <row r="142" spans="2:7">
      <c r="B142" s="201" t="s">
        <v>159</v>
      </c>
      <c r="C142" s="212" t="s">
        <v>152</v>
      </c>
      <c r="D142" s="1228"/>
      <c r="E142" s="214"/>
      <c r="F142" s="215"/>
      <c r="G142" s="216"/>
    </row>
    <row r="143" spans="2:7">
      <c r="B143" s="218"/>
      <c r="C143" s="212" t="s">
        <v>153</v>
      </c>
      <c r="D143" s="2239"/>
      <c r="E143" s="736"/>
      <c r="F143" s="1601"/>
      <c r="G143" s="1121"/>
    </row>
    <row r="144" spans="2:7">
      <c r="B144" s="218"/>
      <c r="C144" s="219" t="s">
        <v>129</v>
      </c>
      <c r="D144" s="1228" t="s">
        <v>66</v>
      </c>
      <c r="E144" s="214">
        <v>4</v>
      </c>
      <c r="F144" s="1599">
        <v>0</v>
      </c>
      <c r="G144" s="221">
        <f t="shared" ref="G144:G154" si="8">E144*F144</f>
        <v>0</v>
      </c>
    </row>
    <row r="145" spans="2:7" ht="24">
      <c r="B145" s="218"/>
      <c r="C145" s="222" t="s">
        <v>154</v>
      </c>
      <c r="D145" s="1228" t="s">
        <v>66</v>
      </c>
      <c r="E145" s="214">
        <v>4</v>
      </c>
      <c r="F145" s="1599">
        <v>0</v>
      </c>
      <c r="G145" s="221">
        <f t="shared" si="8"/>
        <v>0</v>
      </c>
    </row>
    <row r="146" spans="2:7">
      <c r="B146" s="218"/>
      <c r="C146" s="222" t="s">
        <v>155</v>
      </c>
      <c r="D146" s="1228" t="s">
        <v>66</v>
      </c>
      <c r="E146" s="214">
        <v>4</v>
      </c>
      <c r="F146" s="1599">
        <v>0</v>
      </c>
      <c r="G146" s="221">
        <f t="shared" si="8"/>
        <v>0</v>
      </c>
    </row>
    <row r="147" spans="2:7">
      <c r="B147" s="218"/>
      <c r="C147" s="222" t="s">
        <v>330</v>
      </c>
      <c r="D147" s="1228" t="s">
        <v>66</v>
      </c>
      <c r="E147" s="214">
        <v>4</v>
      </c>
      <c r="F147" s="1599">
        <v>0</v>
      </c>
      <c r="G147" s="221">
        <f t="shared" si="8"/>
        <v>0</v>
      </c>
    </row>
    <row r="148" spans="2:7">
      <c r="B148" s="218"/>
      <c r="C148" s="222" t="s">
        <v>157</v>
      </c>
      <c r="D148" s="1228" t="s">
        <v>66</v>
      </c>
      <c r="E148" s="214">
        <v>4</v>
      </c>
      <c r="F148" s="1599">
        <v>0</v>
      </c>
      <c r="G148" s="221">
        <f t="shared" si="8"/>
        <v>0</v>
      </c>
    </row>
    <row r="149" spans="2:7">
      <c r="B149" s="218"/>
      <c r="C149" s="1162" t="s">
        <v>158</v>
      </c>
      <c r="D149" s="1228" t="s">
        <v>66</v>
      </c>
      <c r="E149" s="214">
        <v>4</v>
      </c>
      <c r="F149" s="1599">
        <v>0</v>
      </c>
      <c r="G149" s="221">
        <f t="shared" si="8"/>
        <v>0</v>
      </c>
    </row>
    <row r="150" spans="2:7">
      <c r="B150" s="218"/>
      <c r="C150" s="1162" t="s">
        <v>190</v>
      </c>
      <c r="D150" s="1228" t="s">
        <v>66</v>
      </c>
      <c r="E150" s="214">
        <v>4</v>
      </c>
      <c r="F150" s="1599">
        <v>0</v>
      </c>
      <c r="G150" s="221">
        <f t="shared" si="8"/>
        <v>0</v>
      </c>
    </row>
    <row r="151" spans="2:7">
      <c r="B151" s="218"/>
      <c r="C151" s="1162" t="s">
        <v>132</v>
      </c>
      <c r="D151" s="1228" t="s">
        <v>66</v>
      </c>
      <c r="E151" s="214">
        <v>8</v>
      </c>
      <c r="F151" s="1599">
        <v>0</v>
      </c>
      <c r="G151" s="221">
        <f t="shared" si="8"/>
        <v>0</v>
      </c>
    </row>
    <row r="152" spans="2:7">
      <c r="B152" s="218"/>
      <c r="C152" s="1162" t="s">
        <v>148</v>
      </c>
      <c r="D152" s="1228" t="s">
        <v>66</v>
      </c>
      <c r="E152" s="214">
        <v>8</v>
      </c>
      <c r="F152" s="1599">
        <v>0</v>
      </c>
      <c r="G152" s="221">
        <f t="shared" si="8"/>
        <v>0</v>
      </c>
    </row>
    <row r="153" spans="2:7">
      <c r="B153" s="218"/>
      <c r="C153" s="1162" t="s">
        <v>150</v>
      </c>
      <c r="D153" s="1228" t="s">
        <v>66</v>
      </c>
      <c r="E153" s="214">
        <v>4</v>
      </c>
      <c r="F153" s="1599">
        <v>0</v>
      </c>
      <c r="G153" s="221">
        <f t="shared" si="8"/>
        <v>0</v>
      </c>
    </row>
    <row r="154" spans="2:7">
      <c r="B154" s="218"/>
      <c r="C154" s="1163" t="s">
        <v>135</v>
      </c>
      <c r="D154" s="1228" t="s">
        <v>66</v>
      </c>
      <c r="E154" s="214">
        <v>4</v>
      </c>
      <c r="F154" s="1599">
        <v>0</v>
      </c>
      <c r="G154" s="221">
        <f t="shared" si="8"/>
        <v>0</v>
      </c>
    </row>
    <row r="155" spans="2:7" ht="24">
      <c r="B155" s="199" t="s">
        <v>331</v>
      </c>
      <c r="C155" s="212" t="s">
        <v>332</v>
      </c>
      <c r="D155" s="2239" t="s">
        <v>66</v>
      </c>
      <c r="E155" s="736">
        <v>4</v>
      </c>
      <c r="F155" s="1126">
        <v>0</v>
      </c>
      <c r="G155" s="1121">
        <f>E155*F155</f>
        <v>0</v>
      </c>
    </row>
    <row r="156" spans="2:7">
      <c r="B156" s="201" t="s">
        <v>168</v>
      </c>
      <c r="C156" s="223" t="s">
        <v>886</v>
      </c>
      <c r="D156" s="1232"/>
      <c r="E156" s="225"/>
      <c r="F156" s="226"/>
      <c r="G156" s="227"/>
    </row>
    <row r="157" spans="2:7">
      <c r="B157" s="218"/>
      <c r="C157" s="223" t="s">
        <v>220</v>
      </c>
      <c r="D157" s="2240"/>
      <c r="E157" s="738"/>
      <c r="F157" s="1768"/>
      <c r="G157" s="1714"/>
    </row>
    <row r="158" spans="2:7" ht="24">
      <c r="B158" s="218"/>
      <c r="C158" s="228" t="s">
        <v>2249</v>
      </c>
      <c r="D158" s="1232" t="s">
        <v>66</v>
      </c>
      <c r="E158" s="225">
        <v>4</v>
      </c>
      <c r="F158" s="1768">
        <v>0</v>
      </c>
      <c r="G158" s="1714">
        <f t="shared" ref="G158:G187" si="9">E158*F158</f>
        <v>0</v>
      </c>
    </row>
    <row r="159" spans="2:7">
      <c r="B159" s="218"/>
      <c r="C159" s="739" t="s">
        <v>184</v>
      </c>
      <c r="D159" s="1232" t="s">
        <v>66</v>
      </c>
      <c r="E159" s="225">
        <v>8</v>
      </c>
      <c r="F159" s="1768">
        <v>0</v>
      </c>
      <c r="G159" s="1714">
        <f t="shared" si="9"/>
        <v>0</v>
      </c>
    </row>
    <row r="160" spans="2:7">
      <c r="B160" s="218"/>
      <c r="C160" s="739" t="s">
        <v>132</v>
      </c>
      <c r="D160" s="1232" t="s">
        <v>66</v>
      </c>
      <c r="E160" s="225">
        <v>4</v>
      </c>
      <c r="F160" s="1768">
        <v>0</v>
      </c>
      <c r="G160" s="1714">
        <f t="shared" si="9"/>
        <v>0</v>
      </c>
    </row>
    <row r="161" spans="2:7">
      <c r="B161" s="218"/>
      <c r="C161" s="739" t="s">
        <v>150</v>
      </c>
      <c r="D161" s="1232" t="s">
        <v>66</v>
      </c>
      <c r="E161" s="225">
        <v>4</v>
      </c>
      <c r="F161" s="1768">
        <v>0</v>
      </c>
      <c r="G161" s="1714">
        <f t="shared" si="9"/>
        <v>0</v>
      </c>
    </row>
    <row r="162" spans="2:7">
      <c r="B162" s="218"/>
      <c r="C162" s="740" t="s">
        <v>135</v>
      </c>
      <c r="D162" s="1232" t="s">
        <v>66</v>
      </c>
      <c r="E162" s="225">
        <v>4</v>
      </c>
      <c r="F162" s="1768">
        <v>0</v>
      </c>
      <c r="G162" s="1714">
        <f t="shared" si="9"/>
        <v>0</v>
      </c>
    </row>
    <row r="163" spans="2:7">
      <c r="B163" s="218"/>
      <c r="C163" s="223" t="s">
        <v>888</v>
      </c>
      <c r="D163" s="2240"/>
      <c r="E163" s="738"/>
      <c r="F163" s="1768"/>
      <c r="G163" s="1714"/>
    </row>
    <row r="164" spans="2:7" ht="24">
      <c r="B164" s="218"/>
      <c r="C164" s="228" t="s">
        <v>2251</v>
      </c>
      <c r="D164" s="1232" t="s">
        <v>66</v>
      </c>
      <c r="E164" s="225">
        <v>2</v>
      </c>
      <c r="F164" s="1768">
        <v>0</v>
      </c>
      <c r="G164" s="1714">
        <f t="shared" si="9"/>
        <v>0</v>
      </c>
    </row>
    <row r="165" spans="2:7">
      <c r="B165" s="218"/>
      <c r="C165" s="1164" t="s">
        <v>184</v>
      </c>
      <c r="D165" s="1232" t="s">
        <v>66</v>
      </c>
      <c r="E165" s="225">
        <v>4</v>
      </c>
      <c r="F165" s="1768">
        <v>0</v>
      </c>
      <c r="G165" s="1714">
        <f t="shared" si="9"/>
        <v>0</v>
      </c>
    </row>
    <row r="166" spans="2:7">
      <c r="B166" s="218"/>
      <c r="C166" s="1164" t="s">
        <v>166</v>
      </c>
      <c r="D166" s="1232" t="s">
        <v>66</v>
      </c>
      <c r="E166" s="225">
        <v>2</v>
      </c>
      <c r="F166" s="1768">
        <v>0</v>
      </c>
      <c r="G166" s="1714">
        <f t="shared" si="9"/>
        <v>0</v>
      </c>
    </row>
    <row r="167" spans="2:7">
      <c r="B167" s="218"/>
      <c r="C167" s="1164" t="s">
        <v>167</v>
      </c>
      <c r="D167" s="1232" t="s">
        <v>66</v>
      </c>
      <c r="E167" s="225">
        <v>2</v>
      </c>
      <c r="F167" s="1768">
        <v>0</v>
      </c>
      <c r="G167" s="1714">
        <f t="shared" si="9"/>
        <v>0</v>
      </c>
    </row>
    <row r="168" spans="2:7">
      <c r="B168" s="218"/>
      <c r="C168" s="1164" t="s">
        <v>229</v>
      </c>
      <c r="D168" s="1232" t="s">
        <v>66</v>
      </c>
      <c r="E168" s="225">
        <v>2</v>
      </c>
      <c r="F168" s="1768">
        <v>0</v>
      </c>
      <c r="G168" s="1714">
        <f t="shared" si="9"/>
        <v>0</v>
      </c>
    </row>
    <row r="169" spans="2:7">
      <c r="B169" s="218"/>
      <c r="C169" s="1164" t="s">
        <v>230</v>
      </c>
      <c r="D169" s="1232" t="s">
        <v>66</v>
      </c>
      <c r="E169" s="225">
        <v>2</v>
      </c>
      <c r="F169" s="1768">
        <v>0</v>
      </c>
      <c r="G169" s="1714">
        <f t="shared" si="9"/>
        <v>0</v>
      </c>
    </row>
    <row r="170" spans="2:7">
      <c r="B170" s="218"/>
      <c r="C170" s="1164" t="s">
        <v>150</v>
      </c>
      <c r="D170" s="1232" t="s">
        <v>66</v>
      </c>
      <c r="E170" s="225">
        <v>2</v>
      </c>
      <c r="F170" s="1768">
        <v>0</v>
      </c>
      <c r="G170" s="1714">
        <f t="shared" si="9"/>
        <v>0</v>
      </c>
    </row>
    <row r="171" spans="2:7">
      <c r="B171" s="218"/>
      <c r="C171" s="1165" t="s">
        <v>135</v>
      </c>
      <c r="D171" s="1232" t="s">
        <v>66</v>
      </c>
      <c r="E171" s="225">
        <v>2</v>
      </c>
      <c r="F171" s="1768">
        <v>0</v>
      </c>
      <c r="G171" s="1714">
        <f t="shared" si="9"/>
        <v>0</v>
      </c>
    </row>
    <row r="172" spans="2:7">
      <c r="B172" s="218"/>
      <c r="C172" s="223" t="s">
        <v>196</v>
      </c>
      <c r="D172" s="2240"/>
      <c r="E172" s="738"/>
      <c r="F172" s="1768"/>
      <c r="G172" s="1714"/>
    </row>
    <row r="173" spans="2:7" ht="24">
      <c r="B173" s="218"/>
      <c r="C173" s="228" t="s">
        <v>2248</v>
      </c>
      <c r="D173" s="1232" t="s">
        <v>66</v>
      </c>
      <c r="E173" s="225">
        <v>3</v>
      </c>
      <c r="F173" s="1768">
        <v>0</v>
      </c>
      <c r="G173" s="1714">
        <f t="shared" si="9"/>
        <v>0</v>
      </c>
    </row>
    <row r="174" spans="2:7">
      <c r="B174" s="218"/>
      <c r="C174" s="1164" t="s">
        <v>132</v>
      </c>
      <c r="D174" s="1232" t="s">
        <v>66</v>
      </c>
      <c r="E174" s="225">
        <v>9</v>
      </c>
      <c r="F174" s="1768">
        <v>0</v>
      </c>
      <c r="G174" s="1714">
        <f t="shared" si="9"/>
        <v>0</v>
      </c>
    </row>
    <row r="175" spans="2:7">
      <c r="B175" s="218"/>
      <c r="C175" s="1164" t="s">
        <v>148</v>
      </c>
      <c r="D175" s="1232" t="s">
        <v>66</v>
      </c>
      <c r="E175" s="225">
        <v>9</v>
      </c>
      <c r="F175" s="1768">
        <v>0</v>
      </c>
      <c r="G175" s="1714">
        <f t="shared" si="9"/>
        <v>0</v>
      </c>
    </row>
    <row r="176" spans="2:7">
      <c r="B176" s="218"/>
      <c r="C176" s="1164" t="s">
        <v>150</v>
      </c>
      <c r="D176" s="1232" t="s">
        <v>66</v>
      </c>
      <c r="E176" s="225">
        <v>3</v>
      </c>
      <c r="F176" s="1768">
        <v>0</v>
      </c>
      <c r="G176" s="1714">
        <f t="shared" si="9"/>
        <v>0</v>
      </c>
    </row>
    <row r="177" spans="2:8">
      <c r="B177" s="218"/>
      <c r="C177" s="1165" t="s">
        <v>135</v>
      </c>
      <c r="D177" s="1232" t="s">
        <v>66</v>
      </c>
      <c r="E177" s="225">
        <v>3</v>
      </c>
      <c r="F177" s="1768">
        <v>0</v>
      </c>
      <c r="G177" s="1714">
        <f t="shared" si="9"/>
        <v>0</v>
      </c>
    </row>
    <row r="178" spans="2:8">
      <c r="B178" s="218"/>
      <c r="C178" s="223" t="s">
        <v>228</v>
      </c>
      <c r="D178" s="2240"/>
      <c r="E178" s="738"/>
      <c r="F178" s="1768"/>
      <c r="G178" s="1714"/>
    </row>
    <row r="179" spans="2:8" ht="24">
      <c r="B179" s="218"/>
      <c r="C179" s="228" t="s">
        <v>2247</v>
      </c>
      <c r="D179" s="1232" t="s">
        <v>66</v>
      </c>
      <c r="E179" s="225">
        <v>6</v>
      </c>
      <c r="F179" s="1768">
        <v>0</v>
      </c>
      <c r="G179" s="1714">
        <f t="shared" si="9"/>
        <v>0</v>
      </c>
    </row>
    <row r="180" spans="2:8">
      <c r="B180" s="218"/>
      <c r="C180" s="739" t="s">
        <v>132</v>
      </c>
      <c r="D180" s="1232" t="s">
        <v>66</v>
      </c>
      <c r="E180" s="225">
        <v>12</v>
      </c>
      <c r="F180" s="1768">
        <v>0</v>
      </c>
      <c r="G180" s="1714">
        <f t="shared" si="9"/>
        <v>0</v>
      </c>
    </row>
    <row r="181" spans="2:8">
      <c r="B181" s="218"/>
      <c r="C181" s="739" t="s">
        <v>166</v>
      </c>
      <c r="D181" s="1232" t="s">
        <v>66</v>
      </c>
      <c r="E181" s="225">
        <v>6</v>
      </c>
      <c r="F181" s="1768">
        <v>0</v>
      </c>
      <c r="G181" s="1714">
        <f t="shared" si="9"/>
        <v>0</v>
      </c>
    </row>
    <row r="182" spans="2:8">
      <c r="B182" s="218"/>
      <c r="C182" s="739" t="s">
        <v>148</v>
      </c>
      <c r="D182" s="1232" t="s">
        <v>66</v>
      </c>
      <c r="E182" s="225">
        <v>12</v>
      </c>
      <c r="F182" s="1768">
        <v>0</v>
      </c>
      <c r="G182" s="1714">
        <f t="shared" si="9"/>
        <v>0</v>
      </c>
    </row>
    <row r="183" spans="2:8">
      <c r="B183" s="218"/>
      <c r="C183" s="739" t="s">
        <v>167</v>
      </c>
      <c r="D183" s="1232" t="s">
        <v>66</v>
      </c>
      <c r="E183" s="225">
        <v>6</v>
      </c>
      <c r="F183" s="1768">
        <v>0</v>
      </c>
      <c r="G183" s="1714">
        <f t="shared" si="9"/>
        <v>0</v>
      </c>
    </row>
    <row r="184" spans="2:8">
      <c r="B184" s="218"/>
      <c r="C184" s="739" t="s">
        <v>229</v>
      </c>
      <c r="D184" s="1232" t="s">
        <v>66</v>
      </c>
      <c r="E184" s="225">
        <v>6</v>
      </c>
      <c r="F184" s="1768">
        <v>0</v>
      </c>
      <c r="G184" s="1714">
        <f t="shared" si="9"/>
        <v>0</v>
      </c>
    </row>
    <row r="185" spans="2:8">
      <c r="B185" s="218"/>
      <c r="C185" s="739" t="s">
        <v>230</v>
      </c>
      <c r="D185" s="1232" t="s">
        <v>66</v>
      </c>
      <c r="E185" s="225">
        <v>6</v>
      </c>
      <c r="F185" s="1768">
        <v>0</v>
      </c>
      <c r="G185" s="1714">
        <f t="shared" si="9"/>
        <v>0</v>
      </c>
    </row>
    <row r="186" spans="2:8">
      <c r="B186" s="218"/>
      <c r="C186" s="739" t="s">
        <v>150</v>
      </c>
      <c r="D186" s="1232" t="s">
        <v>66</v>
      </c>
      <c r="E186" s="225">
        <v>6</v>
      </c>
      <c r="F186" s="1768">
        <v>0</v>
      </c>
      <c r="G186" s="1714">
        <f t="shared" si="9"/>
        <v>0</v>
      </c>
    </row>
    <row r="187" spans="2:8">
      <c r="B187" s="218"/>
      <c r="C187" s="740" t="s">
        <v>135</v>
      </c>
      <c r="D187" s="1232" t="s">
        <v>66</v>
      </c>
      <c r="E187" s="225">
        <v>6</v>
      </c>
      <c r="F187" s="1768">
        <v>0</v>
      </c>
      <c r="G187" s="1714">
        <f t="shared" si="9"/>
        <v>0</v>
      </c>
    </row>
    <row r="188" spans="2:8">
      <c r="B188" s="218"/>
      <c r="C188" s="223" t="s">
        <v>1395</v>
      </c>
      <c r="D188" s="2240"/>
      <c r="E188" s="738"/>
      <c r="F188" s="1605"/>
      <c r="G188" s="1646"/>
    </row>
    <row r="189" spans="2:8" s="217" customFormat="1">
      <c r="B189" s="218"/>
      <c r="C189" s="1655" t="s">
        <v>230</v>
      </c>
      <c r="D189" s="1232" t="s">
        <v>66</v>
      </c>
      <c r="E189" s="225">
        <v>5</v>
      </c>
      <c r="F189" s="1768">
        <v>0</v>
      </c>
      <c r="G189" s="1714">
        <f t="shared" ref="G189:G191" si="10">E189*F189</f>
        <v>0</v>
      </c>
      <c r="H189" s="1703"/>
    </row>
    <row r="190" spans="2:8" s="217" customFormat="1">
      <c r="B190" s="218"/>
      <c r="C190" s="1655" t="s">
        <v>2255</v>
      </c>
      <c r="D190" s="1232" t="s">
        <v>66</v>
      </c>
      <c r="E190" s="225">
        <v>5</v>
      </c>
      <c r="F190" s="1768">
        <v>0</v>
      </c>
      <c r="G190" s="1714">
        <f t="shared" si="10"/>
        <v>0</v>
      </c>
      <c r="H190" s="1703"/>
    </row>
    <row r="191" spans="2:8" s="217" customFormat="1">
      <c r="B191" s="218"/>
      <c r="C191" s="1655" t="s">
        <v>1444</v>
      </c>
      <c r="D191" s="1232" t="s">
        <v>66</v>
      </c>
      <c r="E191" s="225">
        <v>5</v>
      </c>
      <c r="F191" s="1768">
        <v>0</v>
      </c>
      <c r="G191" s="1714">
        <f t="shared" si="10"/>
        <v>0</v>
      </c>
      <c r="H191" s="1703"/>
    </row>
    <row r="192" spans="2:8">
      <c r="B192" s="201" t="s">
        <v>172</v>
      </c>
      <c r="C192" s="238" t="s">
        <v>169</v>
      </c>
      <c r="D192" s="260"/>
      <c r="E192" s="240"/>
      <c r="F192" s="241"/>
      <c r="G192" s="242"/>
    </row>
    <row r="193" spans="2:7">
      <c r="B193" s="218"/>
      <c r="C193" s="238" t="s">
        <v>170</v>
      </c>
      <c r="D193" s="185"/>
      <c r="E193" s="741"/>
      <c r="F193" s="1611"/>
      <c r="G193" s="263"/>
    </row>
    <row r="194" spans="2:7" ht="36">
      <c r="B194" s="218"/>
      <c r="C194" s="243" t="s">
        <v>2246</v>
      </c>
      <c r="D194" s="260" t="s">
        <v>66</v>
      </c>
      <c r="E194" s="240">
        <v>20</v>
      </c>
      <c r="F194" s="1609">
        <v>0</v>
      </c>
      <c r="G194" s="245">
        <f t="shared" ref="G194:G202" si="11">E194*F194</f>
        <v>0</v>
      </c>
    </row>
    <row r="195" spans="2:7">
      <c r="B195" s="218"/>
      <c r="C195" s="1129" t="s">
        <v>171</v>
      </c>
      <c r="D195" s="260" t="s">
        <v>66</v>
      </c>
      <c r="E195" s="240">
        <v>20</v>
      </c>
      <c r="F195" s="1609">
        <v>0</v>
      </c>
      <c r="G195" s="245">
        <f t="shared" si="11"/>
        <v>0</v>
      </c>
    </row>
    <row r="196" spans="2:7">
      <c r="B196" s="218"/>
      <c r="C196" s="1130" t="s">
        <v>135</v>
      </c>
      <c r="D196" s="260" t="s">
        <v>66</v>
      </c>
      <c r="E196" s="240">
        <v>20</v>
      </c>
      <c r="F196" s="1609">
        <v>0</v>
      </c>
      <c r="G196" s="245">
        <f t="shared" si="11"/>
        <v>0</v>
      </c>
    </row>
    <row r="197" spans="2:7">
      <c r="B197" s="218"/>
      <c r="C197" s="247" t="s">
        <v>891</v>
      </c>
      <c r="D197" s="260" t="s">
        <v>66</v>
      </c>
      <c r="E197" s="240">
        <v>20</v>
      </c>
      <c r="F197" s="1609">
        <v>0</v>
      </c>
      <c r="G197" s="245">
        <f t="shared" si="11"/>
        <v>0</v>
      </c>
    </row>
    <row r="198" spans="2:7">
      <c r="B198" s="218"/>
      <c r="C198" s="238" t="s">
        <v>234</v>
      </c>
      <c r="D198" s="185"/>
      <c r="E198" s="741"/>
      <c r="F198" s="1609"/>
      <c r="G198" s="245"/>
    </row>
    <row r="199" spans="2:7" ht="36">
      <c r="B199" s="218"/>
      <c r="C199" s="243" t="s">
        <v>2245</v>
      </c>
      <c r="D199" s="260" t="s">
        <v>66</v>
      </c>
      <c r="E199" s="240">
        <v>57</v>
      </c>
      <c r="F199" s="1609">
        <v>0</v>
      </c>
      <c r="G199" s="245">
        <f t="shared" si="11"/>
        <v>0</v>
      </c>
    </row>
    <row r="200" spans="2:7">
      <c r="B200" s="218"/>
      <c r="C200" s="1160" t="s">
        <v>171</v>
      </c>
      <c r="D200" s="260" t="s">
        <v>66</v>
      </c>
      <c r="E200" s="240">
        <v>57</v>
      </c>
      <c r="F200" s="1609">
        <v>0</v>
      </c>
      <c r="G200" s="245">
        <f t="shared" si="11"/>
        <v>0</v>
      </c>
    </row>
    <row r="201" spans="2:7">
      <c r="B201" s="218"/>
      <c r="C201" s="1161" t="s">
        <v>135</v>
      </c>
      <c r="D201" s="260" t="s">
        <v>66</v>
      </c>
      <c r="E201" s="240">
        <v>57</v>
      </c>
      <c r="F201" s="1609">
        <v>0</v>
      </c>
      <c r="G201" s="245">
        <f t="shared" si="11"/>
        <v>0</v>
      </c>
    </row>
    <row r="202" spans="2:7">
      <c r="B202" s="218"/>
      <c r="C202" s="247" t="s">
        <v>891</v>
      </c>
      <c r="D202" s="260" t="s">
        <v>66</v>
      </c>
      <c r="E202" s="240">
        <v>57</v>
      </c>
      <c r="F202" s="1609">
        <v>0</v>
      </c>
      <c r="G202" s="245">
        <f t="shared" si="11"/>
        <v>0</v>
      </c>
    </row>
    <row r="203" spans="2:7">
      <c r="B203" s="201" t="s">
        <v>340</v>
      </c>
      <c r="C203" s="742" t="s">
        <v>173</v>
      </c>
      <c r="D203" s="743"/>
      <c r="E203" s="744"/>
      <c r="F203" s="1131"/>
      <c r="G203" s="1132"/>
    </row>
    <row r="204" spans="2:7" ht="72">
      <c r="B204" s="218"/>
      <c r="C204" s="745" t="s">
        <v>174</v>
      </c>
      <c r="D204" s="2241" t="s">
        <v>66</v>
      </c>
      <c r="E204" s="1167">
        <v>1</v>
      </c>
      <c r="F204" s="1617">
        <v>0</v>
      </c>
      <c r="G204" s="1132">
        <f>E204*F204</f>
        <v>0</v>
      </c>
    </row>
    <row r="205" spans="2:7">
      <c r="B205" s="258" t="s">
        <v>1430</v>
      </c>
      <c r="C205" s="259" t="s">
        <v>1396</v>
      </c>
      <c r="D205" s="260"/>
      <c r="E205" s="261"/>
      <c r="F205" s="262"/>
      <c r="G205" s="263">
        <f>SUM(G76:G204)</f>
        <v>0</v>
      </c>
    </row>
  </sheetData>
  <mergeCells count="5">
    <mergeCell ref="B43:G43"/>
    <mergeCell ref="B72:G72"/>
    <mergeCell ref="B73:G73"/>
    <mergeCell ref="B74:G74"/>
    <mergeCell ref="B83:B86"/>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7E70-0B78-4465-B520-20E1913FB4FC}">
  <sheetPr>
    <tabColor rgb="FF00B0F0"/>
  </sheetPr>
  <dimension ref="A2:Y134"/>
  <sheetViews>
    <sheetView showZeros="0" topLeftCell="A19"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1446</v>
      </c>
      <c r="D4" s="76"/>
      <c r="E4" s="77"/>
      <c r="F4" s="674"/>
      <c r="G4" s="79"/>
      <c r="H4" s="37"/>
    </row>
    <row r="5" spans="1:25" s="73" customFormat="1" ht="12" customHeight="1">
      <c r="B5" s="80"/>
      <c r="C5" s="81"/>
      <c r="D5" s="82"/>
      <c r="E5" s="83"/>
      <c r="F5" s="675"/>
      <c r="G5" s="85"/>
      <c r="H5" s="37"/>
    </row>
    <row r="6" spans="1:25" s="86" customFormat="1" ht="21" customHeight="1">
      <c r="B6" s="676" t="s">
        <v>37</v>
      </c>
      <c r="C6" s="677" t="s">
        <v>1449</v>
      </c>
      <c r="D6" s="678"/>
      <c r="E6" s="679"/>
      <c r="F6" s="680"/>
      <c r="G6" s="681"/>
      <c r="H6" s="27"/>
    </row>
    <row r="7" spans="1:25" s="86" customFormat="1" ht="21" customHeight="1">
      <c r="B7" s="1146"/>
      <c r="C7" s="1147"/>
      <c r="D7" s="1148"/>
      <c r="E7" s="1149"/>
      <c r="F7" s="1150"/>
      <c r="G7" s="1151"/>
      <c r="H7" s="27"/>
    </row>
    <row r="8" spans="1:25" s="86" customFormat="1" ht="14.25">
      <c r="B8" s="682" t="s">
        <v>551</v>
      </c>
      <c r="C8" s="683" t="s">
        <v>1450</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G63</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G134</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444</v>
      </c>
      <c r="F26" s="1082">
        <v>0</v>
      </c>
      <c r="G26" s="1083">
        <f t="shared" ref="G26" si="0">E26*F26</f>
        <v>0</v>
      </c>
    </row>
    <row r="27" spans="2:25">
      <c r="B27" s="125">
        <v>2</v>
      </c>
      <c r="C27" s="144" t="s">
        <v>58</v>
      </c>
      <c r="D27" s="140" t="s">
        <v>57</v>
      </c>
      <c r="E27" s="1081">
        <f>E26</f>
        <v>444</v>
      </c>
      <c r="F27" s="1082">
        <v>0</v>
      </c>
      <c r="G27" s="1083">
        <f>E27*F27</f>
        <v>0</v>
      </c>
    </row>
    <row r="28" spans="2:25" ht="24">
      <c r="B28" s="125">
        <v>3</v>
      </c>
      <c r="C28" s="144" t="s">
        <v>1389</v>
      </c>
      <c r="D28" s="146" t="s">
        <v>60</v>
      </c>
      <c r="E28" s="1081">
        <v>4</v>
      </c>
      <c r="F28" s="1082">
        <v>0</v>
      </c>
      <c r="G28" s="1083">
        <f t="shared" ref="G28:G36" si="1">E28*F28</f>
        <v>0</v>
      </c>
    </row>
    <row r="29" spans="2:25" ht="27.75" customHeight="1">
      <c r="B29" s="125">
        <v>4</v>
      </c>
      <c r="C29" s="1084" t="s">
        <v>63</v>
      </c>
      <c r="D29" s="140" t="s">
        <v>57</v>
      </c>
      <c r="E29" s="1081">
        <f>E26</f>
        <v>444</v>
      </c>
      <c r="F29" s="1082">
        <v>0</v>
      </c>
      <c r="G29" s="1083">
        <f t="shared" si="1"/>
        <v>0</v>
      </c>
    </row>
    <row r="30" spans="2:25" ht="52.5" customHeight="1">
      <c r="B30" s="125">
        <v>5</v>
      </c>
      <c r="C30" s="1084" t="s">
        <v>64</v>
      </c>
      <c r="D30" s="146" t="s">
        <v>60</v>
      </c>
      <c r="E30" s="1081">
        <v>1</v>
      </c>
      <c r="F30" s="1082">
        <v>0</v>
      </c>
      <c r="G30" s="1083">
        <f t="shared" si="1"/>
        <v>0</v>
      </c>
    </row>
    <row r="31" spans="2:25" ht="54" customHeight="1">
      <c r="B31" s="125">
        <v>6</v>
      </c>
      <c r="C31" s="1080" t="s">
        <v>2292</v>
      </c>
      <c r="D31" s="146" t="s">
        <v>66</v>
      </c>
      <c r="E31" s="1081">
        <v>19</v>
      </c>
      <c r="F31" s="1082">
        <v>0</v>
      </c>
      <c r="G31" s="1083">
        <f t="shared" si="1"/>
        <v>0</v>
      </c>
    </row>
    <row r="32" spans="2:25" ht="39.75" customHeight="1">
      <c r="B32" s="125">
        <v>7</v>
      </c>
      <c r="C32" s="1080" t="s">
        <v>2295</v>
      </c>
      <c r="D32" s="146" t="s">
        <v>57</v>
      </c>
      <c r="E32" s="1081">
        <f>E26+E79+E80</f>
        <v>513</v>
      </c>
      <c r="F32" s="1082">
        <v>0</v>
      </c>
      <c r="G32" s="1083">
        <f t="shared" si="1"/>
        <v>0</v>
      </c>
    </row>
    <row r="33" spans="1:25" ht="24">
      <c r="B33" s="125">
        <v>8</v>
      </c>
      <c r="C33" s="1080" t="s">
        <v>2293</v>
      </c>
      <c r="D33" s="146" t="s">
        <v>57</v>
      </c>
      <c r="E33" s="1081">
        <f>E26+E79+E80</f>
        <v>513</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087"/>
      <c r="E38" s="1088"/>
      <c r="F38" s="1089"/>
      <c r="G38" s="263">
        <f>SUM(G26:G36)</f>
        <v>0</v>
      </c>
    </row>
    <row r="39" spans="1:25" s="8" customFormat="1">
      <c r="A39" s="1"/>
      <c r="B39" s="125"/>
      <c r="C39" s="126"/>
      <c r="D39" s="127"/>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9"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E26*1.5*1.2*0.15</f>
        <v>119.87999999999998</v>
      </c>
      <c r="F44" s="1092">
        <v>0</v>
      </c>
      <c r="G44" s="1093">
        <f t="shared" ref="G44:G61"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E26*1.5*1.2*0.85</f>
        <v>679.31999999999994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E26*1.5</f>
        <v>666</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E26</f>
        <v>444</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E26*1.2*1</f>
        <v>532.79999999999995</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E26*1.5*0.4</f>
        <v>266.40000000000003</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15</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1391</v>
      </c>
      <c r="D51" s="140" t="s">
        <v>78</v>
      </c>
      <c r="E51" s="1094">
        <f>E26*1.2</f>
        <v>532.79999999999995</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52.5" customHeight="1">
      <c r="A53" s="1"/>
      <c r="B53" s="167">
        <v>10</v>
      </c>
      <c r="C53" s="397" t="s">
        <v>879</v>
      </c>
      <c r="D53" s="145" t="s">
        <v>78</v>
      </c>
      <c r="E53" s="1094">
        <v>5</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717">
        <v>11</v>
      </c>
      <c r="C54" s="139" t="s">
        <v>264</v>
      </c>
      <c r="D54" s="145" t="s">
        <v>74</v>
      </c>
      <c r="E54" s="128">
        <f>E44+E45+(E51*0.06)-E48</f>
        <v>298.36799999999994</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167">
        <v>12</v>
      </c>
      <c r="C55" s="139" t="s">
        <v>265</v>
      </c>
      <c r="D55" s="145" t="s">
        <v>74</v>
      </c>
      <c r="E55" s="128">
        <f>E54</f>
        <v>298.36799999999994</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717">
        <v>13</v>
      </c>
      <c r="C56" s="126" t="s">
        <v>95</v>
      </c>
      <c r="D56" s="140" t="s">
        <v>74</v>
      </c>
      <c r="E56" s="1094">
        <f>E26*0.75*0.1</f>
        <v>33.300000000000004</v>
      </c>
      <c r="F56" s="1092">
        <v>0</v>
      </c>
      <c r="G56" s="1083">
        <f t="shared" si="2"/>
        <v>0</v>
      </c>
      <c r="I56" s="1"/>
      <c r="J56" s="1"/>
      <c r="K56" s="1"/>
      <c r="L56" s="1"/>
      <c r="M56" s="1"/>
      <c r="N56" s="1"/>
      <c r="O56" s="1"/>
      <c r="P56" s="1"/>
      <c r="Q56" s="1"/>
      <c r="R56" s="1"/>
      <c r="S56" s="1"/>
      <c r="T56" s="1"/>
      <c r="U56" s="1"/>
      <c r="V56" s="1"/>
      <c r="W56" s="1"/>
      <c r="X56" s="1"/>
      <c r="Y56" s="1"/>
    </row>
    <row r="57" spans="1:25" s="8" customFormat="1" ht="24">
      <c r="A57" s="1"/>
      <c r="B57" s="167">
        <v>14</v>
      </c>
      <c r="C57" s="177" t="s">
        <v>96</v>
      </c>
      <c r="D57" s="140" t="s">
        <v>57</v>
      </c>
      <c r="E57" s="1094">
        <v>22</v>
      </c>
      <c r="F57" s="1092">
        <v>0</v>
      </c>
      <c r="G57" s="1083">
        <f t="shared" si="2"/>
        <v>0</v>
      </c>
      <c r="I57" s="1"/>
      <c r="J57" s="1"/>
      <c r="K57" s="1"/>
      <c r="L57" s="1"/>
      <c r="M57" s="1"/>
      <c r="N57" s="1"/>
      <c r="O57" s="1"/>
      <c r="P57" s="1"/>
      <c r="Q57" s="1"/>
      <c r="R57" s="1"/>
      <c r="S57" s="1"/>
      <c r="T57" s="1"/>
      <c r="U57" s="1"/>
      <c r="V57" s="1"/>
      <c r="W57" s="1"/>
      <c r="X57" s="1"/>
      <c r="Y57" s="1"/>
    </row>
    <row r="58" spans="1:25" s="8" customFormat="1" ht="48">
      <c r="A58" s="1"/>
      <c r="B58" s="717">
        <v>15</v>
      </c>
      <c r="C58" s="1096" t="s">
        <v>1393</v>
      </c>
      <c r="D58" s="182" t="s">
        <v>74</v>
      </c>
      <c r="E58" s="1097">
        <v>3</v>
      </c>
      <c r="F58" s="1092">
        <v>0</v>
      </c>
      <c r="G58" s="1083">
        <f t="shared" si="2"/>
        <v>0</v>
      </c>
      <c r="I58" s="1"/>
      <c r="J58" s="1"/>
      <c r="K58" s="1"/>
      <c r="L58" s="1"/>
      <c r="M58" s="1"/>
      <c r="N58" s="1"/>
      <c r="O58" s="1"/>
      <c r="P58" s="1"/>
      <c r="Q58" s="1"/>
      <c r="R58" s="1"/>
      <c r="S58" s="1"/>
      <c r="T58" s="1"/>
      <c r="U58" s="1"/>
      <c r="V58" s="1"/>
      <c r="W58" s="1"/>
      <c r="X58" s="1"/>
      <c r="Y58" s="1"/>
    </row>
    <row r="59" spans="1:25" s="8" customFormat="1" ht="39" customHeight="1">
      <c r="A59" s="1"/>
      <c r="B59" s="167">
        <v>16</v>
      </c>
      <c r="C59" s="1096" t="s">
        <v>270</v>
      </c>
      <c r="D59" s="182" t="s">
        <v>66</v>
      </c>
      <c r="E59" s="1097">
        <v>47</v>
      </c>
      <c r="F59" s="1092">
        <v>0</v>
      </c>
      <c r="G59" s="1083">
        <f t="shared" si="2"/>
        <v>0</v>
      </c>
      <c r="I59" s="1"/>
      <c r="J59" s="1"/>
      <c r="K59" s="1"/>
      <c r="L59" s="1"/>
      <c r="M59" s="1"/>
      <c r="N59" s="1"/>
      <c r="O59" s="1"/>
      <c r="P59" s="1"/>
      <c r="Q59" s="1"/>
      <c r="R59" s="1"/>
      <c r="S59" s="1"/>
      <c r="T59" s="1"/>
      <c r="U59" s="1"/>
      <c r="V59" s="1"/>
      <c r="W59" s="1"/>
      <c r="X59" s="1"/>
      <c r="Y59" s="1"/>
    </row>
    <row r="60" spans="1:25" s="8" customFormat="1" ht="36">
      <c r="A60" s="1"/>
      <c r="B60" s="717">
        <v>17</v>
      </c>
      <c r="C60" s="1096" t="s">
        <v>99</v>
      </c>
      <c r="D60" s="182" t="s">
        <v>74</v>
      </c>
      <c r="E60" s="1097">
        <v>3</v>
      </c>
      <c r="F60" s="1092">
        <v>0</v>
      </c>
      <c r="G60" s="1083">
        <f t="shared" si="2"/>
        <v>0</v>
      </c>
      <c r="I60" s="1"/>
      <c r="J60" s="1"/>
      <c r="K60" s="1"/>
      <c r="L60" s="1"/>
      <c r="M60" s="1"/>
      <c r="N60" s="1"/>
      <c r="O60" s="1"/>
      <c r="P60" s="1"/>
      <c r="Q60" s="1"/>
      <c r="R60" s="1"/>
      <c r="S60" s="1"/>
      <c r="T60" s="1"/>
      <c r="U60" s="1"/>
      <c r="V60" s="1"/>
      <c r="W60" s="1"/>
      <c r="X60" s="1"/>
      <c r="Y60" s="1"/>
    </row>
    <row r="61" spans="1:25" s="8" customFormat="1" ht="27.75" customHeight="1">
      <c r="A61" s="1"/>
      <c r="B61" s="167">
        <v>18</v>
      </c>
      <c r="C61" s="1096" t="s">
        <v>100</v>
      </c>
      <c r="D61" s="182" t="s">
        <v>65</v>
      </c>
      <c r="E61" s="1097">
        <v>10</v>
      </c>
      <c r="F61" s="1092">
        <v>0</v>
      </c>
      <c r="G61" s="1083">
        <f t="shared" si="2"/>
        <v>0</v>
      </c>
      <c r="I61" s="1"/>
      <c r="J61" s="1"/>
      <c r="K61" s="1"/>
      <c r="L61" s="1"/>
      <c r="M61" s="1"/>
      <c r="N61" s="1"/>
      <c r="O61" s="1"/>
      <c r="P61" s="1"/>
      <c r="Q61" s="1"/>
      <c r="R61" s="1"/>
      <c r="S61" s="1"/>
      <c r="T61" s="1"/>
      <c r="U61" s="1"/>
      <c r="V61" s="1"/>
      <c r="W61" s="1"/>
      <c r="X61" s="1"/>
      <c r="Y61" s="1"/>
    </row>
    <row r="62" spans="1:25" s="8" customFormat="1">
      <c r="A62" s="1"/>
      <c r="B62" s="167"/>
      <c r="C62" s="1098"/>
      <c r="D62" s="1099"/>
      <c r="E62" s="1100"/>
      <c r="F62" s="1101"/>
      <c r="G62" s="1102"/>
      <c r="I62" s="1"/>
      <c r="J62" s="1"/>
      <c r="K62" s="1"/>
      <c r="L62" s="1"/>
      <c r="M62" s="1"/>
      <c r="N62" s="1"/>
      <c r="O62" s="1"/>
      <c r="P62" s="1"/>
      <c r="Q62" s="1"/>
      <c r="R62" s="1"/>
      <c r="S62" s="1"/>
      <c r="T62" s="1"/>
      <c r="U62" s="1"/>
      <c r="V62" s="1"/>
      <c r="W62" s="1"/>
      <c r="X62" s="1"/>
      <c r="Y62" s="1"/>
    </row>
    <row r="63" spans="1:25" s="8" customFormat="1">
      <c r="A63" s="1"/>
      <c r="B63" s="151" t="s">
        <v>45</v>
      </c>
      <c r="C63" s="1086" t="s">
        <v>101</v>
      </c>
      <c r="D63" s="1103"/>
      <c r="E63" s="1088"/>
      <c r="F63" s="1089"/>
      <c r="G63" s="263">
        <f>SUM(G44:G61)</f>
        <v>0</v>
      </c>
      <c r="I63" s="1"/>
      <c r="J63" s="1"/>
      <c r="K63" s="1"/>
      <c r="L63" s="1"/>
      <c r="M63" s="1"/>
      <c r="N63" s="1"/>
      <c r="O63" s="1"/>
      <c r="P63" s="1"/>
      <c r="Q63" s="1"/>
      <c r="R63" s="1"/>
      <c r="S63" s="1"/>
      <c r="T63" s="1"/>
      <c r="U63" s="1"/>
      <c r="V63" s="1"/>
      <c r="W63" s="1"/>
      <c r="X63" s="1"/>
      <c r="Y63" s="1"/>
    </row>
    <row r="64" spans="1:25" s="8" customFormat="1">
      <c r="A64" s="1"/>
      <c r="B64" s="67"/>
      <c r="C64" s="68"/>
      <c r="D64" s="69"/>
      <c r="E64" s="1104"/>
      <c r="F64" s="1105"/>
      <c r="G64" s="1106"/>
      <c r="I64" s="1"/>
      <c r="J64" s="1"/>
      <c r="K64" s="1"/>
      <c r="L64" s="1"/>
      <c r="M64" s="1"/>
      <c r="N64" s="1"/>
      <c r="O64" s="1"/>
      <c r="P64" s="1"/>
      <c r="Q64" s="1"/>
      <c r="R64" s="1"/>
      <c r="S64" s="1"/>
      <c r="T64" s="1"/>
      <c r="U64" s="1"/>
      <c r="V64" s="1"/>
      <c r="W64" s="1"/>
      <c r="X64" s="1"/>
      <c r="Y64" s="1"/>
    </row>
    <row r="65" spans="1:25" s="8" customFormat="1" ht="24">
      <c r="A65" s="1"/>
      <c r="B65" s="119" t="s">
        <v>50</v>
      </c>
      <c r="C65" s="120" t="s">
        <v>51</v>
      </c>
      <c r="D65" s="121" t="s">
        <v>52</v>
      </c>
      <c r="E65" s="122" t="s">
        <v>53</v>
      </c>
      <c r="F65" s="123" t="s">
        <v>54</v>
      </c>
      <c r="G65" s="124" t="s">
        <v>55</v>
      </c>
      <c r="I65" s="1"/>
      <c r="J65" s="1"/>
      <c r="K65" s="1"/>
      <c r="L65" s="1"/>
      <c r="M65" s="1"/>
      <c r="N65" s="1"/>
      <c r="O65" s="1"/>
      <c r="P65" s="1"/>
      <c r="Q65" s="1"/>
      <c r="R65" s="1"/>
      <c r="S65" s="1"/>
      <c r="T65" s="1"/>
      <c r="U65" s="1"/>
      <c r="V65" s="1"/>
      <c r="W65" s="1"/>
      <c r="X65" s="1"/>
      <c r="Y65" s="1"/>
    </row>
    <row r="66" spans="1:25" s="8" customFormat="1">
      <c r="A66" s="1"/>
      <c r="B66" s="125"/>
      <c r="C66" s="126"/>
      <c r="D66" s="127"/>
      <c r="E66" s="719"/>
      <c r="F66" s="1107"/>
      <c r="G66" s="731"/>
      <c r="I66" s="1"/>
      <c r="J66" s="1"/>
      <c r="K66" s="1"/>
      <c r="L66" s="1"/>
      <c r="M66" s="1"/>
      <c r="N66" s="1"/>
      <c r="O66" s="1"/>
      <c r="P66" s="1"/>
      <c r="Q66" s="1"/>
      <c r="R66" s="1"/>
      <c r="S66" s="1"/>
      <c r="T66" s="1"/>
      <c r="U66" s="1"/>
      <c r="V66" s="1"/>
      <c r="W66" s="1"/>
      <c r="X66" s="1"/>
      <c r="Y66" s="1"/>
    </row>
    <row r="67" spans="1:25" s="8" customFormat="1" ht="20.25">
      <c r="A67" s="1"/>
      <c r="B67" s="186" t="s">
        <v>47</v>
      </c>
      <c r="C67" s="187" t="s">
        <v>48</v>
      </c>
      <c r="D67" s="165"/>
      <c r="E67" s="134"/>
      <c r="F67" s="135"/>
      <c r="G67" s="136"/>
      <c r="I67" s="1"/>
      <c r="J67" s="1"/>
      <c r="K67" s="1"/>
      <c r="L67" s="1"/>
      <c r="M67" s="1"/>
      <c r="N67" s="1"/>
      <c r="O67" s="1"/>
      <c r="P67" s="1"/>
      <c r="Q67" s="1"/>
      <c r="R67" s="1"/>
      <c r="S67" s="1"/>
      <c r="T67" s="1"/>
      <c r="U67" s="1"/>
      <c r="V67" s="1"/>
      <c r="W67" s="1"/>
      <c r="X67" s="1"/>
      <c r="Y67" s="1"/>
    </row>
    <row r="68" spans="1:25" s="8" customFormat="1">
      <c r="A68" s="1"/>
      <c r="B68" s="1108" t="s">
        <v>38</v>
      </c>
      <c r="C68" s="1109"/>
      <c r="D68" s="1110"/>
      <c r="E68" s="1109"/>
      <c r="F68" s="1109"/>
      <c r="G68" s="1110"/>
      <c r="I68" s="1"/>
      <c r="J68" s="1"/>
      <c r="K68" s="1"/>
      <c r="L68" s="1"/>
      <c r="M68" s="1"/>
      <c r="N68" s="1"/>
      <c r="O68" s="1"/>
      <c r="P68" s="1"/>
      <c r="Q68" s="1"/>
      <c r="R68" s="1"/>
      <c r="S68" s="1"/>
      <c r="T68" s="1"/>
      <c r="U68" s="1"/>
      <c r="V68" s="1"/>
      <c r="W68" s="1"/>
      <c r="X68" s="1"/>
      <c r="Y68" s="1"/>
    </row>
    <row r="69" spans="1:25" s="8" customFormat="1">
      <c r="A69" s="1"/>
      <c r="B69" s="1111" t="s">
        <v>39</v>
      </c>
      <c r="C69" s="1112"/>
      <c r="D69" s="1112"/>
      <c r="E69" s="1112"/>
      <c r="F69" s="1112"/>
      <c r="G69" s="1113"/>
      <c r="I69" s="1"/>
      <c r="J69" s="1"/>
      <c r="K69" s="1"/>
      <c r="L69" s="1"/>
      <c r="M69" s="1"/>
      <c r="N69" s="1"/>
      <c r="O69" s="1"/>
      <c r="P69" s="1"/>
      <c r="Q69" s="1"/>
      <c r="R69" s="1"/>
      <c r="S69" s="1"/>
      <c r="T69" s="1"/>
      <c r="U69" s="1"/>
      <c r="V69" s="1"/>
      <c r="W69" s="1"/>
      <c r="X69" s="1"/>
      <c r="Y69" s="1"/>
    </row>
    <row r="70" spans="1:25" s="8" customFormat="1">
      <c r="A70" s="1"/>
      <c r="B70" s="1108" t="s">
        <v>4</v>
      </c>
      <c r="C70" s="1109"/>
      <c r="D70" s="1114"/>
      <c r="E70" s="1109"/>
      <c r="F70" s="1109"/>
      <c r="G70" s="1110"/>
      <c r="I70" s="1"/>
      <c r="J70" s="1"/>
      <c r="K70" s="1"/>
      <c r="L70" s="1"/>
      <c r="M70" s="1"/>
      <c r="N70" s="1"/>
      <c r="O70" s="1"/>
      <c r="P70" s="1"/>
      <c r="Q70" s="1"/>
      <c r="R70" s="1"/>
      <c r="S70" s="1"/>
      <c r="T70" s="1"/>
      <c r="U70" s="1"/>
      <c r="V70" s="1"/>
      <c r="W70" s="1"/>
      <c r="X70" s="1"/>
      <c r="Y70" s="1"/>
    </row>
    <row r="71" spans="1:25" s="8" customFormat="1">
      <c r="A71" s="1"/>
      <c r="B71" s="1111" t="s">
        <v>5</v>
      </c>
      <c r="C71" s="1112"/>
      <c r="D71" s="1112"/>
      <c r="E71" s="1112"/>
      <c r="F71" s="1112"/>
      <c r="G71" s="1113"/>
      <c r="I71" s="1"/>
      <c r="J71" s="1"/>
      <c r="K71" s="1"/>
      <c r="L71" s="1"/>
      <c r="M71" s="1"/>
      <c r="N71" s="1"/>
      <c r="O71" s="1"/>
      <c r="P71" s="1"/>
      <c r="Q71" s="1"/>
      <c r="R71" s="1"/>
      <c r="S71" s="1"/>
      <c r="T71" s="1"/>
      <c r="U71" s="1"/>
      <c r="V71" s="1"/>
      <c r="W71" s="1"/>
      <c r="X71" s="1"/>
      <c r="Y71" s="1"/>
    </row>
    <row r="72" spans="1:25" s="8" customFormat="1">
      <c r="A72" s="1"/>
      <c r="B72" s="2399" t="s">
        <v>271</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104</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2399" t="s">
        <v>105</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1115"/>
      <c r="C75" s="1116"/>
      <c r="D75" s="1116"/>
      <c r="E75" s="1116"/>
      <c r="F75" s="1116"/>
      <c r="G75" s="1117"/>
      <c r="I75" s="1"/>
      <c r="J75" s="1"/>
      <c r="K75" s="1"/>
      <c r="L75" s="1"/>
      <c r="M75" s="1"/>
      <c r="N75" s="1"/>
      <c r="O75" s="1"/>
      <c r="P75" s="1"/>
      <c r="Q75" s="1"/>
      <c r="R75" s="1"/>
      <c r="S75" s="1"/>
      <c r="T75" s="1"/>
      <c r="U75" s="1"/>
      <c r="V75" s="1"/>
      <c r="W75" s="1"/>
      <c r="X75" s="1"/>
      <c r="Y75" s="1"/>
    </row>
    <row r="76" spans="1:25" ht="24">
      <c r="B76" s="188">
        <v>1</v>
      </c>
      <c r="C76" s="1156" t="s">
        <v>106</v>
      </c>
      <c r="D76" s="190"/>
      <c r="E76" s="719"/>
      <c r="F76" s="1107"/>
      <c r="G76" s="731"/>
    </row>
    <row r="77" spans="1:25">
      <c r="B77" s="191"/>
      <c r="C77" s="1157" t="s">
        <v>226</v>
      </c>
      <c r="D77" s="190" t="s">
        <v>57</v>
      </c>
      <c r="E77" s="719">
        <f>444*0.9</f>
        <v>399.6</v>
      </c>
      <c r="F77" s="1092">
        <v>0</v>
      </c>
      <c r="G77" s="1093">
        <f>+E77*F77</f>
        <v>0</v>
      </c>
    </row>
    <row r="78" spans="1:25" ht="24">
      <c r="B78" s="191"/>
      <c r="C78" s="1157" t="s">
        <v>227</v>
      </c>
      <c r="D78" s="190" t="s">
        <v>57</v>
      </c>
      <c r="E78" s="719">
        <f>444*0.1</f>
        <v>44.400000000000006</v>
      </c>
      <c r="F78" s="1092">
        <v>0</v>
      </c>
      <c r="G78" s="1093">
        <f t="shared" ref="G78:G87" si="3">+E78*F78</f>
        <v>0</v>
      </c>
    </row>
    <row r="79" spans="1:25">
      <c r="B79" s="191"/>
      <c r="C79" s="1157" t="s">
        <v>109</v>
      </c>
      <c r="D79" s="190" t="s">
        <v>57</v>
      </c>
      <c r="E79" s="719">
        <f>69*0.9</f>
        <v>62.1</v>
      </c>
      <c r="F79" s="1092">
        <v>0</v>
      </c>
      <c r="G79" s="1093">
        <f t="shared" si="3"/>
        <v>0</v>
      </c>
    </row>
    <row r="80" spans="1:25" ht="24">
      <c r="B80" s="191"/>
      <c r="C80" s="1157" t="s">
        <v>110</v>
      </c>
      <c r="D80" s="190" t="s">
        <v>57</v>
      </c>
      <c r="E80" s="719">
        <f>69*0.1</f>
        <v>6.9</v>
      </c>
      <c r="F80" s="1092">
        <v>0</v>
      </c>
      <c r="G80" s="1093">
        <f t="shared" si="3"/>
        <v>0</v>
      </c>
    </row>
    <row r="81" spans="2:7" ht="36">
      <c r="B81" s="2404" t="s">
        <v>111</v>
      </c>
      <c r="C81" s="193" t="s">
        <v>112</v>
      </c>
      <c r="D81" s="194"/>
      <c r="E81" s="719"/>
      <c r="F81" s="1092"/>
      <c r="G81" s="1093"/>
    </row>
    <row r="82" spans="2:7">
      <c r="B82" s="2405"/>
      <c r="C82" s="195" t="s">
        <v>274</v>
      </c>
      <c r="D82" s="194" t="s">
        <v>57</v>
      </c>
      <c r="E82" s="719">
        <v>66</v>
      </c>
      <c r="F82" s="1092">
        <v>0</v>
      </c>
      <c r="G82" s="1093">
        <f t="shared" si="3"/>
        <v>0</v>
      </c>
    </row>
    <row r="83" spans="2:7">
      <c r="B83" s="2413"/>
      <c r="C83" s="195" t="s">
        <v>275</v>
      </c>
      <c r="D83" s="194" t="s">
        <v>57</v>
      </c>
      <c r="E83" s="719">
        <v>10</v>
      </c>
      <c r="F83" s="1092">
        <v>0</v>
      </c>
      <c r="G83" s="1093">
        <f t="shared" si="3"/>
        <v>0</v>
      </c>
    </row>
    <row r="84" spans="2:7" ht="36">
      <c r="B84" s="196">
        <v>2</v>
      </c>
      <c r="C84" s="197" t="s">
        <v>114</v>
      </c>
      <c r="D84" s="145" t="s">
        <v>57</v>
      </c>
      <c r="E84" s="732">
        <f>SUM(E77:E80)</f>
        <v>513</v>
      </c>
      <c r="F84" s="1092">
        <v>0</v>
      </c>
      <c r="G84" s="1093">
        <f t="shared" si="3"/>
        <v>0</v>
      </c>
    </row>
    <row r="85" spans="2:7" ht="36">
      <c r="B85" s="199" t="s">
        <v>115</v>
      </c>
      <c r="C85" s="197" t="s">
        <v>116</v>
      </c>
      <c r="D85" s="145" t="s">
        <v>57</v>
      </c>
      <c r="E85" s="732">
        <f>E84</f>
        <v>513</v>
      </c>
      <c r="F85" s="1092">
        <v>0</v>
      </c>
      <c r="G85" s="1093">
        <f t="shared" si="3"/>
        <v>0</v>
      </c>
    </row>
    <row r="86" spans="2:7" ht="24">
      <c r="B86" s="199" t="s">
        <v>117</v>
      </c>
      <c r="C86" s="197" t="s">
        <v>118</v>
      </c>
      <c r="D86" s="145" t="s">
        <v>57</v>
      </c>
      <c r="E86" s="732">
        <f>E84</f>
        <v>513</v>
      </c>
      <c r="F86" s="1092">
        <v>0</v>
      </c>
      <c r="G86" s="1093">
        <f t="shared" si="3"/>
        <v>0</v>
      </c>
    </row>
    <row r="87" spans="2:7" ht="36">
      <c r="B87" s="199" t="s">
        <v>119</v>
      </c>
      <c r="C87" s="197" t="s">
        <v>120</v>
      </c>
      <c r="D87" s="145" t="s">
        <v>57</v>
      </c>
      <c r="E87" s="732">
        <f>E84</f>
        <v>513</v>
      </c>
      <c r="F87" s="1092">
        <v>0</v>
      </c>
      <c r="G87" s="1093">
        <f t="shared" si="3"/>
        <v>0</v>
      </c>
    </row>
    <row r="88" spans="2:7" ht="24">
      <c r="B88" s="188">
        <v>3</v>
      </c>
      <c r="C88" s="200" t="s">
        <v>121</v>
      </c>
      <c r="D88" s="127"/>
      <c r="E88" s="719"/>
      <c r="F88" s="1107">
        <v>0</v>
      </c>
      <c r="G88" s="731"/>
    </row>
    <row r="89" spans="2:7">
      <c r="B89" s="201" t="s">
        <v>122</v>
      </c>
      <c r="C89" s="212" t="s">
        <v>127</v>
      </c>
      <c r="D89" s="213"/>
      <c r="E89" s="214"/>
      <c r="F89" s="215">
        <v>0</v>
      </c>
      <c r="G89" s="216"/>
    </row>
    <row r="90" spans="2:7">
      <c r="B90" s="218"/>
      <c r="C90" s="212" t="s">
        <v>318</v>
      </c>
      <c r="D90" s="735"/>
      <c r="E90" s="736"/>
      <c r="F90" s="1647"/>
      <c r="G90" s="1121"/>
    </row>
    <row r="91" spans="2:7">
      <c r="B91" s="218"/>
      <c r="C91" s="219" t="s">
        <v>319</v>
      </c>
      <c r="D91" s="213" t="s">
        <v>66</v>
      </c>
      <c r="E91" s="214">
        <v>2</v>
      </c>
      <c r="F91" s="2230">
        <v>0</v>
      </c>
      <c r="G91" s="221">
        <f t="shared" ref="G91:G100" si="4">+E91*F91</f>
        <v>0</v>
      </c>
    </row>
    <row r="92" spans="2:7" ht="36">
      <c r="B92" s="218"/>
      <c r="C92" s="222" t="s">
        <v>283</v>
      </c>
      <c r="D92" s="213" t="s">
        <v>66</v>
      </c>
      <c r="E92" s="214">
        <v>2</v>
      </c>
      <c r="F92" s="2230">
        <v>0</v>
      </c>
      <c r="G92" s="221">
        <f t="shared" si="4"/>
        <v>0</v>
      </c>
    </row>
    <row r="93" spans="2:7">
      <c r="B93" s="218"/>
      <c r="C93" s="222" t="s">
        <v>183</v>
      </c>
      <c r="D93" s="213" t="s">
        <v>66</v>
      </c>
      <c r="E93" s="214">
        <v>2</v>
      </c>
      <c r="F93" s="2230">
        <v>0</v>
      </c>
      <c r="G93" s="221">
        <f t="shared" si="4"/>
        <v>0</v>
      </c>
    </row>
    <row r="94" spans="2:7">
      <c r="B94" s="218"/>
      <c r="C94" s="222" t="s">
        <v>131</v>
      </c>
      <c r="D94" s="213" t="s">
        <v>66</v>
      </c>
      <c r="E94" s="214">
        <v>2</v>
      </c>
      <c r="F94" s="2230">
        <v>0</v>
      </c>
      <c r="G94" s="221">
        <f t="shared" si="4"/>
        <v>0</v>
      </c>
    </row>
    <row r="95" spans="2:7">
      <c r="B95" s="218"/>
      <c r="C95" s="1133" t="s">
        <v>166</v>
      </c>
      <c r="D95" s="213" t="s">
        <v>66</v>
      </c>
      <c r="E95" s="214">
        <v>4</v>
      </c>
      <c r="F95" s="2230">
        <v>0</v>
      </c>
      <c r="G95" s="221">
        <f t="shared" si="4"/>
        <v>0</v>
      </c>
    </row>
    <row r="96" spans="2:7">
      <c r="B96" s="218"/>
      <c r="C96" s="1133" t="s">
        <v>167</v>
      </c>
      <c r="D96" s="213" t="s">
        <v>66</v>
      </c>
      <c r="E96" s="214">
        <v>4</v>
      </c>
      <c r="F96" s="2230">
        <v>0</v>
      </c>
      <c r="G96" s="221">
        <f t="shared" si="4"/>
        <v>0</v>
      </c>
    </row>
    <row r="97" spans="2:7">
      <c r="B97" s="218"/>
      <c r="C97" s="1133" t="s">
        <v>229</v>
      </c>
      <c r="D97" s="213" t="s">
        <v>66</v>
      </c>
      <c r="E97" s="214">
        <v>4</v>
      </c>
      <c r="F97" s="2230">
        <v>0</v>
      </c>
      <c r="G97" s="221">
        <f t="shared" si="4"/>
        <v>0</v>
      </c>
    </row>
    <row r="98" spans="2:7">
      <c r="B98" s="218"/>
      <c r="C98" s="1133" t="s">
        <v>230</v>
      </c>
      <c r="D98" s="213" t="s">
        <v>66</v>
      </c>
      <c r="E98" s="214">
        <v>4</v>
      </c>
      <c r="F98" s="2230">
        <v>0</v>
      </c>
      <c r="G98" s="221">
        <f t="shared" si="4"/>
        <v>0</v>
      </c>
    </row>
    <row r="99" spans="2:7">
      <c r="B99" s="218"/>
      <c r="C99" s="1133" t="s">
        <v>134</v>
      </c>
      <c r="D99" s="213" t="s">
        <v>66</v>
      </c>
      <c r="E99" s="214">
        <v>2</v>
      </c>
      <c r="F99" s="2230">
        <v>0</v>
      </c>
      <c r="G99" s="221">
        <f t="shared" si="4"/>
        <v>0</v>
      </c>
    </row>
    <row r="100" spans="2:7">
      <c r="B100" s="218"/>
      <c r="C100" s="1134" t="s">
        <v>135</v>
      </c>
      <c r="D100" s="213" t="s">
        <v>66</v>
      </c>
      <c r="E100" s="214">
        <v>2</v>
      </c>
      <c r="F100" s="2230">
        <v>0</v>
      </c>
      <c r="G100" s="221">
        <f t="shared" si="4"/>
        <v>0</v>
      </c>
    </row>
    <row r="101" spans="2:7">
      <c r="B101" s="201" t="s">
        <v>126</v>
      </c>
      <c r="C101" s="238" t="s">
        <v>320</v>
      </c>
      <c r="D101" s="239"/>
      <c r="E101" s="240"/>
      <c r="F101" s="241"/>
      <c r="G101" s="242"/>
    </row>
    <row r="102" spans="2:7">
      <c r="B102" s="218"/>
      <c r="C102" s="238" t="s">
        <v>326</v>
      </c>
      <c r="D102" s="153"/>
      <c r="E102" s="741"/>
      <c r="F102" s="1649"/>
      <c r="G102" s="263"/>
    </row>
    <row r="103" spans="2:7" ht="29.25" customHeight="1">
      <c r="B103" s="218"/>
      <c r="C103" s="1123" t="s">
        <v>322</v>
      </c>
      <c r="D103" s="239" t="s">
        <v>66</v>
      </c>
      <c r="E103" s="240">
        <v>3</v>
      </c>
      <c r="F103" s="2242">
        <v>0</v>
      </c>
      <c r="G103" s="245">
        <f t="shared" ref="G103:G105" si="5">E103*F103</f>
        <v>0</v>
      </c>
    </row>
    <row r="104" spans="2:7">
      <c r="B104" s="218"/>
      <c r="C104" s="1160" t="s">
        <v>325</v>
      </c>
      <c r="D104" s="239" t="s">
        <v>66</v>
      </c>
      <c r="E104" s="240">
        <v>3</v>
      </c>
      <c r="F104" s="2242">
        <v>0</v>
      </c>
      <c r="G104" s="245">
        <f t="shared" si="5"/>
        <v>0</v>
      </c>
    </row>
    <row r="105" spans="2:7">
      <c r="B105" s="218"/>
      <c r="C105" s="1161" t="s">
        <v>135</v>
      </c>
      <c r="D105" s="239" t="s">
        <v>66</v>
      </c>
      <c r="E105" s="240">
        <v>3</v>
      </c>
      <c r="F105" s="2242">
        <v>0</v>
      </c>
      <c r="G105" s="245">
        <f t="shared" si="5"/>
        <v>0</v>
      </c>
    </row>
    <row r="106" spans="2:7">
      <c r="B106" s="201" t="s">
        <v>136</v>
      </c>
      <c r="C106" s="223" t="s">
        <v>886</v>
      </c>
      <c r="D106" s="224"/>
      <c r="E106" s="225"/>
      <c r="F106" s="226"/>
      <c r="G106" s="227"/>
    </row>
    <row r="107" spans="2:7">
      <c r="B107" s="218"/>
      <c r="C107" s="223" t="s">
        <v>888</v>
      </c>
      <c r="D107" s="737"/>
      <c r="E107" s="738"/>
      <c r="F107" s="1648"/>
      <c r="G107" s="1651"/>
    </row>
    <row r="108" spans="2:7" ht="24">
      <c r="B108" s="218"/>
      <c r="C108" s="228" t="s">
        <v>2251</v>
      </c>
      <c r="D108" s="224" t="s">
        <v>66</v>
      </c>
      <c r="E108" s="225">
        <v>1</v>
      </c>
      <c r="F108" s="2243">
        <v>0</v>
      </c>
      <c r="G108" s="2244">
        <f t="shared" ref="G108:G125" si="6">E108*F108</f>
        <v>0</v>
      </c>
    </row>
    <row r="109" spans="2:7">
      <c r="B109" s="218"/>
      <c r="C109" s="1164" t="s">
        <v>184</v>
      </c>
      <c r="D109" s="224" t="s">
        <v>66</v>
      </c>
      <c r="E109" s="225">
        <v>2</v>
      </c>
      <c r="F109" s="2243">
        <v>0</v>
      </c>
      <c r="G109" s="2244">
        <f t="shared" si="6"/>
        <v>0</v>
      </c>
    </row>
    <row r="110" spans="2:7">
      <c r="B110" s="218"/>
      <c r="C110" s="1164" t="s">
        <v>166</v>
      </c>
      <c r="D110" s="224" t="s">
        <v>66</v>
      </c>
      <c r="E110" s="225">
        <v>1</v>
      </c>
      <c r="F110" s="2243">
        <v>0</v>
      </c>
      <c r="G110" s="2244">
        <f t="shared" si="6"/>
        <v>0</v>
      </c>
    </row>
    <row r="111" spans="2:7">
      <c r="B111" s="218"/>
      <c r="C111" s="1164" t="s">
        <v>167</v>
      </c>
      <c r="D111" s="224" t="s">
        <v>66</v>
      </c>
      <c r="E111" s="225">
        <v>1</v>
      </c>
      <c r="F111" s="2243">
        <v>0</v>
      </c>
      <c r="G111" s="2244">
        <f t="shared" si="6"/>
        <v>0</v>
      </c>
    </row>
    <row r="112" spans="2:7">
      <c r="B112" s="218"/>
      <c r="C112" s="1164" t="s">
        <v>229</v>
      </c>
      <c r="D112" s="224" t="s">
        <v>66</v>
      </c>
      <c r="E112" s="225">
        <v>1</v>
      </c>
      <c r="F112" s="2243">
        <v>0</v>
      </c>
      <c r="G112" s="2244">
        <f t="shared" si="6"/>
        <v>0</v>
      </c>
    </row>
    <row r="113" spans="2:7">
      <c r="B113" s="218"/>
      <c r="C113" s="1164" t="s">
        <v>230</v>
      </c>
      <c r="D113" s="224" t="s">
        <v>66</v>
      </c>
      <c r="E113" s="225">
        <v>1</v>
      </c>
      <c r="F113" s="2243">
        <v>0</v>
      </c>
      <c r="G113" s="2244">
        <f t="shared" si="6"/>
        <v>0</v>
      </c>
    </row>
    <row r="114" spans="2:7">
      <c r="B114" s="218"/>
      <c r="C114" s="1164" t="s">
        <v>150</v>
      </c>
      <c r="D114" s="224" t="s">
        <v>66</v>
      </c>
      <c r="E114" s="225">
        <v>1</v>
      </c>
      <c r="F114" s="2243">
        <v>0</v>
      </c>
      <c r="G114" s="2244">
        <f t="shared" si="6"/>
        <v>0</v>
      </c>
    </row>
    <row r="115" spans="2:7">
      <c r="B115" s="218"/>
      <c r="C115" s="1165" t="s">
        <v>135</v>
      </c>
      <c r="D115" s="224" t="s">
        <v>66</v>
      </c>
      <c r="E115" s="225">
        <v>1</v>
      </c>
      <c r="F115" s="2243">
        <v>0</v>
      </c>
      <c r="G115" s="2244">
        <f t="shared" si="6"/>
        <v>0</v>
      </c>
    </row>
    <row r="116" spans="2:7">
      <c r="B116" s="218"/>
      <c r="C116" s="223" t="s">
        <v>228</v>
      </c>
      <c r="D116" s="737"/>
      <c r="E116" s="738"/>
      <c r="F116" s="2243"/>
      <c r="G116" s="2244"/>
    </row>
    <row r="117" spans="2:7" ht="24">
      <c r="B117" s="218"/>
      <c r="C117" s="228" t="s">
        <v>2247</v>
      </c>
      <c r="D117" s="224" t="s">
        <v>66</v>
      </c>
      <c r="E117" s="225">
        <v>1</v>
      </c>
      <c r="F117" s="2243">
        <v>0</v>
      </c>
      <c r="G117" s="2244">
        <f t="shared" si="6"/>
        <v>0</v>
      </c>
    </row>
    <row r="118" spans="2:7">
      <c r="B118" s="218"/>
      <c r="C118" s="739" t="s">
        <v>132</v>
      </c>
      <c r="D118" s="224" t="s">
        <v>66</v>
      </c>
      <c r="E118" s="225">
        <v>2</v>
      </c>
      <c r="F118" s="2243">
        <v>0</v>
      </c>
      <c r="G118" s="2244">
        <f t="shared" si="6"/>
        <v>0</v>
      </c>
    </row>
    <row r="119" spans="2:7">
      <c r="B119" s="218"/>
      <c r="C119" s="739" t="s">
        <v>166</v>
      </c>
      <c r="D119" s="224" t="s">
        <v>66</v>
      </c>
      <c r="E119" s="225">
        <v>1</v>
      </c>
      <c r="F119" s="2243">
        <v>0</v>
      </c>
      <c r="G119" s="2244">
        <f t="shared" si="6"/>
        <v>0</v>
      </c>
    </row>
    <row r="120" spans="2:7">
      <c r="B120" s="218"/>
      <c r="C120" s="739" t="s">
        <v>148</v>
      </c>
      <c r="D120" s="224" t="s">
        <v>66</v>
      </c>
      <c r="E120" s="225">
        <v>2</v>
      </c>
      <c r="F120" s="2243">
        <v>0</v>
      </c>
      <c r="G120" s="2244">
        <f t="shared" si="6"/>
        <v>0</v>
      </c>
    </row>
    <row r="121" spans="2:7">
      <c r="B121" s="218"/>
      <c r="C121" s="739" t="s">
        <v>167</v>
      </c>
      <c r="D121" s="224" t="s">
        <v>66</v>
      </c>
      <c r="E121" s="225">
        <v>1</v>
      </c>
      <c r="F121" s="2243">
        <v>0</v>
      </c>
      <c r="G121" s="2244">
        <f t="shared" si="6"/>
        <v>0</v>
      </c>
    </row>
    <row r="122" spans="2:7">
      <c r="B122" s="218"/>
      <c r="C122" s="739" t="s">
        <v>229</v>
      </c>
      <c r="D122" s="224" t="s">
        <v>66</v>
      </c>
      <c r="E122" s="225">
        <v>1</v>
      </c>
      <c r="F122" s="2243">
        <v>0</v>
      </c>
      <c r="G122" s="2244">
        <f t="shared" si="6"/>
        <v>0</v>
      </c>
    </row>
    <row r="123" spans="2:7">
      <c r="B123" s="218"/>
      <c r="C123" s="739" t="s">
        <v>230</v>
      </c>
      <c r="D123" s="224" t="s">
        <v>66</v>
      </c>
      <c r="E123" s="225">
        <v>1</v>
      </c>
      <c r="F123" s="2243">
        <v>0</v>
      </c>
      <c r="G123" s="2244">
        <f t="shared" si="6"/>
        <v>0</v>
      </c>
    </row>
    <row r="124" spans="2:7">
      <c r="B124" s="218"/>
      <c r="C124" s="739" t="s">
        <v>150</v>
      </c>
      <c r="D124" s="224" t="s">
        <v>66</v>
      </c>
      <c r="E124" s="225">
        <v>1</v>
      </c>
      <c r="F124" s="2243">
        <v>0</v>
      </c>
      <c r="G124" s="2244">
        <f t="shared" si="6"/>
        <v>0</v>
      </c>
    </row>
    <row r="125" spans="2:7">
      <c r="B125" s="218"/>
      <c r="C125" s="740" t="s">
        <v>135</v>
      </c>
      <c r="D125" s="224" t="s">
        <v>66</v>
      </c>
      <c r="E125" s="225">
        <v>1</v>
      </c>
      <c r="F125" s="2243">
        <v>0</v>
      </c>
      <c r="G125" s="2244">
        <f t="shared" si="6"/>
        <v>0</v>
      </c>
    </row>
    <row r="126" spans="2:7">
      <c r="B126" s="201" t="s">
        <v>151</v>
      </c>
      <c r="C126" s="238" t="s">
        <v>169</v>
      </c>
      <c r="D126" s="239"/>
      <c r="E126" s="240"/>
      <c r="F126" s="241"/>
      <c r="G126" s="242"/>
    </row>
    <row r="127" spans="2:7">
      <c r="B127" s="218"/>
      <c r="C127" s="238" t="s">
        <v>234</v>
      </c>
      <c r="D127" s="153"/>
      <c r="E127" s="741"/>
      <c r="F127" s="1649"/>
      <c r="G127" s="263"/>
    </row>
    <row r="128" spans="2:7" ht="36">
      <c r="B128" s="218"/>
      <c r="C128" s="243" t="s">
        <v>2245</v>
      </c>
      <c r="D128" s="239" t="s">
        <v>66</v>
      </c>
      <c r="E128" s="240">
        <v>20</v>
      </c>
      <c r="F128" s="2242">
        <v>0</v>
      </c>
      <c r="G128" s="245">
        <f t="shared" ref="G128:G131" si="7">E128*F128</f>
        <v>0</v>
      </c>
    </row>
    <row r="129" spans="2:7">
      <c r="B129" s="218"/>
      <c r="C129" s="1160" t="s">
        <v>171</v>
      </c>
      <c r="D129" s="239" t="s">
        <v>66</v>
      </c>
      <c r="E129" s="240">
        <v>20</v>
      </c>
      <c r="F129" s="2242">
        <v>0</v>
      </c>
      <c r="G129" s="245">
        <f t="shared" si="7"/>
        <v>0</v>
      </c>
    </row>
    <row r="130" spans="2:7">
      <c r="B130" s="218"/>
      <c r="C130" s="1161" t="s">
        <v>135</v>
      </c>
      <c r="D130" s="239" t="s">
        <v>66</v>
      </c>
      <c r="E130" s="240">
        <v>20</v>
      </c>
      <c r="F130" s="2242">
        <v>0</v>
      </c>
      <c r="G130" s="245">
        <f t="shared" si="7"/>
        <v>0</v>
      </c>
    </row>
    <row r="131" spans="2:7">
      <c r="B131" s="218"/>
      <c r="C131" s="247" t="s">
        <v>891</v>
      </c>
      <c r="D131" s="239" t="s">
        <v>66</v>
      </c>
      <c r="E131" s="240">
        <v>20</v>
      </c>
      <c r="F131" s="2242">
        <v>0</v>
      </c>
      <c r="G131" s="245">
        <f t="shared" si="7"/>
        <v>0</v>
      </c>
    </row>
    <row r="132" spans="2:7">
      <c r="B132" s="201" t="s">
        <v>159</v>
      </c>
      <c r="C132" s="742" t="s">
        <v>173</v>
      </c>
      <c r="D132" s="743"/>
      <c r="E132" s="744"/>
      <c r="F132" s="1131"/>
      <c r="G132" s="1132"/>
    </row>
    <row r="133" spans="2:7" ht="72">
      <c r="B133" s="218"/>
      <c r="C133" s="745" t="s">
        <v>174</v>
      </c>
      <c r="D133" s="1166" t="s">
        <v>66</v>
      </c>
      <c r="E133" s="1167">
        <v>1</v>
      </c>
      <c r="F133" s="1650">
        <v>0</v>
      </c>
      <c r="G133" s="1132">
        <f>E133*F133</f>
        <v>0</v>
      </c>
    </row>
    <row r="134" spans="2:7">
      <c r="B134" s="258" t="s">
        <v>1413</v>
      </c>
      <c r="C134" s="259" t="s">
        <v>1396</v>
      </c>
      <c r="D134" s="260"/>
      <c r="E134" s="261"/>
      <c r="F134" s="262"/>
      <c r="G134" s="263">
        <f>SUM(G76:G133)</f>
        <v>0</v>
      </c>
    </row>
  </sheetData>
  <mergeCells count="5">
    <mergeCell ref="B43:G43"/>
    <mergeCell ref="B72:G72"/>
    <mergeCell ref="B73:G73"/>
    <mergeCell ref="B74:G74"/>
    <mergeCell ref="B81:B83"/>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2921-5FE5-4C50-BD3E-E412C80EE8FC}">
  <sheetPr>
    <tabColor rgb="FF00B0F0"/>
  </sheetPr>
  <dimension ref="A2:Y162"/>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2.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1446</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1451</v>
      </c>
      <c r="D6" s="2233"/>
      <c r="E6" s="679"/>
      <c r="F6" s="680"/>
      <c r="G6" s="681"/>
      <c r="H6" s="27"/>
    </row>
    <row r="7" spans="1:25" s="86" customFormat="1" ht="21" customHeight="1">
      <c r="B7" s="1146"/>
      <c r="C7" s="1147"/>
      <c r="D7" s="1976"/>
      <c r="E7" s="1149"/>
      <c r="F7" s="1150"/>
      <c r="G7" s="1151"/>
      <c r="H7" s="27"/>
    </row>
    <row r="8" spans="1:25" s="14" customFormat="1" ht="18" customHeight="1">
      <c r="A8" s="9"/>
      <c r="B8" s="10" t="s">
        <v>38</v>
      </c>
      <c r="C8" s="11"/>
      <c r="D8" s="1177"/>
      <c r="E8" s="12"/>
      <c r="F8" s="688"/>
      <c r="G8" s="13"/>
    </row>
    <row r="9" spans="1:25" s="14" customFormat="1" ht="18" customHeight="1">
      <c r="A9" s="15"/>
      <c r="B9" s="16" t="s">
        <v>39</v>
      </c>
      <c r="C9" s="17"/>
      <c r="D9" s="1179"/>
      <c r="E9" s="19"/>
      <c r="F9" s="689"/>
      <c r="G9" s="18"/>
    </row>
    <row r="10" spans="1:25" s="14" customFormat="1" ht="18" customHeight="1">
      <c r="A10" s="9"/>
      <c r="B10" s="10" t="s">
        <v>4</v>
      </c>
      <c r="C10" s="11"/>
      <c r="D10" s="1180"/>
      <c r="E10" s="12"/>
      <c r="F10" s="688"/>
      <c r="G10" s="13"/>
    </row>
    <row r="11" spans="1:25" s="14" customFormat="1" ht="18" customHeight="1">
      <c r="A11" s="15"/>
      <c r="B11" s="16" t="s">
        <v>5</v>
      </c>
      <c r="C11" s="17"/>
      <c r="D11" s="1181"/>
      <c r="E11" s="19"/>
      <c r="F11" s="689"/>
      <c r="G11" s="18"/>
    </row>
    <row r="12" spans="1:25" s="86" customFormat="1" ht="14.25">
      <c r="B12" s="89"/>
      <c r="C12" s="90"/>
      <c r="D12" s="1182"/>
      <c r="E12" s="92"/>
      <c r="F12" s="690"/>
      <c r="G12" s="94"/>
      <c r="H12" s="27"/>
    </row>
    <row r="13" spans="1:25" s="86" customFormat="1" ht="18.75" customHeight="1">
      <c r="B13" s="95"/>
      <c r="C13" s="96" t="s">
        <v>40</v>
      </c>
      <c r="D13" s="1183"/>
      <c r="E13" s="98"/>
      <c r="F13" s="691"/>
      <c r="G13" s="100"/>
      <c r="H13" s="27"/>
    </row>
    <row r="14" spans="1:25" s="101" customFormat="1" ht="18.75" customHeight="1">
      <c r="B14" s="95" t="s">
        <v>41</v>
      </c>
      <c r="C14" s="96" t="s">
        <v>42</v>
      </c>
      <c r="D14" s="118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185"/>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185"/>
      <c r="E16" s="110"/>
      <c r="F16" s="695"/>
      <c r="G16" s="1408">
        <f>G62</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185"/>
      <c r="E17" s="110"/>
      <c r="F17" s="695"/>
      <c r="G17" s="1408">
        <f>G162</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87"/>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0" t="s">
        <v>52</v>
      </c>
      <c r="E21" s="122" t="s">
        <v>53</v>
      </c>
      <c r="F21" s="756" t="s">
        <v>54</v>
      </c>
      <c r="G21" s="124" t="s">
        <v>55</v>
      </c>
    </row>
    <row r="22" spans="2:25">
      <c r="B22" s="125"/>
      <c r="C22" s="126"/>
      <c r="D22" s="140"/>
      <c r="E22" s="128"/>
      <c r="F22" s="708"/>
      <c r="G22" s="130"/>
    </row>
    <row r="23" spans="2:25" s="138" customFormat="1" ht="20.25">
      <c r="B23" s="131" t="s">
        <v>43</v>
      </c>
      <c r="C23" s="132" t="s">
        <v>44</v>
      </c>
      <c r="D23" s="165"/>
      <c r="E23" s="134"/>
      <c r="F23" s="709"/>
      <c r="G23" s="136"/>
      <c r="H23" s="137"/>
    </row>
    <row r="24" spans="2:25" ht="24">
      <c r="B24" s="125">
        <v>1</v>
      </c>
      <c r="C24" s="144" t="s">
        <v>56</v>
      </c>
      <c r="D24" s="140" t="s">
        <v>57</v>
      </c>
      <c r="E24" s="1081">
        <v>251</v>
      </c>
      <c r="F24" s="1082">
        <v>0</v>
      </c>
      <c r="G24" s="1083">
        <f t="shared" ref="G24" si="0">E24*F24</f>
        <v>0</v>
      </c>
    </row>
    <row r="25" spans="2:25">
      <c r="B25" s="125">
        <v>2</v>
      </c>
      <c r="C25" s="144" t="s">
        <v>58</v>
      </c>
      <c r="D25" s="140" t="s">
        <v>57</v>
      </c>
      <c r="E25" s="1081">
        <f>E24</f>
        <v>251</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2</v>
      </c>
      <c r="F28" s="1082">
        <v>0</v>
      </c>
      <c r="G28" s="1083">
        <f t="shared" si="1"/>
        <v>0</v>
      </c>
    </row>
    <row r="29" spans="2:25" ht="27.75" customHeight="1">
      <c r="B29" s="125">
        <v>6</v>
      </c>
      <c r="C29" s="1084" t="s">
        <v>63</v>
      </c>
      <c r="D29" s="140" t="s">
        <v>57</v>
      </c>
      <c r="E29" s="1081">
        <f>E24</f>
        <v>251</v>
      </c>
      <c r="F29" s="1082">
        <v>0</v>
      </c>
      <c r="G29" s="1083">
        <f t="shared" si="1"/>
        <v>0</v>
      </c>
    </row>
    <row r="30" spans="2:25" ht="52.5" customHeight="1">
      <c r="B30" s="125">
        <v>7</v>
      </c>
      <c r="C30" s="1084" t="s">
        <v>64</v>
      </c>
      <c r="D30" s="146" t="s">
        <v>60</v>
      </c>
      <c r="E30" s="1081">
        <v>1</v>
      </c>
      <c r="F30" s="1082">
        <v>0</v>
      </c>
      <c r="G30" s="1083">
        <f t="shared" si="1"/>
        <v>0</v>
      </c>
    </row>
    <row r="31" spans="2:25" ht="55.5" customHeight="1">
      <c r="B31" s="125">
        <v>8</v>
      </c>
      <c r="C31" s="1080" t="s">
        <v>2292</v>
      </c>
      <c r="D31" s="146" t="s">
        <v>66</v>
      </c>
      <c r="E31" s="1081">
        <v>14</v>
      </c>
      <c r="F31" s="1082">
        <v>0</v>
      </c>
      <c r="G31" s="1083">
        <f t="shared" si="1"/>
        <v>0</v>
      </c>
    </row>
    <row r="32" spans="2:25" ht="36">
      <c r="B32" s="125">
        <v>9</v>
      </c>
      <c r="C32" s="1080" t="s">
        <v>2295</v>
      </c>
      <c r="D32" s="146" t="s">
        <v>57</v>
      </c>
      <c r="E32" s="1081">
        <f>E24+E80+E81</f>
        <v>317</v>
      </c>
      <c r="F32" s="1082">
        <v>0</v>
      </c>
      <c r="G32" s="1083">
        <f t="shared" si="1"/>
        <v>0</v>
      </c>
    </row>
    <row r="33" spans="1:25" ht="24">
      <c r="B33" s="125">
        <v>10</v>
      </c>
      <c r="C33" s="1080" t="s">
        <v>2293</v>
      </c>
      <c r="D33" s="146" t="s">
        <v>57</v>
      </c>
      <c r="E33" s="1081">
        <f>E24+E80+E81</f>
        <v>317</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103"/>
      <c r="E38" s="1088"/>
      <c r="F38" s="1089"/>
      <c r="G38" s="263">
        <f>SUM(G24:G36)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20</v>
      </c>
      <c r="F44" s="1092">
        <v>0</v>
      </c>
      <c r="G44" s="1093">
        <f t="shared" ref="G44:G60"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E24*1.5*1.2*0.15</f>
        <v>67.77</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E24*1.5*1.2*0.85</f>
        <v>384.03</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E24*1.5</f>
        <v>376.5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E24</f>
        <v>251</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E24*1.2*1</f>
        <v>301.2</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E24*1.5*0.4</f>
        <v>150.6</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15</v>
      </c>
      <c r="F51" s="1092">
        <v>0</v>
      </c>
      <c r="G51" s="1083">
        <f t="shared" si="2"/>
        <v>0</v>
      </c>
      <c r="I51" s="1"/>
      <c r="J51" s="1"/>
      <c r="K51" s="1"/>
      <c r="L51" s="1"/>
      <c r="M51" s="1"/>
      <c r="N51" s="1"/>
      <c r="O51" s="1"/>
      <c r="P51" s="1"/>
      <c r="Q51" s="1"/>
      <c r="R51" s="1"/>
      <c r="S51" s="1"/>
      <c r="T51" s="1"/>
      <c r="U51" s="1"/>
      <c r="V51" s="1"/>
      <c r="W51" s="1"/>
      <c r="X51" s="1"/>
      <c r="Y51" s="1"/>
    </row>
    <row r="52" spans="1:25" s="8" customFormat="1" ht="24">
      <c r="A52" s="1"/>
      <c r="B52" s="167">
        <v>9</v>
      </c>
      <c r="C52" s="1095" t="s">
        <v>1391</v>
      </c>
      <c r="D52" s="140" t="s">
        <v>78</v>
      </c>
      <c r="E52" s="1094">
        <f>E24*1.2</f>
        <v>301.2</v>
      </c>
      <c r="F52" s="1092">
        <v>0</v>
      </c>
      <c r="G52" s="1083">
        <f t="shared" si="2"/>
        <v>0</v>
      </c>
      <c r="I52" s="1"/>
      <c r="J52" s="1"/>
      <c r="K52" s="1"/>
      <c r="L52" s="1"/>
      <c r="M52" s="1"/>
      <c r="N52" s="1"/>
      <c r="O52" s="1"/>
      <c r="P52" s="1"/>
      <c r="Q52" s="1"/>
      <c r="R52" s="1"/>
      <c r="S52" s="1"/>
      <c r="T52" s="1"/>
      <c r="U52" s="1"/>
      <c r="V52" s="1"/>
      <c r="W52" s="1"/>
      <c r="X52" s="1"/>
      <c r="Y52" s="1"/>
    </row>
    <row r="53" spans="1:25" s="8" customFormat="1" ht="63.75" customHeight="1">
      <c r="A53" s="1"/>
      <c r="B53" s="717">
        <v>10</v>
      </c>
      <c r="C53" s="397" t="s">
        <v>254</v>
      </c>
      <c r="D53" s="145" t="s">
        <v>78</v>
      </c>
      <c r="E53" s="1094">
        <v>10</v>
      </c>
      <c r="F53" s="1092">
        <v>0</v>
      </c>
      <c r="G53" s="1083">
        <f t="shared" si="2"/>
        <v>0</v>
      </c>
      <c r="I53" s="1"/>
      <c r="J53" s="1"/>
      <c r="K53" s="1"/>
      <c r="L53" s="1"/>
      <c r="M53" s="1"/>
      <c r="N53" s="1"/>
      <c r="O53" s="1"/>
      <c r="P53" s="1"/>
      <c r="Q53" s="1"/>
      <c r="R53" s="1"/>
      <c r="S53" s="1"/>
      <c r="T53" s="1"/>
      <c r="U53" s="1"/>
      <c r="V53" s="1"/>
      <c r="W53" s="1"/>
      <c r="X53" s="1"/>
      <c r="Y53" s="1"/>
    </row>
    <row r="54" spans="1:25" s="8" customFormat="1" ht="14.25" customHeight="1">
      <c r="A54" s="1"/>
      <c r="B54" s="167">
        <v>11</v>
      </c>
      <c r="C54" s="139" t="s">
        <v>264</v>
      </c>
      <c r="D54" s="145" t="s">
        <v>74</v>
      </c>
      <c r="E54" s="128">
        <f>E45+E46+(E52*0.06)-E49</f>
        <v>168.67199999999997</v>
      </c>
      <c r="F54" s="1092">
        <v>0</v>
      </c>
      <c r="G54" s="142">
        <f t="shared" si="2"/>
        <v>0</v>
      </c>
      <c r="I54" s="1"/>
      <c r="J54" s="1"/>
      <c r="K54" s="1"/>
      <c r="L54" s="1"/>
      <c r="M54" s="1"/>
      <c r="N54" s="1"/>
      <c r="O54" s="1"/>
      <c r="P54" s="1"/>
      <c r="Q54" s="1"/>
      <c r="R54" s="1"/>
      <c r="S54" s="1"/>
      <c r="T54" s="1"/>
      <c r="U54" s="1"/>
      <c r="V54" s="1"/>
      <c r="W54" s="1"/>
      <c r="X54" s="1"/>
      <c r="Y54" s="1"/>
    </row>
    <row r="55" spans="1:25" s="8" customFormat="1">
      <c r="A55" s="1"/>
      <c r="B55" s="717">
        <v>12</v>
      </c>
      <c r="C55" s="139" t="s">
        <v>265</v>
      </c>
      <c r="D55" s="145" t="s">
        <v>74</v>
      </c>
      <c r="E55" s="128">
        <f>E54</f>
        <v>168.67199999999997</v>
      </c>
      <c r="F55" s="1092">
        <v>0</v>
      </c>
      <c r="G55" s="142">
        <f t="shared" si="2"/>
        <v>0</v>
      </c>
      <c r="I55" s="1"/>
      <c r="J55" s="1"/>
      <c r="K55" s="1"/>
      <c r="L55" s="1"/>
      <c r="M55" s="1"/>
      <c r="N55" s="1"/>
      <c r="O55" s="1"/>
      <c r="P55" s="1"/>
      <c r="Q55" s="1"/>
      <c r="R55" s="1"/>
      <c r="S55" s="1"/>
      <c r="T55" s="1"/>
      <c r="U55" s="1"/>
      <c r="V55" s="1"/>
      <c r="W55" s="1"/>
      <c r="X55" s="1"/>
      <c r="Y55" s="1"/>
    </row>
    <row r="56" spans="1:25" s="8" customFormat="1" ht="27.75" customHeight="1">
      <c r="A56" s="1"/>
      <c r="B56" s="167">
        <v>13</v>
      </c>
      <c r="C56" s="126" t="s">
        <v>95</v>
      </c>
      <c r="D56" s="140" t="s">
        <v>74</v>
      </c>
      <c r="E56" s="1094">
        <f>E24*0.75*0.1</f>
        <v>18.824999999999999</v>
      </c>
      <c r="F56" s="1092">
        <v>0</v>
      </c>
      <c r="G56" s="1083">
        <f t="shared" si="2"/>
        <v>0</v>
      </c>
      <c r="I56" s="1"/>
      <c r="J56" s="1"/>
      <c r="K56" s="1"/>
      <c r="L56" s="1"/>
      <c r="M56" s="1"/>
      <c r="N56" s="1"/>
      <c r="O56" s="1"/>
      <c r="P56" s="1"/>
      <c r="Q56" s="1"/>
      <c r="R56" s="1"/>
      <c r="S56" s="1"/>
      <c r="T56" s="1"/>
      <c r="U56" s="1"/>
      <c r="V56" s="1"/>
      <c r="W56" s="1"/>
      <c r="X56" s="1"/>
      <c r="Y56" s="1"/>
    </row>
    <row r="57" spans="1:25" s="8" customFormat="1" ht="48">
      <c r="A57" s="1"/>
      <c r="B57" s="717">
        <v>14</v>
      </c>
      <c r="C57" s="1096" t="s">
        <v>1393</v>
      </c>
      <c r="D57" s="182" t="s">
        <v>74</v>
      </c>
      <c r="E57" s="1097">
        <v>2</v>
      </c>
      <c r="F57" s="1092">
        <v>0</v>
      </c>
      <c r="G57" s="1083">
        <f t="shared" si="2"/>
        <v>0</v>
      </c>
      <c r="I57" s="1"/>
      <c r="J57" s="1"/>
      <c r="K57" s="1"/>
      <c r="L57" s="1"/>
      <c r="M57" s="1"/>
      <c r="N57" s="1"/>
      <c r="O57" s="1"/>
      <c r="P57" s="1"/>
      <c r="Q57" s="1"/>
      <c r="R57" s="1"/>
      <c r="S57" s="1"/>
      <c r="T57" s="1"/>
      <c r="U57" s="1"/>
      <c r="V57" s="1"/>
      <c r="W57" s="1"/>
      <c r="X57" s="1"/>
      <c r="Y57" s="1"/>
    </row>
    <row r="58" spans="1:25" s="8" customFormat="1" ht="39" customHeight="1">
      <c r="A58" s="1"/>
      <c r="B58" s="167">
        <v>15</v>
      </c>
      <c r="C58" s="1096" t="s">
        <v>270</v>
      </c>
      <c r="D58" s="182" t="s">
        <v>66</v>
      </c>
      <c r="E58" s="1097">
        <v>18</v>
      </c>
      <c r="F58" s="1092">
        <v>0</v>
      </c>
      <c r="G58" s="1083">
        <f t="shared" si="2"/>
        <v>0</v>
      </c>
      <c r="I58" s="1"/>
      <c r="J58" s="1"/>
      <c r="K58" s="1"/>
      <c r="L58" s="1"/>
      <c r="M58" s="1"/>
      <c r="N58" s="1"/>
      <c r="O58" s="1"/>
      <c r="P58" s="1"/>
      <c r="Q58" s="1"/>
      <c r="R58" s="1"/>
      <c r="S58" s="1"/>
      <c r="T58" s="1"/>
      <c r="U58" s="1"/>
      <c r="V58" s="1"/>
      <c r="W58" s="1"/>
      <c r="X58" s="1"/>
      <c r="Y58" s="1"/>
    </row>
    <row r="59" spans="1:25" s="8" customFormat="1" ht="36">
      <c r="A59" s="1"/>
      <c r="B59" s="717">
        <v>16</v>
      </c>
      <c r="C59" s="1096" t="s">
        <v>99</v>
      </c>
      <c r="D59" s="182" t="s">
        <v>74</v>
      </c>
      <c r="E59" s="1097">
        <v>1</v>
      </c>
      <c r="F59" s="1092">
        <v>0</v>
      </c>
      <c r="G59" s="1083">
        <f t="shared" si="2"/>
        <v>0</v>
      </c>
      <c r="I59" s="1"/>
      <c r="J59" s="1"/>
      <c r="K59" s="1"/>
      <c r="L59" s="1"/>
      <c r="M59" s="1"/>
      <c r="N59" s="1"/>
      <c r="O59" s="1"/>
      <c r="P59" s="1"/>
      <c r="Q59" s="1"/>
      <c r="R59" s="1"/>
      <c r="S59" s="1"/>
      <c r="T59" s="1"/>
      <c r="U59" s="1"/>
      <c r="V59" s="1"/>
      <c r="W59" s="1"/>
      <c r="X59" s="1"/>
      <c r="Y59" s="1"/>
    </row>
    <row r="60" spans="1:25" s="8" customFormat="1" ht="27.75" customHeight="1">
      <c r="A60" s="1"/>
      <c r="B60" s="167">
        <v>17</v>
      </c>
      <c r="C60" s="1096" t="s">
        <v>100</v>
      </c>
      <c r="D60" s="182" t="s">
        <v>65</v>
      </c>
      <c r="E60" s="1097">
        <v>15</v>
      </c>
      <c r="F60" s="1092">
        <v>0</v>
      </c>
      <c r="G60" s="1083">
        <f t="shared" si="2"/>
        <v>0</v>
      </c>
      <c r="I60" s="1"/>
      <c r="J60" s="1"/>
      <c r="K60" s="1"/>
      <c r="L60" s="1"/>
      <c r="M60" s="1"/>
      <c r="N60" s="1"/>
      <c r="O60" s="1"/>
      <c r="P60" s="1"/>
      <c r="Q60" s="1"/>
      <c r="R60" s="1"/>
      <c r="S60" s="1"/>
      <c r="T60" s="1"/>
      <c r="U60" s="1"/>
      <c r="V60" s="1"/>
      <c r="W60" s="1"/>
      <c r="X60" s="1"/>
      <c r="Y60" s="1"/>
    </row>
    <row r="61" spans="1:25" s="8" customFormat="1">
      <c r="A61" s="1"/>
      <c r="B61" s="167"/>
      <c r="C61" s="1098"/>
      <c r="D61" s="1099"/>
      <c r="E61" s="1100"/>
      <c r="F61" s="1101"/>
      <c r="G61" s="1102"/>
      <c r="I61" s="1"/>
      <c r="J61" s="1"/>
      <c r="K61" s="1"/>
      <c r="L61" s="1"/>
      <c r="M61" s="1"/>
      <c r="N61" s="1"/>
      <c r="O61" s="1"/>
      <c r="P61" s="1"/>
      <c r="Q61" s="1"/>
      <c r="R61" s="1"/>
      <c r="S61" s="1"/>
      <c r="T61" s="1"/>
      <c r="U61" s="1"/>
      <c r="V61" s="1"/>
      <c r="W61" s="1"/>
      <c r="X61" s="1"/>
      <c r="Y61" s="1"/>
    </row>
    <row r="62" spans="1:25" s="8" customFormat="1">
      <c r="A62" s="1"/>
      <c r="B62" s="151" t="s">
        <v>45</v>
      </c>
      <c r="C62" s="1086" t="s">
        <v>101</v>
      </c>
      <c r="D62" s="1103"/>
      <c r="E62" s="1088"/>
      <c r="F62" s="1089"/>
      <c r="G62" s="263">
        <f>SUM(G44:G60)</f>
        <v>0</v>
      </c>
      <c r="I62" s="1"/>
      <c r="J62" s="1"/>
      <c r="K62" s="1"/>
      <c r="L62" s="1"/>
      <c r="M62" s="1"/>
      <c r="N62" s="1"/>
      <c r="O62" s="1"/>
      <c r="P62" s="1"/>
      <c r="Q62" s="1"/>
      <c r="R62" s="1"/>
      <c r="S62" s="1"/>
      <c r="T62" s="1"/>
      <c r="U62" s="1"/>
      <c r="V62" s="1"/>
      <c r="W62" s="1"/>
      <c r="X62" s="1"/>
      <c r="Y62" s="1"/>
    </row>
    <row r="63" spans="1:25" s="8" customFormat="1">
      <c r="A63" s="1"/>
      <c r="B63" s="67"/>
      <c r="C63" s="68"/>
      <c r="D63" s="1188"/>
      <c r="E63" s="1104"/>
      <c r="F63" s="1105"/>
      <c r="G63" s="1106"/>
      <c r="I63" s="1"/>
      <c r="J63" s="1"/>
      <c r="K63" s="1"/>
      <c r="L63" s="1"/>
      <c r="M63" s="1"/>
      <c r="N63" s="1"/>
      <c r="O63" s="1"/>
      <c r="P63" s="1"/>
      <c r="Q63" s="1"/>
      <c r="R63" s="1"/>
      <c r="S63" s="1"/>
      <c r="T63" s="1"/>
      <c r="U63" s="1"/>
      <c r="V63" s="1"/>
      <c r="W63" s="1"/>
      <c r="X63" s="1"/>
      <c r="Y63" s="1"/>
    </row>
    <row r="64" spans="1:25" s="8" customFormat="1" ht="24">
      <c r="A64" s="1"/>
      <c r="B64" s="119" t="s">
        <v>50</v>
      </c>
      <c r="C64" s="120" t="s">
        <v>51</v>
      </c>
      <c r="D64" s="120" t="s">
        <v>52</v>
      </c>
      <c r="E64" s="122" t="s">
        <v>53</v>
      </c>
      <c r="F64" s="123" t="s">
        <v>54</v>
      </c>
      <c r="G64" s="124" t="s">
        <v>55</v>
      </c>
      <c r="I64" s="1"/>
      <c r="J64" s="1"/>
      <c r="K64" s="1"/>
      <c r="L64" s="1"/>
      <c r="M64" s="1"/>
      <c r="N64" s="1"/>
      <c r="O64" s="1"/>
      <c r="P64" s="1"/>
      <c r="Q64" s="1"/>
      <c r="R64" s="1"/>
      <c r="S64" s="1"/>
      <c r="T64" s="1"/>
      <c r="U64" s="1"/>
      <c r="V64" s="1"/>
      <c r="W64" s="1"/>
      <c r="X64" s="1"/>
      <c r="Y64" s="1"/>
    </row>
    <row r="65" spans="1:25" s="8" customFormat="1">
      <c r="A65" s="1"/>
      <c r="B65" s="125"/>
      <c r="C65" s="126"/>
      <c r="D65" s="140"/>
      <c r="E65" s="719"/>
      <c r="F65" s="1107"/>
      <c r="G65" s="731"/>
      <c r="I65" s="1"/>
      <c r="J65" s="1"/>
      <c r="K65" s="1"/>
      <c r="L65" s="1"/>
      <c r="M65" s="1"/>
      <c r="N65" s="1"/>
      <c r="O65" s="1"/>
      <c r="P65" s="1"/>
      <c r="Q65" s="1"/>
      <c r="R65" s="1"/>
      <c r="S65" s="1"/>
      <c r="T65" s="1"/>
      <c r="U65" s="1"/>
      <c r="V65" s="1"/>
      <c r="W65" s="1"/>
      <c r="X65" s="1"/>
      <c r="Y65" s="1"/>
    </row>
    <row r="66" spans="1:25" s="8" customFormat="1" ht="20.25">
      <c r="A66" s="1"/>
      <c r="B66" s="186" t="s">
        <v>47</v>
      </c>
      <c r="C66" s="187" t="s">
        <v>48</v>
      </c>
      <c r="D66" s="165"/>
      <c r="E66" s="134"/>
      <c r="F66" s="135"/>
      <c r="G66" s="136"/>
      <c r="I66" s="1"/>
      <c r="J66" s="1"/>
      <c r="K66" s="1"/>
      <c r="L66" s="1"/>
      <c r="M66" s="1"/>
      <c r="N66" s="1"/>
      <c r="O66" s="1"/>
      <c r="P66" s="1"/>
      <c r="Q66" s="1"/>
      <c r="R66" s="1"/>
      <c r="S66" s="1"/>
      <c r="T66" s="1"/>
      <c r="U66" s="1"/>
      <c r="V66" s="1"/>
      <c r="W66" s="1"/>
      <c r="X66" s="1"/>
      <c r="Y66" s="1"/>
    </row>
    <row r="67" spans="1:25" s="8" customFormat="1">
      <c r="A67" s="1"/>
      <c r="B67" s="1108" t="s">
        <v>38</v>
      </c>
      <c r="C67" s="1109"/>
      <c r="D67" s="2235"/>
      <c r="E67" s="1109"/>
      <c r="F67" s="1109"/>
      <c r="G67" s="1110"/>
      <c r="I67" s="1"/>
      <c r="J67" s="1"/>
      <c r="K67" s="1"/>
      <c r="L67" s="1"/>
      <c r="M67" s="1"/>
      <c r="N67" s="1"/>
      <c r="O67" s="1"/>
      <c r="P67" s="1"/>
      <c r="Q67" s="1"/>
      <c r="R67" s="1"/>
      <c r="S67" s="1"/>
      <c r="T67" s="1"/>
      <c r="U67" s="1"/>
      <c r="V67" s="1"/>
      <c r="W67" s="1"/>
      <c r="X67" s="1"/>
      <c r="Y67" s="1"/>
    </row>
    <row r="68" spans="1:25" s="8" customFormat="1">
      <c r="A68" s="1"/>
      <c r="B68" s="1111" t="s">
        <v>39</v>
      </c>
      <c r="C68" s="1112"/>
      <c r="D68" s="2236"/>
      <c r="E68" s="1112"/>
      <c r="F68" s="1112"/>
      <c r="G68" s="1113"/>
      <c r="I68" s="1"/>
      <c r="J68" s="1"/>
      <c r="K68" s="1"/>
      <c r="L68" s="1"/>
      <c r="M68" s="1"/>
      <c r="N68" s="1"/>
      <c r="O68" s="1"/>
      <c r="P68" s="1"/>
      <c r="Q68" s="1"/>
      <c r="R68" s="1"/>
      <c r="S68" s="1"/>
      <c r="T68" s="1"/>
      <c r="U68" s="1"/>
      <c r="V68" s="1"/>
      <c r="W68" s="1"/>
      <c r="X68" s="1"/>
      <c r="Y68" s="1"/>
    </row>
    <row r="69" spans="1:25" s="8" customFormat="1">
      <c r="A69" s="1"/>
      <c r="B69" s="1108" t="s">
        <v>4</v>
      </c>
      <c r="C69" s="1109"/>
      <c r="D69" s="2237"/>
      <c r="E69" s="1109"/>
      <c r="F69" s="1109"/>
      <c r="G69" s="1110"/>
      <c r="I69" s="1"/>
      <c r="J69" s="1"/>
      <c r="K69" s="1"/>
      <c r="L69" s="1"/>
      <c r="M69" s="1"/>
      <c r="N69" s="1"/>
      <c r="O69" s="1"/>
      <c r="P69" s="1"/>
      <c r="Q69" s="1"/>
      <c r="R69" s="1"/>
      <c r="S69" s="1"/>
      <c r="T69" s="1"/>
      <c r="U69" s="1"/>
      <c r="V69" s="1"/>
      <c r="W69" s="1"/>
      <c r="X69" s="1"/>
      <c r="Y69" s="1"/>
    </row>
    <row r="70" spans="1:25" s="8" customFormat="1">
      <c r="A70" s="1"/>
      <c r="B70" s="1111" t="s">
        <v>5</v>
      </c>
      <c r="C70" s="1112"/>
      <c r="D70" s="2236"/>
      <c r="E70" s="1112"/>
      <c r="F70" s="1112"/>
      <c r="G70" s="1113"/>
      <c r="I70" s="1"/>
      <c r="J70" s="1"/>
      <c r="K70" s="1"/>
      <c r="L70" s="1"/>
      <c r="M70" s="1"/>
      <c r="N70" s="1"/>
      <c r="O70" s="1"/>
      <c r="P70" s="1"/>
      <c r="Q70" s="1"/>
      <c r="R70" s="1"/>
      <c r="S70" s="1"/>
      <c r="T70" s="1"/>
      <c r="U70" s="1"/>
      <c r="V70" s="1"/>
      <c r="W70" s="1"/>
      <c r="X70" s="1"/>
      <c r="Y70" s="1"/>
    </row>
    <row r="71" spans="1:25" s="8" customFormat="1">
      <c r="A71" s="1"/>
      <c r="B71" s="2399" t="s">
        <v>271</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104</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2399" t="s">
        <v>105</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1115"/>
      <c r="C74" s="1116"/>
      <c r="D74" s="2238"/>
      <c r="E74" s="1116"/>
      <c r="F74" s="1116"/>
      <c r="G74" s="1117"/>
      <c r="I74" s="1"/>
      <c r="J74" s="1"/>
      <c r="K74" s="1"/>
      <c r="L74" s="1"/>
      <c r="M74" s="1"/>
      <c r="N74" s="1"/>
      <c r="O74" s="1"/>
      <c r="P74" s="1"/>
      <c r="Q74" s="1"/>
      <c r="R74" s="1"/>
      <c r="S74" s="1"/>
      <c r="T74" s="1"/>
      <c r="U74" s="1"/>
      <c r="V74" s="1"/>
      <c r="W74" s="1"/>
      <c r="X74" s="1"/>
      <c r="Y74" s="1"/>
    </row>
    <row r="75" spans="1:25" ht="24">
      <c r="B75" s="188">
        <v>1</v>
      </c>
      <c r="C75" s="1156" t="s">
        <v>106</v>
      </c>
      <c r="D75" s="190"/>
      <c r="E75" s="719"/>
      <c r="F75" s="1107"/>
      <c r="G75" s="731"/>
    </row>
    <row r="76" spans="1:25">
      <c r="B76" s="191"/>
      <c r="C76" s="1157" t="s">
        <v>107</v>
      </c>
      <c r="D76" s="190" t="s">
        <v>57</v>
      </c>
      <c r="E76" s="719">
        <f>70*0.9</f>
        <v>63</v>
      </c>
      <c r="F76" s="1092">
        <v>0</v>
      </c>
      <c r="G76" s="1093">
        <f>+E76*F76</f>
        <v>0</v>
      </c>
    </row>
    <row r="77" spans="1:25" ht="24">
      <c r="B77" s="191"/>
      <c r="C77" s="1157" t="s">
        <v>884</v>
      </c>
      <c r="D77" s="190" t="s">
        <v>57</v>
      </c>
      <c r="E77" s="719">
        <f>70*0.1</f>
        <v>7</v>
      </c>
      <c r="F77" s="1092">
        <v>0</v>
      </c>
      <c r="G77" s="1093">
        <f t="shared" ref="G77:G89" si="3">+E77*F77</f>
        <v>0</v>
      </c>
    </row>
    <row r="78" spans="1:25">
      <c r="B78" s="191"/>
      <c r="C78" s="1157" t="s">
        <v>226</v>
      </c>
      <c r="D78" s="190" t="s">
        <v>57</v>
      </c>
      <c r="E78" s="719">
        <f>181*0.9</f>
        <v>162.9</v>
      </c>
      <c r="F78" s="1092">
        <v>0</v>
      </c>
      <c r="G78" s="1093">
        <f t="shared" si="3"/>
        <v>0</v>
      </c>
    </row>
    <row r="79" spans="1:25" ht="24">
      <c r="B79" s="191"/>
      <c r="C79" s="1157" t="s">
        <v>227</v>
      </c>
      <c r="D79" s="190" t="s">
        <v>57</v>
      </c>
      <c r="E79" s="719">
        <f>181*0.1</f>
        <v>18.100000000000001</v>
      </c>
      <c r="F79" s="1092">
        <v>0</v>
      </c>
      <c r="G79" s="1093">
        <f t="shared" si="3"/>
        <v>0</v>
      </c>
    </row>
    <row r="80" spans="1:25">
      <c r="B80" s="191"/>
      <c r="C80" s="1157" t="s">
        <v>109</v>
      </c>
      <c r="D80" s="190" t="s">
        <v>57</v>
      </c>
      <c r="E80" s="719">
        <f>66*0.9</f>
        <v>59.4</v>
      </c>
      <c r="F80" s="1092">
        <v>0</v>
      </c>
      <c r="G80" s="1093">
        <f t="shared" si="3"/>
        <v>0</v>
      </c>
    </row>
    <row r="81" spans="2:7" ht="24">
      <c r="B81" s="191"/>
      <c r="C81" s="1157" t="s">
        <v>110</v>
      </c>
      <c r="D81" s="190" t="s">
        <v>57</v>
      </c>
      <c r="E81" s="719">
        <f>66*0.1</f>
        <v>6.6000000000000005</v>
      </c>
      <c r="F81" s="1092">
        <v>0</v>
      </c>
      <c r="G81" s="1093">
        <f t="shared" si="3"/>
        <v>0</v>
      </c>
    </row>
    <row r="82" spans="2:7" ht="36">
      <c r="B82" s="2404" t="s">
        <v>111</v>
      </c>
      <c r="C82" s="193" t="s">
        <v>112</v>
      </c>
      <c r="D82" s="194"/>
      <c r="E82" s="719"/>
      <c r="F82" s="1092"/>
      <c r="G82" s="1093"/>
    </row>
    <row r="83" spans="2:7">
      <c r="B83" s="2405"/>
      <c r="C83" s="195" t="s">
        <v>113</v>
      </c>
      <c r="D83" s="194" t="s">
        <v>57</v>
      </c>
      <c r="E83" s="719">
        <v>10</v>
      </c>
      <c r="F83" s="1092">
        <v>0</v>
      </c>
      <c r="G83" s="1093">
        <f t="shared" si="3"/>
        <v>0</v>
      </c>
    </row>
    <row r="84" spans="2:7">
      <c r="B84" s="2405"/>
      <c r="C84" s="195" t="s">
        <v>274</v>
      </c>
      <c r="D84" s="194" t="s">
        <v>57</v>
      </c>
      <c r="E84" s="719">
        <v>28</v>
      </c>
      <c r="F84" s="1092">
        <v>0</v>
      </c>
      <c r="G84" s="1093">
        <f t="shared" si="3"/>
        <v>0</v>
      </c>
    </row>
    <row r="85" spans="2:7">
      <c r="B85" s="2413"/>
      <c r="C85" s="195" t="s">
        <v>275</v>
      </c>
      <c r="D85" s="194" t="s">
        <v>57</v>
      </c>
      <c r="E85" s="719">
        <v>10</v>
      </c>
      <c r="F85" s="1092">
        <v>0</v>
      </c>
      <c r="G85" s="1093">
        <f t="shared" si="3"/>
        <v>0</v>
      </c>
    </row>
    <row r="86" spans="2:7" ht="36">
      <c r="B86" s="196">
        <v>2</v>
      </c>
      <c r="C86" s="197" t="s">
        <v>114</v>
      </c>
      <c r="D86" s="145" t="s">
        <v>57</v>
      </c>
      <c r="E86" s="732">
        <f>SUM(E76:E81)</f>
        <v>317</v>
      </c>
      <c r="F86" s="1092">
        <v>0</v>
      </c>
      <c r="G86" s="1093">
        <f t="shared" si="3"/>
        <v>0</v>
      </c>
    </row>
    <row r="87" spans="2:7" ht="36">
      <c r="B87" s="199" t="s">
        <v>115</v>
      </c>
      <c r="C87" s="197" t="s">
        <v>116</v>
      </c>
      <c r="D87" s="145" t="s">
        <v>57</v>
      </c>
      <c r="E87" s="732">
        <f>E86</f>
        <v>317</v>
      </c>
      <c r="F87" s="1092">
        <v>0</v>
      </c>
      <c r="G87" s="1093">
        <f t="shared" si="3"/>
        <v>0</v>
      </c>
    </row>
    <row r="88" spans="2:7" ht="24">
      <c r="B88" s="199" t="s">
        <v>117</v>
      </c>
      <c r="C88" s="197" t="s">
        <v>118</v>
      </c>
      <c r="D88" s="145" t="s">
        <v>57</v>
      </c>
      <c r="E88" s="732">
        <f>E86</f>
        <v>317</v>
      </c>
      <c r="F88" s="1092">
        <v>0</v>
      </c>
      <c r="G88" s="1093">
        <f t="shared" si="3"/>
        <v>0</v>
      </c>
    </row>
    <row r="89" spans="2:7" ht="36">
      <c r="B89" s="199" t="s">
        <v>119</v>
      </c>
      <c r="C89" s="197" t="s">
        <v>120</v>
      </c>
      <c r="D89" s="145" t="s">
        <v>57</v>
      </c>
      <c r="E89" s="732">
        <f>E86</f>
        <v>317</v>
      </c>
      <c r="F89" s="1092">
        <v>0</v>
      </c>
      <c r="G89" s="1093">
        <f t="shared" si="3"/>
        <v>0</v>
      </c>
    </row>
    <row r="90" spans="2:7" ht="24">
      <c r="B90" s="188">
        <v>3</v>
      </c>
      <c r="C90" s="200" t="s">
        <v>121</v>
      </c>
      <c r="D90" s="140"/>
      <c r="E90" s="719"/>
      <c r="F90" s="1107">
        <v>0</v>
      </c>
      <c r="G90" s="731"/>
    </row>
    <row r="91" spans="2:7">
      <c r="B91" s="201" t="s">
        <v>122</v>
      </c>
      <c r="C91" s="212" t="s">
        <v>127</v>
      </c>
      <c r="D91" s="1228"/>
      <c r="E91" s="214"/>
      <c r="F91" s="215">
        <v>0</v>
      </c>
      <c r="G91" s="216"/>
    </row>
    <row r="92" spans="2:7">
      <c r="B92" s="218"/>
      <c r="C92" s="212" t="s">
        <v>128</v>
      </c>
      <c r="D92" s="2239"/>
      <c r="E92" s="736"/>
      <c r="F92" s="1601"/>
      <c r="G92" s="1121"/>
    </row>
    <row r="93" spans="2:7">
      <c r="B93" s="218"/>
      <c r="C93" s="219" t="s">
        <v>129</v>
      </c>
      <c r="D93" s="1228" t="s">
        <v>66</v>
      </c>
      <c r="E93" s="214">
        <v>1</v>
      </c>
      <c r="F93" s="1599">
        <v>0</v>
      </c>
      <c r="G93" s="221">
        <f t="shared" ref="G93:G100" si="4">+E93*F93</f>
        <v>0</v>
      </c>
    </row>
    <row r="94" spans="2:7" ht="36">
      <c r="B94" s="218"/>
      <c r="C94" s="222" t="s">
        <v>130</v>
      </c>
      <c r="D94" s="1228" t="s">
        <v>66</v>
      </c>
      <c r="E94" s="214">
        <v>1</v>
      </c>
      <c r="F94" s="1599">
        <v>0</v>
      </c>
      <c r="G94" s="221">
        <f t="shared" si="4"/>
        <v>0</v>
      </c>
    </row>
    <row r="95" spans="2:7">
      <c r="B95" s="218"/>
      <c r="C95" s="222" t="s">
        <v>183</v>
      </c>
      <c r="D95" s="1228" t="s">
        <v>66</v>
      </c>
      <c r="E95" s="214">
        <v>1</v>
      </c>
      <c r="F95" s="1599">
        <v>0</v>
      </c>
      <c r="G95" s="221">
        <f t="shared" si="4"/>
        <v>0</v>
      </c>
    </row>
    <row r="96" spans="2:7">
      <c r="B96" s="218"/>
      <c r="C96" s="222" t="s">
        <v>131</v>
      </c>
      <c r="D96" s="1228" t="s">
        <v>66</v>
      </c>
      <c r="E96" s="214">
        <v>1</v>
      </c>
      <c r="F96" s="1599">
        <v>0</v>
      </c>
      <c r="G96" s="221">
        <f t="shared" si="4"/>
        <v>0</v>
      </c>
    </row>
    <row r="97" spans="2:7">
      <c r="B97" s="218"/>
      <c r="C97" s="222" t="s">
        <v>132</v>
      </c>
      <c r="D97" s="1228" t="s">
        <v>66</v>
      </c>
      <c r="E97" s="214">
        <v>2</v>
      </c>
      <c r="F97" s="1599">
        <v>0</v>
      </c>
      <c r="G97" s="221">
        <f t="shared" si="4"/>
        <v>0</v>
      </c>
    </row>
    <row r="98" spans="2:7">
      <c r="B98" s="218"/>
      <c r="C98" s="222" t="s">
        <v>133</v>
      </c>
      <c r="D98" s="1228" t="s">
        <v>66</v>
      </c>
      <c r="E98" s="214">
        <v>2</v>
      </c>
      <c r="F98" s="1599">
        <v>0</v>
      </c>
      <c r="G98" s="221">
        <f t="shared" si="4"/>
        <v>0</v>
      </c>
    </row>
    <row r="99" spans="2:7">
      <c r="B99" s="218"/>
      <c r="C99" s="222" t="s">
        <v>134</v>
      </c>
      <c r="D99" s="1228" t="s">
        <v>66</v>
      </c>
      <c r="E99" s="214">
        <v>1</v>
      </c>
      <c r="F99" s="1599">
        <v>0</v>
      </c>
      <c r="G99" s="221">
        <f t="shared" si="4"/>
        <v>0</v>
      </c>
    </row>
    <row r="100" spans="2:7">
      <c r="B100" s="218"/>
      <c r="C100" s="222" t="s">
        <v>135</v>
      </c>
      <c r="D100" s="1228" t="s">
        <v>66</v>
      </c>
      <c r="E100" s="214">
        <v>1</v>
      </c>
      <c r="F100" s="1599">
        <v>0</v>
      </c>
      <c r="G100" s="221">
        <f t="shared" si="4"/>
        <v>0</v>
      </c>
    </row>
    <row r="101" spans="2:7">
      <c r="B101" s="201" t="s">
        <v>126</v>
      </c>
      <c r="C101" s="238" t="s">
        <v>320</v>
      </c>
      <c r="D101" s="260"/>
      <c r="E101" s="240"/>
      <c r="F101" s="241"/>
      <c r="G101" s="242"/>
    </row>
    <row r="102" spans="2:7">
      <c r="B102" s="218"/>
      <c r="C102" s="238" t="s">
        <v>326</v>
      </c>
      <c r="D102" s="185"/>
      <c r="E102" s="741"/>
      <c r="F102" s="1611"/>
      <c r="G102" s="263"/>
    </row>
    <row r="103" spans="2:7" ht="31.5" customHeight="1">
      <c r="B103" s="218"/>
      <c r="C103" s="1123" t="s">
        <v>322</v>
      </c>
      <c r="D103" s="260" t="s">
        <v>66</v>
      </c>
      <c r="E103" s="240">
        <v>1</v>
      </c>
      <c r="F103" s="1609">
        <v>0</v>
      </c>
      <c r="G103" s="245">
        <f t="shared" ref="G103:G105" si="5">+E103*F103</f>
        <v>0</v>
      </c>
    </row>
    <row r="104" spans="2:7">
      <c r="B104" s="218"/>
      <c r="C104" s="1160" t="s">
        <v>325</v>
      </c>
      <c r="D104" s="260" t="s">
        <v>66</v>
      </c>
      <c r="E104" s="240">
        <v>1</v>
      </c>
      <c r="F104" s="1609">
        <v>0</v>
      </c>
      <c r="G104" s="245">
        <f t="shared" si="5"/>
        <v>0</v>
      </c>
    </row>
    <row r="105" spans="2:7">
      <c r="B105" s="218"/>
      <c r="C105" s="1161" t="s">
        <v>135</v>
      </c>
      <c r="D105" s="260" t="s">
        <v>66</v>
      </c>
      <c r="E105" s="240">
        <v>1</v>
      </c>
      <c r="F105" s="1609">
        <v>0</v>
      </c>
      <c r="G105" s="245">
        <f t="shared" si="5"/>
        <v>0</v>
      </c>
    </row>
    <row r="106" spans="2:7">
      <c r="B106" s="201" t="s">
        <v>136</v>
      </c>
      <c r="C106" s="223" t="s">
        <v>137</v>
      </c>
      <c r="D106" s="1232"/>
      <c r="E106" s="225"/>
      <c r="F106" s="226"/>
      <c r="G106" s="227"/>
    </row>
    <row r="107" spans="2:7">
      <c r="B107" s="218"/>
      <c r="C107" s="223" t="s">
        <v>138</v>
      </c>
      <c r="D107" s="2240"/>
      <c r="E107" s="738"/>
      <c r="F107" s="1605"/>
      <c r="G107" s="1125"/>
    </row>
    <row r="108" spans="2:7">
      <c r="B108" s="218"/>
      <c r="C108" s="228" t="s">
        <v>129</v>
      </c>
      <c r="D108" s="1232" t="s">
        <v>66</v>
      </c>
      <c r="E108" s="225">
        <v>1</v>
      </c>
      <c r="F108" s="1603">
        <v>0</v>
      </c>
      <c r="G108" s="230">
        <f t="shared" ref="G108:G123" si="6">+E108*F108</f>
        <v>0</v>
      </c>
    </row>
    <row r="109" spans="2:7">
      <c r="B109" s="218"/>
      <c r="C109" s="228" t="s">
        <v>139</v>
      </c>
      <c r="D109" s="1232" t="s">
        <v>66</v>
      </c>
      <c r="E109" s="225">
        <v>2</v>
      </c>
      <c r="F109" s="1603">
        <v>0</v>
      </c>
      <c r="G109" s="230">
        <f t="shared" si="6"/>
        <v>0</v>
      </c>
    </row>
    <row r="110" spans="2:7">
      <c r="B110" s="218"/>
      <c r="C110" s="231" t="s">
        <v>140</v>
      </c>
      <c r="D110" s="1232" t="s">
        <v>66</v>
      </c>
      <c r="E110" s="225">
        <v>1</v>
      </c>
      <c r="F110" s="1603">
        <v>0</v>
      </c>
      <c r="G110" s="230">
        <f t="shared" si="6"/>
        <v>0</v>
      </c>
    </row>
    <row r="111" spans="2:7">
      <c r="B111" s="218"/>
      <c r="C111" s="231" t="s">
        <v>141</v>
      </c>
      <c r="D111" s="1232" t="s">
        <v>66</v>
      </c>
      <c r="E111" s="225">
        <v>1</v>
      </c>
      <c r="F111" s="1603">
        <v>0</v>
      </c>
      <c r="G111" s="230">
        <f t="shared" si="6"/>
        <v>0</v>
      </c>
    </row>
    <row r="112" spans="2:7">
      <c r="B112" s="218"/>
      <c r="C112" s="231" t="s">
        <v>142</v>
      </c>
      <c r="D112" s="1232" t="s">
        <v>66</v>
      </c>
      <c r="E112" s="225">
        <v>1</v>
      </c>
      <c r="F112" s="1603">
        <v>0</v>
      </c>
      <c r="G112" s="230">
        <f t="shared" si="6"/>
        <v>0</v>
      </c>
    </row>
    <row r="113" spans="2:7">
      <c r="B113" s="218"/>
      <c r="C113" s="231" t="s">
        <v>143</v>
      </c>
      <c r="D113" s="1232" t="s">
        <v>66</v>
      </c>
      <c r="E113" s="225">
        <v>1</v>
      </c>
      <c r="F113" s="1603">
        <v>0</v>
      </c>
      <c r="G113" s="230">
        <f t="shared" si="6"/>
        <v>0</v>
      </c>
    </row>
    <row r="114" spans="2:7">
      <c r="B114" s="218"/>
      <c r="C114" s="231" t="s">
        <v>2250</v>
      </c>
      <c r="D114" s="1232" t="s">
        <v>66</v>
      </c>
      <c r="E114" s="225">
        <v>1</v>
      </c>
      <c r="F114" s="1603">
        <v>0</v>
      </c>
      <c r="G114" s="230">
        <f t="shared" si="6"/>
        <v>0</v>
      </c>
    </row>
    <row r="115" spans="2:7">
      <c r="B115" s="218"/>
      <c r="C115" s="231" t="s">
        <v>145</v>
      </c>
      <c r="D115" s="1232" t="s">
        <v>66</v>
      </c>
      <c r="E115" s="225">
        <v>1</v>
      </c>
      <c r="F115" s="1603">
        <v>0</v>
      </c>
      <c r="G115" s="230">
        <f t="shared" si="6"/>
        <v>0</v>
      </c>
    </row>
    <row r="116" spans="2:7">
      <c r="B116" s="218"/>
      <c r="C116" s="231" t="s">
        <v>146</v>
      </c>
      <c r="D116" s="1232" t="s">
        <v>66</v>
      </c>
      <c r="E116" s="225">
        <v>1</v>
      </c>
      <c r="F116" s="1603">
        <v>0</v>
      </c>
      <c r="G116" s="230">
        <f t="shared" si="6"/>
        <v>0</v>
      </c>
    </row>
    <row r="117" spans="2:7">
      <c r="B117" s="218"/>
      <c r="C117" s="739" t="s">
        <v>147</v>
      </c>
      <c r="D117" s="1232" t="s">
        <v>66</v>
      </c>
      <c r="E117" s="225">
        <v>1</v>
      </c>
      <c r="F117" s="1603">
        <v>0</v>
      </c>
      <c r="G117" s="230">
        <f t="shared" si="6"/>
        <v>0</v>
      </c>
    </row>
    <row r="118" spans="2:7">
      <c r="B118" s="218"/>
      <c r="C118" s="739" t="s">
        <v>188</v>
      </c>
      <c r="D118" s="1232" t="s">
        <v>66</v>
      </c>
      <c r="E118" s="225">
        <v>1</v>
      </c>
      <c r="F118" s="1603">
        <v>0</v>
      </c>
      <c r="G118" s="230">
        <f t="shared" si="6"/>
        <v>0</v>
      </c>
    </row>
    <row r="119" spans="2:7">
      <c r="B119" s="218"/>
      <c r="C119" s="739" t="s">
        <v>132</v>
      </c>
      <c r="D119" s="1232" t="s">
        <v>66</v>
      </c>
      <c r="E119" s="225">
        <v>2</v>
      </c>
      <c r="F119" s="1603">
        <v>0</v>
      </c>
      <c r="G119" s="230">
        <f t="shared" si="6"/>
        <v>0</v>
      </c>
    </row>
    <row r="120" spans="2:7">
      <c r="B120" s="218"/>
      <c r="C120" s="739" t="s">
        <v>148</v>
      </c>
      <c r="D120" s="1232" t="s">
        <v>66</v>
      </c>
      <c r="E120" s="225">
        <v>2</v>
      </c>
      <c r="F120" s="1603">
        <v>0</v>
      </c>
      <c r="G120" s="230">
        <f t="shared" si="6"/>
        <v>0</v>
      </c>
    </row>
    <row r="121" spans="2:7">
      <c r="B121" s="218"/>
      <c r="C121" s="739" t="s">
        <v>149</v>
      </c>
      <c r="D121" s="1232" t="s">
        <v>66</v>
      </c>
      <c r="E121" s="225">
        <v>1</v>
      </c>
      <c r="F121" s="1603">
        <v>0</v>
      </c>
      <c r="G121" s="230">
        <f t="shared" si="6"/>
        <v>0</v>
      </c>
    </row>
    <row r="122" spans="2:7">
      <c r="B122" s="218"/>
      <c r="C122" s="739" t="s">
        <v>150</v>
      </c>
      <c r="D122" s="1232" t="s">
        <v>66</v>
      </c>
      <c r="E122" s="225">
        <v>3</v>
      </c>
      <c r="F122" s="1603">
        <v>0</v>
      </c>
      <c r="G122" s="230">
        <f t="shared" si="6"/>
        <v>0</v>
      </c>
    </row>
    <row r="123" spans="2:7">
      <c r="B123" s="218"/>
      <c r="C123" s="740" t="s">
        <v>135</v>
      </c>
      <c r="D123" s="1232" t="s">
        <v>66</v>
      </c>
      <c r="E123" s="225">
        <v>1</v>
      </c>
      <c r="F123" s="1603">
        <v>0</v>
      </c>
      <c r="G123" s="230">
        <f t="shared" si="6"/>
        <v>0</v>
      </c>
    </row>
    <row r="124" spans="2:7">
      <c r="B124" s="201" t="s">
        <v>151</v>
      </c>
      <c r="C124" s="212" t="s">
        <v>152</v>
      </c>
      <c r="D124" s="1228"/>
      <c r="E124" s="214"/>
      <c r="F124" s="215"/>
      <c r="G124" s="216"/>
    </row>
    <row r="125" spans="2:7">
      <c r="B125" s="218"/>
      <c r="C125" s="212" t="s">
        <v>153</v>
      </c>
      <c r="D125" s="2239"/>
      <c r="E125" s="736"/>
      <c r="F125" s="1601"/>
      <c r="G125" s="1121"/>
    </row>
    <row r="126" spans="2:7">
      <c r="B126" s="218"/>
      <c r="C126" s="219" t="s">
        <v>129</v>
      </c>
      <c r="D126" s="1228" t="s">
        <v>66</v>
      </c>
      <c r="E126" s="214">
        <v>1</v>
      </c>
      <c r="F126" s="1599">
        <v>0</v>
      </c>
      <c r="G126" s="221">
        <f t="shared" ref="G126:G136" si="7">+E126*F126</f>
        <v>0</v>
      </c>
    </row>
    <row r="127" spans="2:7" ht="24">
      <c r="B127" s="218"/>
      <c r="C127" s="222" t="s">
        <v>154</v>
      </c>
      <c r="D127" s="1228" t="s">
        <v>66</v>
      </c>
      <c r="E127" s="214">
        <v>1</v>
      </c>
      <c r="F127" s="1599">
        <v>0</v>
      </c>
      <c r="G127" s="221">
        <f t="shared" si="7"/>
        <v>0</v>
      </c>
    </row>
    <row r="128" spans="2:7">
      <c r="B128" s="218"/>
      <c r="C128" s="222" t="s">
        <v>155</v>
      </c>
      <c r="D128" s="1228" t="s">
        <v>66</v>
      </c>
      <c r="E128" s="214">
        <v>1</v>
      </c>
      <c r="F128" s="1599">
        <v>0</v>
      </c>
      <c r="G128" s="221">
        <f t="shared" si="7"/>
        <v>0</v>
      </c>
    </row>
    <row r="129" spans="2:7">
      <c r="B129" s="218"/>
      <c r="C129" s="222" t="s">
        <v>330</v>
      </c>
      <c r="D129" s="1228" t="s">
        <v>66</v>
      </c>
      <c r="E129" s="214">
        <v>1</v>
      </c>
      <c r="F129" s="1599">
        <v>0</v>
      </c>
      <c r="G129" s="221">
        <f t="shared" si="7"/>
        <v>0</v>
      </c>
    </row>
    <row r="130" spans="2:7">
      <c r="B130" s="218"/>
      <c r="C130" s="222" t="s">
        <v>157</v>
      </c>
      <c r="D130" s="1228" t="s">
        <v>66</v>
      </c>
      <c r="E130" s="214">
        <v>1</v>
      </c>
      <c r="F130" s="1599">
        <v>0</v>
      </c>
      <c r="G130" s="221">
        <f t="shared" si="7"/>
        <v>0</v>
      </c>
    </row>
    <row r="131" spans="2:7">
      <c r="B131" s="218"/>
      <c r="C131" s="1162" t="s">
        <v>158</v>
      </c>
      <c r="D131" s="1228" t="s">
        <v>66</v>
      </c>
      <c r="E131" s="214">
        <v>1</v>
      </c>
      <c r="F131" s="1599">
        <v>0</v>
      </c>
      <c r="G131" s="221">
        <f t="shared" si="7"/>
        <v>0</v>
      </c>
    </row>
    <row r="132" spans="2:7">
      <c r="B132" s="218"/>
      <c r="C132" s="1162" t="s">
        <v>190</v>
      </c>
      <c r="D132" s="1228" t="s">
        <v>66</v>
      </c>
      <c r="E132" s="214">
        <v>1</v>
      </c>
      <c r="F132" s="1599">
        <v>0</v>
      </c>
      <c r="G132" s="221">
        <f t="shared" si="7"/>
        <v>0</v>
      </c>
    </row>
    <row r="133" spans="2:7">
      <c r="B133" s="218"/>
      <c r="C133" s="1162" t="s">
        <v>132</v>
      </c>
      <c r="D133" s="1228" t="s">
        <v>66</v>
      </c>
      <c r="E133" s="214">
        <v>2</v>
      </c>
      <c r="F133" s="1599">
        <v>0</v>
      </c>
      <c r="G133" s="221">
        <f t="shared" si="7"/>
        <v>0</v>
      </c>
    </row>
    <row r="134" spans="2:7">
      <c r="B134" s="218"/>
      <c r="C134" s="1162" t="s">
        <v>148</v>
      </c>
      <c r="D134" s="1228" t="s">
        <v>66</v>
      </c>
      <c r="E134" s="214">
        <v>2</v>
      </c>
      <c r="F134" s="1599">
        <v>0</v>
      </c>
      <c r="G134" s="221">
        <f t="shared" si="7"/>
        <v>0</v>
      </c>
    </row>
    <row r="135" spans="2:7">
      <c r="B135" s="218"/>
      <c r="C135" s="1162" t="s">
        <v>150</v>
      </c>
      <c r="D135" s="1228" t="s">
        <v>66</v>
      </c>
      <c r="E135" s="214">
        <v>1</v>
      </c>
      <c r="F135" s="1599">
        <v>0</v>
      </c>
      <c r="G135" s="221">
        <f t="shared" si="7"/>
        <v>0</v>
      </c>
    </row>
    <row r="136" spans="2:7">
      <c r="B136" s="218"/>
      <c r="C136" s="1163" t="s">
        <v>135</v>
      </c>
      <c r="D136" s="1228" t="s">
        <v>66</v>
      </c>
      <c r="E136" s="214">
        <v>1</v>
      </c>
      <c r="F136" s="1599">
        <v>0</v>
      </c>
      <c r="G136" s="221">
        <f t="shared" si="7"/>
        <v>0</v>
      </c>
    </row>
    <row r="137" spans="2:7" ht="24">
      <c r="B137" s="199" t="s">
        <v>1416</v>
      </c>
      <c r="C137" s="212" t="s">
        <v>332</v>
      </c>
      <c r="D137" s="2239" t="s">
        <v>66</v>
      </c>
      <c r="E137" s="736">
        <v>1</v>
      </c>
      <c r="F137" s="1126">
        <v>0</v>
      </c>
      <c r="G137" s="1121">
        <f>+E137*F137</f>
        <v>0</v>
      </c>
    </row>
    <row r="138" spans="2:7">
      <c r="B138" s="201" t="s">
        <v>159</v>
      </c>
      <c r="C138" s="223" t="s">
        <v>886</v>
      </c>
      <c r="D138" s="1232"/>
      <c r="E138" s="225"/>
      <c r="F138" s="226"/>
      <c r="G138" s="227"/>
    </row>
    <row r="139" spans="2:7">
      <c r="B139" s="218"/>
      <c r="C139" s="223" t="s">
        <v>196</v>
      </c>
      <c r="D139" s="2240"/>
      <c r="E139" s="738"/>
      <c r="F139" s="1605"/>
      <c r="G139" s="1128"/>
    </row>
    <row r="140" spans="2:7" ht="24">
      <c r="B140" s="218"/>
      <c r="C140" s="228" t="s">
        <v>2248</v>
      </c>
      <c r="D140" s="1232" t="s">
        <v>66</v>
      </c>
      <c r="E140" s="225">
        <v>1</v>
      </c>
      <c r="F140" s="1768">
        <v>0</v>
      </c>
      <c r="G140" s="1714">
        <f t="shared" ref="G140:G144" si="8">E140*F140</f>
        <v>0</v>
      </c>
    </row>
    <row r="141" spans="2:7">
      <c r="B141" s="218"/>
      <c r="C141" s="1164" t="s">
        <v>132</v>
      </c>
      <c r="D141" s="1232" t="s">
        <v>66</v>
      </c>
      <c r="E141" s="225">
        <v>3</v>
      </c>
      <c r="F141" s="1768">
        <v>0</v>
      </c>
      <c r="G141" s="1714">
        <f t="shared" si="8"/>
        <v>0</v>
      </c>
    </row>
    <row r="142" spans="2:7">
      <c r="B142" s="218"/>
      <c r="C142" s="1164" t="s">
        <v>148</v>
      </c>
      <c r="D142" s="1232" t="s">
        <v>66</v>
      </c>
      <c r="E142" s="225">
        <v>3</v>
      </c>
      <c r="F142" s="1768">
        <v>0</v>
      </c>
      <c r="G142" s="1714">
        <f t="shared" si="8"/>
        <v>0</v>
      </c>
    </row>
    <row r="143" spans="2:7">
      <c r="B143" s="218"/>
      <c r="C143" s="1164" t="s">
        <v>150</v>
      </c>
      <c r="D143" s="1232" t="s">
        <v>66</v>
      </c>
      <c r="E143" s="225">
        <v>1</v>
      </c>
      <c r="F143" s="1768">
        <v>0</v>
      </c>
      <c r="G143" s="1714">
        <f t="shared" si="8"/>
        <v>0</v>
      </c>
    </row>
    <row r="144" spans="2:7">
      <c r="B144" s="218"/>
      <c r="C144" s="1165" t="s">
        <v>135</v>
      </c>
      <c r="D144" s="1232" t="s">
        <v>66</v>
      </c>
      <c r="E144" s="225">
        <v>1</v>
      </c>
      <c r="F144" s="1768">
        <v>0</v>
      </c>
      <c r="G144" s="1714">
        <f t="shared" si="8"/>
        <v>0</v>
      </c>
    </row>
    <row r="145" spans="2:8">
      <c r="B145" s="218"/>
      <c r="C145" s="223" t="s">
        <v>1395</v>
      </c>
      <c r="D145" s="2240"/>
      <c r="E145" s="738"/>
      <c r="F145" s="1605"/>
      <c r="G145" s="1646"/>
    </row>
    <row r="146" spans="2:8" s="217" customFormat="1">
      <c r="B146" s="218"/>
      <c r="C146" s="1655" t="s">
        <v>230</v>
      </c>
      <c r="D146" s="1232" t="s">
        <v>66</v>
      </c>
      <c r="E146" s="225">
        <v>1</v>
      </c>
      <c r="F146" s="1768">
        <v>0</v>
      </c>
      <c r="G146" s="1714">
        <f t="shared" ref="G146:G148" si="9">E146*F146</f>
        <v>0</v>
      </c>
      <c r="H146" s="1703"/>
    </row>
    <row r="147" spans="2:8" s="217" customFormat="1">
      <c r="B147" s="218"/>
      <c r="C147" s="1655" t="s">
        <v>2255</v>
      </c>
      <c r="D147" s="1232" t="s">
        <v>66</v>
      </c>
      <c r="E147" s="225">
        <v>1</v>
      </c>
      <c r="F147" s="1768">
        <v>0</v>
      </c>
      <c r="G147" s="1714">
        <f t="shared" si="9"/>
        <v>0</v>
      </c>
      <c r="H147" s="1703"/>
    </row>
    <row r="148" spans="2:8" s="217" customFormat="1">
      <c r="B148" s="218"/>
      <c r="C148" s="1655" t="s">
        <v>1444</v>
      </c>
      <c r="D148" s="1232" t="s">
        <v>66</v>
      </c>
      <c r="E148" s="225">
        <v>1</v>
      </c>
      <c r="F148" s="1768">
        <v>0</v>
      </c>
      <c r="G148" s="1714">
        <f t="shared" si="9"/>
        <v>0</v>
      </c>
      <c r="H148" s="1703"/>
    </row>
    <row r="149" spans="2:8">
      <c r="B149" s="201" t="s">
        <v>168</v>
      </c>
      <c r="C149" s="238" t="s">
        <v>169</v>
      </c>
      <c r="D149" s="260"/>
      <c r="E149" s="240"/>
      <c r="F149" s="241"/>
      <c r="G149" s="242"/>
    </row>
    <row r="150" spans="2:8">
      <c r="B150" s="218"/>
      <c r="C150" s="238" t="s">
        <v>170</v>
      </c>
      <c r="D150" s="185"/>
      <c r="E150" s="741"/>
      <c r="F150" s="1611"/>
      <c r="G150" s="263"/>
    </row>
    <row r="151" spans="2:8" ht="36">
      <c r="B151" s="218"/>
      <c r="C151" s="243" t="s">
        <v>2246</v>
      </c>
      <c r="D151" s="260" t="s">
        <v>66</v>
      </c>
      <c r="E151" s="240">
        <v>5</v>
      </c>
      <c r="F151" s="1609">
        <v>0</v>
      </c>
      <c r="G151" s="245">
        <f t="shared" ref="G151:G159" si="10">+E151*F151</f>
        <v>0</v>
      </c>
    </row>
    <row r="152" spans="2:8">
      <c r="B152" s="218"/>
      <c r="C152" s="1129" t="s">
        <v>171</v>
      </c>
      <c r="D152" s="260" t="s">
        <v>66</v>
      </c>
      <c r="E152" s="240">
        <v>5</v>
      </c>
      <c r="F152" s="1609">
        <v>0</v>
      </c>
      <c r="G152" s="245">
        <f t="shared" si="10"/>
        <v>0</v>
      </c>
    </row>
    <row r="153" spans="2:8">
      <c r="B153" s="218"/>
      <c r="C153" s="1130" t="s">
        <v>135</v>
      </c>
      <c r="D153" s="260" t="s">
        <v>66</v>
      </c>
      <c r="E153" s="240">
        <v>5</v>
      </c>
      <c r="F153" s="1609">
        <v>0</v>
      </c>
      <c r="G153" s="245">
        <f t="shared" si="10"/>
        <v>0</v>
      </c>
    </row>
    <row r="154" spans="2:8">
      <c r="B154" s="218"/>
      <c r="C154" s="247" t="s">
        <v>891</v>
      </c>
      <c r="D154" s="260" t="s">
        <v>66</v>
      </c>
      <c r="E154" s="240">
        <v>5</v>
      </c>
      <c r="F154" s="1609">
        <v>0</v>
      </c>
      <c r="G154" s="245">
        <f t="shared" si="10"/>
        <v>0</v>
      </c>
    </row>
    <row r="155" spans="2:8">
      <c r="B155" s="218"/>
      <c r="C155" s="238" t="s">
        <v>234</v>
      </c>
      <c r="D155" s="185"/>
      <c r="E155" s="741"/>
      <c r="F155" s="1609"/>
      <c r="G155" s="245"/>
    </row>
    <row r="156" spans="2:8" ht="36">
      <c r="B156" s="218"/>
      <c r="C156" s="243" t="s">
        <v>2245</v>
      </c>
      <c r="D156" s="260" t="s">
        <v>66</v>
      </c>
      <c r="E156" s="240">
        <v>9</v>
      </c>
      <c r="F156" s="1609">
        <v>0</v>
      </c>
      <c r="G156" s="245">
        <f t="shared" si="10"/>
        <v>0</v>
      </c>
    </row>
    <row r="157" spans="2:8">
      <c r="B157" s="218"/>
      <c r="C157" s="1160" t="s">
        <v>171</v>
      </c>
      <c r="D157" s="260" t="s">
        <v>66</v>
      </c>
      <c r="E157" s="240">
        <v>9</v>
      </c>
      <c r="F157" s="1609">
        <v>0</v>
      </c>
      <c r="G157" s="245">
        <f t="shared" si="10"/>
        <v>0</v>
      </c>
    </row>
    <row r="158" spans="2:8">
      <c r="B158" s="218"/>
      <c r="C158" s="1161" t="s">
        <v>135</v>
      </c>
      <c r="D158" s="260" t="s">
        <v>66</v>
      </c>
      <c r="E158" s="240">
        <v>9</v>
      </c>
      <c r="F158" s="1609">
        <v>0</v>
      </c>
      <c r="G158" s="245">
        <f t="shared" si="10"/>
        <v>0</v>
      </c>
    </row>
    <row r="159" spans="2:8">
      <c r="B159" s="218"/>
      <c r="C159" s="247" t="s">
        <v>891</v>
      </c>
      <c r="D159" s="260" t="s">
        <v>66</v>
      </c>
      <c r="E159" s="240">
        <v>9</v>
      </c>
      <c r="F159" s="1609">
        <v>0</v>
      </c>
      <c r="G159" s="245">
        <f t="shared" si="10"/>
        <v>0</v>
      </c>
    </row>
    <row r="160" spans="2:8">
      <c r="B160" s="201" t="s">
        <v>172</v>
      </c>
      <c r="C160" s="248" t="s">
        <v>173</v>
      </c>
      <c r="D160" s="249"/>
      <c r="E160" s="250"/>
      <c r="F160" s="251"/>
      <c r="G160" s="252"/>
    </row>
    <row r="161" spans="2:7" ht="63.75" customHeight="1">
      <c r="B161" s="218"/>
      <c r="C161" s="1145" t="s">
        <v>174</v>
      </c>
      <c r="D161" s="249" t="s">
        <v>66</v>
      </c>
      <c r="E161" s="1143">
        <v>1</v>
      </c>
      <c r="F161" s="1144">
        <v>0</v>
      </c>
      <c r="G161" s="252">
        <f>E161*F161</f>
        <v>0</v>
      </c>
    </row>
    <row r="162" spans="2:7">
      <c r="B162" s="258" t="s">
        <v>1438</v>
      </c>
      <c r="C162" s="259" t="s">
        <v>1396</v>
      </c>
      <c r="D162" s="260"/>
      <c r="E162" s="261"/>
      <c r="F162" s="262"/>
      <c r="G162" s="263">
        <f>SUM(G75:G161)</f>
        <v>0</v>
      </c>
    </row>
  </sheetData>
  <mergeCells count="5">
    <mergeCell ref="B43:G43"/>
    <mergeCell ref="B71:G71"/>
    <mergeCell ref="B72:G72"/>
    <mergeCell ref="B73:G73"/>
    <mergeCell ref="B82:B85"/>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478C-D497-40DD-A5F1-86F8DFF863BC}">
  <sheetPr>
    <tabColor rgb="FFFFC000"/>
  </sheetPr>
  <dimension ref="A1:AC138"/>
  <sheetViews>
    <sheetView showZeros="0"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3.85546875" style="66" customWidth="1"/>
    <col min="8" max="8" width="16" style="8" customWidth="1"/>
    <col min="9" max="9" width="13.285156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16</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G122</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370</v>
      </c>
      <c r="F23" s="141">
        <v>0</v>
      </c>
      <c r="G23" s="142">
        <f t="shared" ref="G23" si="0">E23*F23</f>
        <v>0</v>
      </c>
    </row>
    <row r="24" spans="2:29">
      <c r="B24" s="125">
        <v>2</v>
      </c>
      <c r="C24" s="139" t="s">
        <v>58</v>
      </c>
      <c r="D24" s="140" t="s">
        <v>57</v>
      </c>
      <c r="E24" s="128">
        <v>370</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370</v>
      </c>
      <c r="F28" s="141">
        <v>0</v>
      </c>
      <c r="G28" s="142">
        <f t="shared" si="1"/>
        <v>0</v>
      </c>
    </row>
    <row r="29" spans="2:29" ht="52.5" customHeight="1">
      <c r="B29" s="125">
        <v>7</v>
      </c>
      <c r="C29" s="147" t="s">
        <v>64</v>
      </c>
      <c r="D29" s="146" t="s">
        <v>60</v>
      </c>
      <c r="E29" s="128">
        <v>1</v>
      </c>
      <c r="F29" s="141">
        <v>0</v>
      </c>
      <c r="G29" s="142">
        <f t="shared" si="1"/>
        <v>0</v>
      </c>
    </row>
    <row r="30" spans="2:29" ht="52.5" customHeight="1">
      <c r="B30" s="125">
        <v>8</v>
      </c>
      <c r="C30" s="1080" t="s">
        <v>2292</v>
      </c>
      <c r="D30" s="146" t="s">
        <v>66</v>
      </c>
      <c r="E30" s="128">
        <v>31</v>
      </c>
      <c r="F30" s="141">
        <v>0</v>
      </c>
      <c r="G30" s="142">
        <f t="shared" si="1"/>
        <v>0</v>
      </c>
    </row>
    <row r="31" spans="2:29" ht="37.5" customHeight="1">
      <c r="B31" s="125">
        <v>9</v>
      </c>
      <c r="C31" s="1080" t="s">
        <v>2294</v>
      </c>
      <c r="D31" s="146" t="s">
        <v>57</v>
      </c>
      <c r="E31" s="128">
        <v>500</v>
      </c>
      <c r="F31" s="141">
        <v>0</v>
      </c>
      <c r="G31" s="142">
        <f t="shared" si="1"/>
        <v>0</v>
      </c>
      <c r="H31" s="143"/>
    </row>
    <row r="32" spans="2:29" ht="27.75" customHeight="1">
      <c r="B32" s="125">
        <v>10</v>
      </c>
      <c r="C32" s="1080" t="s">
        <v>2293</v>
      </c>
      <c r="D32" s="146" t="s">
        <v>57</v>
      </c>
      <c r="E32" s="128">
        <v>500</v>
      </c>
      <c r="F32" s="141">
        <v>0</v>
      </c>
      <c r="G32" s="142">
        <f t="shared" si="1"/>
        <v>0</v>
      </c>
    </row>
    <row r="33" spans="2:28" ht="14.25" customHeight="1">
      <c r="B33" s="125">
        <v>11</v>
      </c>
      <c r="C33" s="147" t="s">
        <v>67</v>
      </c>
      <c r="D33" s="146" t="s">
        <v>60</v>
      </c>
      <c r="E33" s="128">
        <v>1</v>
      </c>
      <c r="F33" s="141">
        <v>0</v>
      </c>
      <c r="G33" s="142">
        <f t="shared" si="1"/>
        <v>0</v>
      </c>
    </row>
    <row r="34" spans="2:28" ht="38.25" customHeight="1">
      <c r="B34" s="125">
        <v>12</v>
      </c>
      <c r="C34" s="148" t="s">
        <v>68</v>
      </c>
      <c r="D34" s="146" t="s">
        <v>60</v>
      </c>
      <c r="E34" s="149">
        <v>1</v>
      </c>
      <c r="F34" s="141">
        <v>0</v>
      </c>
      <c r="G34" s="142">
        <f t="shared" si="1"/>
        <v>0</v>
      </c>
      <c r="H34" s="1"/>
    </row>
    <row r="35" spans="2:28" ht="38.25" customHeight="1">
      <c r="B35" s="125">
        <v>13</v>
      </c>
      <c r="C35" s="150" t="s">
        <v>69</v>
      </c>
      <c r="D35" s="146" t="s">
        <v>60</v>
      </c>
      <c r="E35" s="149">
        <v>2</v>
      </c>
      <c r="F35" s="141">
        <v>0</v>
      </c>
      <c r="G35" s="142">
        <f t="shared" si="1"/>
        <v>0</v>
      </c>
      <c r="H35" s="1"/>
    </row>
    <row r="36" spans="2:28">
      <c r="B36" s="151" t="s">
        <v>43</v>
      </c>
      <c r="C36" s="152" t="s">
        <v>70</v>
      </c>
      <c r="D36" s="153"/>
      <c r="E36" s="154"/>
      <c r="F36" s="155"/>
      <c r="G36" s="156">
        <f>SUM(G23:G35)</f>
        <v>0</v>
      </c>
      <c r="H36" s="1"/>
    </row>
    <row r="37" spans="2:28">
      <c r="B37" s="125"/>
      <c r="C37" s="126"/>
      <c r="D37" s="127"/>
      <c r="E37" s="128"/>
      <c r="F37" s="129"/>
      <c r="G37" s="130"/>
      <c r="H37" s="1"/>
    </row>
    <row r="38" spans="2:28" ht="24">
      <c r="B38" s="157" t="s">
        <v>50</v>
      </c>
      <c r="C38" s="158" t="s">
        <v>51</v>
      </c>
      <c r="D38" s="159" t="s">
        <v>52</v>
      </c>
      <c r="E38" s="160" t="s">
        <v>53</v>
      </c>
      <c r="F38" s="161" t="s">
        <v>54</v>
      </c>
      <c r="G38" s="162" t="s">
        <v>55</v>
      </c>
      <c r="H38" s="1"/>
    </row>
    <row r="39" spans="2:28">
      <c r="B39" s="125"/>
      <c r="C39" s="163"/>
      <c r="D39" s="140"/>
      <c r="E39" s="128"/>
      <c r="F39" s="129"/>
      <c r="G39" s="130"/>
      <c r="H39" s="1"/>
    </row>
    <row r="40" spans="2:28" s="138" customFormat="1" ht="20.25">
      <c r="B40" s="131" t="s">
        <v>45</v>
      </c>
      <c r="C40" s="164" t="s">
        <v>71</v>
      </c>
      <c r="D40" s="165"/>
      <c r="E40" s="134"/>
      <c r="F40" s="135"/>
      <c r="G40" s="136"/>
      <c r="H40" s="1"/>
      <c r="I40" s="1"/>
      <c r="J40" s="1"/>
      <c r="K40" s="1"/>
      <c r="L40" s="1"/>
      <c r="M40" s="1"/>
      <c r="N40" s="1"/>
      <c r="O40" s="1"/>
      <c r="P40" s="1"/>
      <c r="Q40" s="1"/>
      <c r="R40" s="1"/>
      <c r="S40" s="1"/>
      <c r="T40" s="1"/>
      <c r="U40" s="1"/>
      <c r="V40" s="1"/>
      <c r="W40" s="1"/>
      <c r="X40" s="1"/>
      <c r="Y40" s="1"/>
      <c r="Z40" s="1"/>
      <c r="AA40" s="1"/>
      <c r="AB40" s="1"/>
    </row>
    <row r="41" spans="2:28" s="166" customFormat="1" ht="71.25" customHeight="1">
      <c r="B41" s="2399" t="s">
        <v>72</v>
      </c>
      <c r="C41" s="2400"/>
      <c r="D41" s="2400"/>
      <c r="E41" s="2400"/>
      <c r="F41" s="2400"/>
      <c r="G41" s="2401"/>
      <c r="H41" s="1"/>
      <c r="I41" s="1"/>
      <c r="J41" s="1"/>
      <c r="K41" s="1"/>
      <c r="L41" s="1"/>
      <c r="M41" s="1"/>
      <c r="N41" s="1"/>
      <c r="O41" s="1"/>
      <c r="P41" s="1"/>
      <c r="Q41" s="1"/>
      <c r="R41" s="1"/>
      <c r="S41" s="1"/>
      <c r="T41" s="1"/>
      <c r="U41" s="1"/>
      <c r="V41" s="1"/>
      <c r="W41" s="1"/>
      <c r="X41" s="1"/>
      <c r="Y41" s="1"/>
      <c r="Z41" s="1"/>
      <c r="AA41" s="1"/>
      <c r="AB41" s="1"/>
    </row>
    <row r="42" spans="2:28" ht="24">
      <c r="B42" s="167">
        <v>1</v>
      </c>
      <c r="C42" s="139" t="s">
        <v>73</v>
      </c>
      <c r="D42" s="140" t="s">
        <v>74</v>
      </c>
      <c r="E42" s="128">
        <v>19</v>
      </c>
      <c r="F42" s="141">
        <v>0</v>
      </c>
      <c r="G42" s="142">
        <f t="shared" ref="G42:G67" si="2">E42*F42</f>
        <v>0</v>
      </c>
      <c r="H42" s="1"/>
    </row>
    <row r="43" spans="2:28" ht="36">
      <c r="B43" s="167">
        <v>2</v>
      </c>
      <c r="C43" s="139" t="s">
        <v>75</v>
      </c>
      <c r="D43" s="145" t="s">
        <v>74</v>
      </c>
      <c r="E43" s="128">
        <v>14</v>
      </c>
      <c r="F43" s="141">
        <v>0</v>
      </c>
      <c r="G43" s="142">
        <f t="shared" si="2"/>
        <v>0</v>
      </c>
      <c r="H43" s="1"/>
    </row>
    <row r="44" spans="2:28" ht="39.75" customHeight="1">
      <c r="B44" s="167">
        <v>3</v>
      </c>
      <c r="C44" s="139" t="s">
        <v>76</v>
      </c>
      <c r="D44" s="145" t="s">
        <v>74</v>
      </c>
      <c r="E44" s="128">
        <v>677</v>
      </c>
      <c r="F44" s="141">
        <v>0</v>
      </c>
      <c r="G44" s="142">
        <f t="shared" si="2"/>
        <v>0</v>
      </c>
      <c r="H44" s="1"/>
    </row>
    <row r="45" spans="2:28" ht="24">
      <c r="B45" s="167">
        <v>4</v>
      </c>
      <c r="C45" s="168" t="s">
        <v>77</v>
      </c>
      <c r="D45" s="169" t="s">
        <v>78</v>
      </c>
      <c r="E45" s="170">
        <v>1441</v>
      </c>
      <c r="F45" s="141">
        <v>0</v>
      </c>
      <c r="G45" s="142">
        <f t="shared" si="2"/>
        <v>0</v>
      </c>
      <c r="H45" s="1"/>
    </row>
    <row r="46" spans="2:28" ht="29.25" customHeight="1">
      <c r="B46" s="167">
        <v>5</v>
      </c>
      <c r="C46" s="139" t="s">
        <v>79</v>
      </c>
      <c r="D46" s="145" t="s">
        <v>78</v>
      </c>
      <c r="E46" s="128">
        <v>434</v>
      </c>
      <c r="F46" s="141">
        <v>0</v>
      </c>
      <c r="G46" s="142">
        <f t="shared" si="2"/>
        <v>0</v>
      </c>
      <c r="H46" s="1"/>
    </row>
    <row r="47" spans="2:28" ht="27" customHeight="1">
      <c r="B47" s="167">
        <v>6</v>
      </c>
      <c r="C47" s="139" t="s">
        <v>80</v>
      </c>
      <c r="D47" s="145" t="s">
        <v>74</v>
      </c>
      <c r="E47" s="128">
        <v>131</v>
      </c>
      <c r="F47" s="141">
        <v>0</v>
      </c>
      <c r="G47" s="142">
        <f t="shared" si="2"/>
        <v>0</v>
      </c>
      <c r="H47" s="1"/>
    </row>
    <row r="48" spans="2:28" s="176" customFormat="1" ht="36">
      <c r="B48" s="167">
        <v>7</v>
      </c>
      <c r="C48" s="171" t="s">
        <v>81</v>
      </c>
      <c r="D48" s="172" t="s">
        <v>74</v>
      </c>
      <c r="E48" s="173">
        <v>362</v>
      </c>
      <c r="F48" s="141">
        <v>0</v>
      </c>
      <c r="G48" s="175">
        <f t="shared" si="2"/>
        <v>0</v>
      </c>
      <c r="H48" s="1"/>
      <c r="I48" s="1"/>
      <c r="J48" s="1"/>
      <c r="K48" s="1"/>
      <c r="L48" s="1"/>
      <c r="M48" s="1"/>
      <c r="N48" s="1"/>
      <c r="O48" s="1"/>
      <c r="P48" s="1"/>
      <c r="Q48" s="1"/>
      <c r="R48" s="1"/>
      <c r="S48" s="1"/>
      <c r="T48" s="1"/>
      <c r="U48" s="1"/>
      <c r="V48" s="1"/>
      <c r="W48" s="1"/>
      <c r="X48" s="1"/>
      <c r="Y48" s="1"/>
      <c r="Z48" s="1"/>
      <c r="AA48" s="1"/>
      <c r="AB48" s="1"/>
    </row>
    <row r="49" spans="2:28" s="166" customFormat="1" ht="36">
      <c r="B49" s="167">
        <v>8</v>
      </c>
      <c r="C49" s="274" t="s">
        <v>82</v>
      </c>
      <c r="D49" s="275" t="s">
        <v>74</v>
      </c>
      <c r="E49" s="173">
        <v>217</v>
      </c>
      <c r="F49" s="141">
        <v>0</v>
      </c>
      <c r="G49" s="175">
        <f t="shared" si="2"/>
        <v>0</v>
      </c>
      <c r="H49" s="1"/>
      <c r="I49" s="1"/>
      <c r="J49" s="1"/>
      <c r="K49" s="1"/>
      <c r="L49" s="1"/>
      <c r="M49" s="1"/>
      <c r="N49" s="1"/>
      <c r="O49" s="1"/>
      <c r="P49" s="1"/>
      <c r="Q49" s="1"/>
      <c r="R49" s="1"/>
      <c r="S49" s="1"/>
      <c r="T49" s="1"/>
      <c r="U49" s="1"/>
      <c r="V49" s="1"/>
      <c r="W49" s="1"/>
      <c r="X49" s="1"/>
      <c r="Y49" s="1"/>
      <c r="Z49" s="1"/>
      <c r="AA49" s="1"/>
      <c r="AB49" s="1"/>
    </row>
    <row r="50" spans="2:28" s="179" customFormat="1" ht="51" customHeight="1">
      <c r="B50" s="2406">
        <v>9</v>
      </c>
      <c r="C50" s="276" t="s">
        <v>83</v>
      </c>
      <c r="D50" s="277"/>
      <c r="E50" s="173"/>
      <c r="F50" s="174"/>
      <c r="G50" s="175"/>
      <c r="H50" s="1"/>
      <c r="I50" s="1"/>
      <c r="J50" s="1"/>
      <c r="K50" s="1"/>
      <c r="L50" s="1"/>
      <c r="M50" s="1"/>
      <c r="N50" s="1"/>
      <c r="O50" s="1"/>
      <c r="P50" s="1"/>
      <c r="Q50" s="1"/>
      <c r="R50" s="1"/>
      <c r="S50" s="1"/>
      <c r="T50" s="1"/>
      <c r="U50" s="1"/>
      <c r="V50" s="1"/>
      <c r="W50" s="1"/>
      <c r="X50" s="1"/>
      <c r="Y50" s="1"/>
      <c r="Z50" s="1"/>
      <c r="AA50" s="1"/>
      <c r="AB50" s="1"/>
    </row>
    <row r="51" spans="2:28" s="179" customFormat="1" ht="15" customHeight="1">
      <c r="B51" s="2407"/>
      <c r="C51" s="276" t="s">
        <v>84</v>
      </c>
      <c r="D51" s="277" t="s">
        <v>57</v>
      </c>
      <c r="E51" s="173">
        <v>5</v>
      </c>
      <c r="F51" s="174">
        <v>0</v>
      </c>
      <c r="G51" s="175">
        <f t="shared" ref="G51" si="3">E51*F51</f>
        <v>0</v>
      </c>
      <c r="H51" s="1"/>
      <c r="I51" s="1"/>
      <c r="J51" s="1"/>
      <c r="K51" s="1"/>
      <c r="L51" s="1"/>
      <c r="M51" s="1"/>
      <c r="N51" s="1"/>
      <c r="O51" s="1"/>
      <c r="P51" s="1"/>
      <c r="Q51" s="1"/>
      <c r="R51" s="1"/>
      <c r="S51" s="1"/>
      <c r="T51" s="1"/>
      <c r="U51" s="1"/>
      <c r="V51" s="1"/>
      <c r="W51" s="1"/>
      <c r="X51" s="1"/>
      <c r="Y51" s="1"/>
      <c r="Z51" s="1"/>
      <c r="AA51" s="1"/>
      <c r="AB51" s="1"/>
    </row>
    <row r="52" spans="2:28" ht="25.5" customHeight="1">
      <c r="B52" s="167">
        <v>10</v>
      </c>
      <c r="C52" s="171" t="s">
        <v>85</v>
      </c>
      <c r="D52" s="172" t="s">
        <v>57</v>
      </c>
      <c r="E52" s="173">
        <v>679</v>
      </c>
      <c r="F52" s="174">
        <v>0</v>
      </c>
      <c r="G52" s="175">
        <f t="shared" si="2"/>
        <v>0</v>
      </c>
      <c r="H52" s="1"/>
    </row>
    <row r="53" spans="2:28" ht="24">
      <c r="B53" s="167">
        <v>11</v>
      </c>
      <c r="C53" s="171" t="s">
        <v>86</v>
      </c>
      <c r="D53" s="277" t="s">
        <v>78</v>
      </c>
      <c r="E53" s="173">
        <v>619</v>
      </c>
      <c r="F53" s="174">
        <v>0</v>
      </c>
      <c r="G53" s="175">
        <f t="shared" si="2"/>
        <v>0</v>
      </c>
      <c r="H53" s="1"/>
    </row>
    <row r="54" spans="2:28" ht="49.5" customHeight="1">
      <c r="B54" s="167">
        <v>12</v>
      </c>
      <c r="C54" s="278" t="s">
        <v>87</v>
      </c>
      <c r="D54" s="277" t="s">
        <v>78</v>
      </c>
      <c r="E54" s="173">
        <v>619</v>
      </c>
      <c r="F54" s="174">
        <v>0</v>
      </c>
      <c r="G54" s="175">
        <f t="shared" si="2"/>
        <v>0</v>
      </c>
      <c r="H54" s="1"/>
    </row>
    <row r="55" spans="2:28" ht="48">
      <c r="B55" s="167">
        <v>13</v>
      </c>
      <c r="C55" s="171" t="s">
        <v>88</v>
      </c>
      <c r="D55" s="172" t="s">
        <v>78</v>
      </c>
      <c r="E55" s="173">
        <v>619</v>
      </c>
      <c r="F55" s="174">
        <v>0</v>
      </c>
      <c r="G55" s="175">
        <f t="shared" si="2"/>
        <v>0</v>
      </c>
      <c r="H55" s="1"/>
    </row>
    <row r="56" spans="2:28" ht="60">
      <c r="B56" s="167">
        <v>14</v>
      </c>
      <c r="C56" s="171" t="s">
        <v>89</v>
      </c>
      <c r="D56" s="172" t="s">
        <v>78</v>
      </c>
      <c r="E56" s="173">
        <v>867</v>
      </c>
      <c r="F56" s="174">
        <v>0</v>
      </c>
      <c r="G56" s="175">
        <f>E56*F56</f>
        <v>0</v>
      </c>
      <c r="H56" s="1"/>
    </row>
    <row r="57" spans="2:28" ht="38.25" customHeight="1">
      <c r="B57" s="167">
        <v>15</v>
      </c>
      <c r="C57" s="171" t="s">
        <v>90</v>
      </c>
      <c r="D57" s="277" t="s">
        <v>78</v>
      </c>
      <c r="E57" s="173">
        <v>248</v>
      </c>
      <c r="F57" s="174">
        <v>0</v>
      </c>
      <c r="G57" s="175">
        <f t="shared" si="2"/>
        <v>0</v>
      </c>
      <c r="H57" s="1"/>
    </row>
    <row r="58" spans="2:28" ht="27" customHeight="1">
      <c r="B58" s="167">
        <v>16</v>
      </c>
      <c r="C58" s="171" t="s">
        <v>91</v>
      </c>
      <c r="D58" s="172" t="s">
        <v>74</v>
      </c>
      <c r="E58" s="173">
        <v>19</v>
      </c>
      <c r="F58" s="174">
        <v>0</v>
      </c>
      <c r="G58" s="175">
        <f t="shared" si="2"/>
        <v>0</v>
      </c>
      <c r="H58" s="1"/>
    </row>
    <row r="59" spans="2:28" s="176" customFormat="1" ht="24">
      <c r="B59" s="167">
        <v>17</v>
      </c>
      <c r="C59" s="171" t="s">
        <v>92</v>
      </c>
      <c r="D59" s="172" t="s">
        <v>74</v>
      </c>
      <c r="E59" s="173">
        <v>691</v>
      </c>
      <c r="F59" s="174">
        <v>0</v>
      </c>
      <c r="G59" s="175">
        <f t="shared" si="2"/>
        <v>0</v>
      </c>
      <c r="H59" s="1"/>
      <c r="I59" s="1"/>
      <c r="J59" s="1"/>
      <c r="K59" s="1"/>
      <c r="L59" s="1"/>
      <c r="M59" s="1"/>
      <c r="N59" s="1"/>
      <c r="O59" s="1"/>
      <c r="P59" s="1"/>
      <c r="Q59" s="1"/>
      <c r="R59" s="1"/>
      <c r="S59" s="1"/>
      <c r="T59" s="1"/>
      <c r="U59" s="1"/>
      <c r="V59" s="1"/>
      <c r="W59" s="1"/>
      <c r="X59" s="1"/>
      <c r="Y59" s="1"/>
      <c r="Z59" s="1"/>
      <c r="AA59" s="1"/>
      <c r="AB59" s="1"/>
    </row>
    <row r="60" spans="2:28" s="176" customFormat="1">
      <c r="B60" s="167">
        <v>18</v>
      </c>
      <c r="C60" s="171" t="s">
        <v>93</v>
      </c>
      <c r="D60" s="172" t="s">
        <v>74</v>
      </c>
      <c r="E60" s="173">
        <v>691</v>
      </c>
      <c r="F60" s="174">
        <v>0</v>
      </c>
      <c r="G60" s="175">
        <f t="shared" si="2"/>
        <v>0</v>
      </c>
      <c r="H60" s="1"/>
      <c r="I60" s="1"/>
      <c r="J60" s="1"/>
      <c r="K60" s="1"/>
      <c r="L60" s="1"/>
      <c r="M60" s="1"/>
      <c r="N60" s="1"/>
      <c r="O60" s="1"/>
      <c r="P60" s="1"/>
      <c r="Q60" s="1"/>
      <c r="R60" s="1"/>
      <c r="S60" s="1"/>
      <c r="T60" s="1"/>
      <c r="U60" s="1"/>
      <c r="V60" s="1"/>
      <c r="W60" s="1"/>
      <c r="X60" s="1"/>
      <c r="Y60" s="1"/>
      <c r="Z60" s="1"/>
      <c r="AA60" s="1"/>
      <c r="AB60" s="1"/>
    </row>
    <row r="61" spans="2:28" ht="24">
      <c r="B61" s="167">
        <v>19</v>
      </c>
      <c r="C61" s="139" t="s">
        <v>94</v>
      </c>
      <c r="D61" s="145" t="s">
        <v>78</v>
      </c>
      <c r="E61" s="128">
        <v>619</v>
      </c>
      <c r="F61" s="174">
        <v>0</v>
      </c>
      <c r="G61" s="142">
        <f t="shared" si="2"/>
        <v>0</v>
      </c>
      <c r="H61" s="1"/>
    </row>
    <row r="62" spans="2:28" ht="27" customHeight="1">
      <c r="B62" s="167">
        <v>20</v>
      </c>
      <c r="C62" s="139" t="s">
        <v>95</v>
      </c>
      <c r="D62" s="140" t="s">
        <v>78</v>
      </c>
      <c r="E62" s="128">
        <v>554</v>
      </c>
      <c r="F62" s="174">
        <v>0</v>
      </c>
      <c r="G62" s="142">
        <f t="shared" si="2"/>
        <v>0</v>
      </c>
      <c r="H62" s="1"/>
    </row>
    <row r="63" spans="2:28" ht="25.5" customHeight="1">
      <c r="B63" s="167">
        <v>21</v>
      </c>
      <c r="C63" s="177" t="s">
        <v>96</v>
      </c>
      <c r="D63" s="140" t="s">
        <v>57</v>
      </c>
      <c r="E63" s="128">
        <v>20</v>
      </c>
      <c r="F63" s="174">
        <v>0</v>
      </c>
      <c r="G63" s="142">
        <f t="shared" si="2"/>
        <v>0</v>
      </c>
      <c r="H63" s="1"/>
    </row>
    <row r="64" spans="2:28" ht="29.25" customHeight="1">
      <c r="B64" s="167">
        <v>22</v>
      </c>
      <c r="C64" s="181" t="s">
        <v>97</v>
      </c>
      <c r="D64" s="182" t="s">
        <v>74</v>
      </c>
      <c r="E64" s="183">
        <v>1</v>
      </c>
      <c r="F64" s="174">
        <v>0</v>
      </c>
      <c r="G64" s="142">
        <f t="shared" si="2"/>
        <v>0</v>
      </c>
      <c r="H64" s="1"/>
    </row>
    <row r="65" spans="1:28" ht="30" customHeight="1">
      <c r="B65" s="167">
        <v>23</v>
      </c>
      <c r="C65" s="184" t="s">
        <v>98</v>
      </c>
      <c r="D65" s="182" t="s">
        <v>66</v>
      </c>
      <c r="E65" s="128">
        <v>11</v>
      </c>
      <c r="F65" s="174">
        <v>0</v>
      </c>
      <c r="G65" s="142">
        <f t="shared" si="2"/>
        <v>0</v>
      </c>
      <c r="H65" s="1"/>
    </row>
    <row r="66" spans="1:28" ht="30" customHeight="1">
      <c r="B66" s="167">
        <v>24</v>
      </c>
      <c r="C66" s="184" t="s">
        <v>99</v>
      </c>
      <c r="D66" s="182" t="s">
        <v>74</v>
      </c>
      <c r="E66" s="183">
        <v>2</v>
      </c>
      <c r="F66" s="174">
        <v>0</v>
      </c>
      <c r="G66" s="142">
        <f t="shared" si="2"/>
        <v>0</v>
      </c>
      <c r="H66" s="1"/>
    </row>
    <row r="67" spans="1:28" ht="24">
      <c r="B67" s="167">
        <v>25</v>
      </c>
      <c r="C67" s="184" t="s">
        <v>100</v>
      </c>
      <c r="D67" s="182" t="s">
        <v>65</v>
      </c>
      <c r="E67" s="183">
        <v>68</v>
      </c>
      <c r="F67" s="174">
        <v>0</v>
      </c>
      <c r="G67" s="142">
        <f t="shared" si="2"/>
        <v>0</v>
      </c>
      <c r="H67" s="1"/>
    </row>
    <row r="68" spans="1:28">
      <c r="B68" s="151" t="s">
        <v>45</v>
      </c>
      <c r="C68" s="152" t="s">
        <v>101</v>
      </c>
      <c r="D68" s="185"/>
      <c r="E68" s="154"/>
      <c r="F68" s="155"/>
      <c r="G68" s="156">
        <f>SUM(G42:G67)</f>
        <v>0</v>
      </c>
      <c r="H68" s="1"/>
    </row>
    <row r="69" spans="1:28">
      <c r="B69" s="125"/>
      <c r="C69" s="126"/>
      <c r="D69" s="127"/>
      <c r="E69" s="128"/>
      <c r="F69" s="129"/>
      <c r="G69" s="130"/>
      <c r="H69" s="1"/>
    </row>
    <row r="70" spans="1:28" ht="24">
      <c r="B70" s="157" t="s">
        <v>50</v>
      </c>
      <c r="C70" s="158" t="s">
        <v>51</v>
      </c>
      <c r="D70" s="158" t="s">
        <v>52</v>
      </c>
      <c r="E70" s="160" t="s">
        <v>53</v>
      </c>
      <c r="F70" s="161" t="s">
        <v>54</v>
      </c>
      <c r="G70" s="162" t="s">
        <v>55</v>
      </c>
      <c r="H70" s="1"/>
    </row>
    <row r="71" spans="1:28">
      <c r="B71" s="125"/>
      <c r="C71" s="126"/>
      <c r="D71" s="140"/>
      <c r="E71" s="128"/>
      <c r="F71" s="129"/>
      <c r="G71" s="130"/>
      <c r="H71" s="1"/>
    </row>
    <row r="72" spans="1:28" s="138" customFormat="1" ht="20.25">
      <c r="B72" s="186" t="s">
        <v>47</v>
      </c>
      <c r="C72" s="187" t="s">
        <v>102</v>
      </c>
      <c r="D72" s="165"/>
      <c r="E72" s="134"/>
      <c r="F72" s="135"/>
      <c r="G72" s="136"/>
      <c r="H72" s="1"/>
      <c r="I72" s="1"/>
      <c r="J72" s="1"/>
      <c r="K72" s="1"/>
      <c r="L72" s="1"/>
      <c r="M72" s="1"/>
      <c r="N72" s="1"/>
      <c r="O72" s="1"/>
      <c r="P72" s="1"/>
      <c r="Q72" s="1"/>
      <c r="R72" s="1"/>
      <c r="S72" s="1"/>
      <c r="T72" s="1"/>
      <c r="U72" s="1"/>
      <c r="V72" s="1"/>
      <c r="W72" s="1"/>
      <c r="X72" s="1"/>
      <c r="Y72" s="1"/>
      <c r="Z72" s="1"/>
      <c r="AA72" s="1"/>
      <c r="AB72" s="1"/>
    </row>
    <row r="73" spans="1:28" s="14" customFormat="1" ht="18" customHeight="1">
      <c r="A73" s="9"/>
      <c r="B73" s="10" t="s">
        <v>38</v>
      </c>
      <c r="C73" s="11"/>
      <c r="D73" s="13"/>
      <c r="E73" s="12"/>
      <c r="F73" s="12"/>
      <c r="G73" s="13"/>
      <c r="H73" s="1"/>
      <c r="I73" s="1"/>
      <c r="J73" s="1"/>
      <c r="K73" s="1"/>
      <c r="L73" s="1"/>
      <c r="M73" s="1"/>
      <c r="N73" s="1"/>
      <c r="O73" s="1"/>
      <c r="P73" s="1"/>
      <c r="Q73" s="1"/>
      <c r="R73" s="1"/>
      <c r="S73" s="1"/>
      <c r="T73" s="1"/>
      <c r="U73" s="1"/>
      <c r="V73" s="1"/>
      <c r="W73" s="1"/>
      <c r="X73" s="1"/>
      <c r="Y73" s="1"/>
      <c r="Z73" s="1"/>
      <c r="AA73" s="1"/>
      <c r="AB73" s="1"/>
    </row>
    <row r="74" spans="1:28" s="14" customFormat="1" ht="18" customHeight="1">
      <c r="A74" s="15"/>
      <c r="B74" s="16" t="s">
        <v>39</v>
      </c>
      <c r="C74" s="17"/>
      <c r="D74" s="18"/>
      <c r="E74" s="19"/>
      <c r="F74" s="19"/>
      <c r="G74" s="18"/>
      <c r="H74" s="1"/>
      <c r="I74" s="1"/>
      <c r="J74" s="1"/>
      <c r="K74" s="1"/>
      <c r="L74" s="1"/>
      <c r="M74" s="1"/>
      <c r="N74" s="1"/>
      <c r="O74" s="1"/>
      <c r="P74" s="1"/>
      <c r="Q74" s="1"/>
      <c r="R74" s="1"/>
      <c r="S74" s="1"/>
      <c r="T74" s="1"/>
      <c r="U74" s="1"/>
      <c r="V74" s="1"/>
      <c r="W74" s="1"/>
      <c r="X74" s="1"/>
      <c r="Y74" s="1"/>
      <c r="Z74" s="1"/>
      <c r="AA74" s="1"/>
      <c r="AB74" s="1"/>
    </row>
    <row r="75" spans="1:28" s="14" customFormat="1" ht="18" customHeight="1">
      <c r="A75" s="9"/>
      <c r="B75" s="10" t="s">
        <v>4</v>
      </c>
      <c r="C75" s="11"/>
      <c r="D75" s="12"/>
      <c r="E75" s="12"/>
      <c r="F75" s="12"/>
      <c r="G75" s="13"/>
      <c r="H75" s="1"/>
      <c r="I75" s="1"/>
      <c r="J75" s="1"/>
      <c r="K75" s="1"/>
      <c r="L75" s="1"/>
      <c r="M75" s="1"/>
      <c r="N75" s="1"/>
      <c r="O75" s="1"/>
      <c r="P75" s="1"/>
      <c r="Q75" s="1"/>
      <c r="R75" s="1"/>
      <c r="S75" s="1"/>
      <c r="T75" s="1"/>
      <c r="U75" s="1"/>
      <c r="V75" s="1"/>
      <c r="W75" s="1"/>
      <c r="X75" s="1"/>
      <c r="Y75" s="1"/>
      <c r="Z75" s="1"/>
      <c r="AA75" s="1"/>
      <c r="AB75" s="1"/>
    </row>
    <row r="76" spans="1:28" s="14" customFormat="1" ht="18" customHeight="1">
      <c r="A76" s="15"/>
      <c r="B76" s="16" t="s">
        <v>5</v>
      </c>
      <c r="C76" s="17"/>
      <c r="D76" s="19"/>
      <c r="E76" s="19"/>
      <c r="F76" s="19"/>
      <c r="G76" s="18"/>
      <c r="H76" s="1"/>
      <c r="I76" s="1"/>
      <c r="J76" s="1"/>
      <c r="K76" s="1"/>
      <c r="L76" s="1"/>
      <c r="M76" s="1"/>
      <c r="N76" s="1"/>
      <c r="O76" s="1"/>
      <c r="P76" s="1"/>
      <c r="Q76" s="1"/>
      <c r="R76" s="1"/>
      <c r="S76" s="1"/>
      <c r="T76" s="1"/>
      <c r="U76" s="1"/>
      <c r="V76" s="1"/>
      <c r="W76" s="1"/>
      <c r="X76" s="1"/>
      <c r="Y76" s="1"/>
      <c r="Z76" s="1"/>
      <c r="AA76" s="1"/>
      <c r="AB76" s="1"/>
    </row>
    <row r="77" spans="1:28" s="166" customFormat="1" ht="29.25" customHeight="1">
      <c r="B77" s="2399" t="s">
        <v>103</v>
      </c>
      <c r="C77" s="2400"/>
      <c r="D77" s="2400"/>
      <c r="E77" s="2400"/>
      <c r="F77" s="2400"/>
      <c r="G77" s="2401"/>
      <c r="H77" s="1"/>
      <c r="I77" s="1"/>
      <c r="J77" s="1"/>
      <c r="K77" s="1"/>
      <c r="L77" s="1"/>
      <c r="M77" s="1"/>
      <c r="N77" s="1"/>
      <c r="O77" s="1"/>
      <c r="P77" s="1"/>
      <c r="Q77" s="1"/>
      <c r="R77" s="1"/>
      <c r="S77" s="1"/>
      <c r="T77" s="1"/>
      <c r="U77" s="1"/>
      <c r="V77" s="1"/>
      <c r="W77" s="1"/>
      <c r="X77" s="1"/>
      <c r="Y77" s="1"/>
      <c r="Z77" s="1"/>
      <c r="AA77" s="1"/>
      <c r="AB77" s="1"/>
    </row>
    <row r="78" spans="1:28" s="166" customFormat="1" ht="18.75" customHeight="1">
      <c r="B78" s="2399" t="s">
        <v>104</v>
      </c>
      <c r="C78" s="2400"/>
      <c r="D78" s="2400"/>
      <c r="E78" s="2400"/>
      <c r="F78" s="2400"/>
      <c r="G78" s="2401"/>
      <c r="H78" s="1"/>
      <c r="I78" s="1"/>
      <c r="J78" s="1"/>
      <c r="K78" s="1"/>
      <c r="L78" s="1"/>
      <c r="M78" s="1"/>
      <c r="N78" s="1"/>
      <c r="O78" s="1"/>
      <c r="P78" s="1"/>
      <c r="Q78" s="1"/>
      <c r="R78" s="1"/>
      <c r="S78" s="1"/>
      <c r="T78" s="1"/>
      <c r="U78" s="1"/>
      <c r="V78" s="1"/>
      <c r="W78" s="1"/>
      <c r="X78" s="1"/>
      <c r="Y78" s="1"/>
      <c r="Z78" s="1"/>
      <c r="AA78" s="1"/>
      <c r="AB78" s="1"/>
    </row>
    <row r="79" spans="1:28" s="166" customFormat="1" ht="18.75" customHeight="1">
      <c r="B79" s="2399" t="s">
        <v>105</v>
      </c>
      <c r="C79" s="2400"/>
      <c r="D79" s="2400"/>
      <c r="E79" s="2400"/>
      <c r="F79" s="2400"/>
      <c r="G79" s="2401"/>
      <c r="H79" s="1"/>
      <c r="I79" s="1"/>
      <c r="J79" s="1"/>
      <c r="K79" s="1"/>
      <c r="L79" s="1"/>
      <c r="M79" s="1"/>
      <c r="N79" s="1"/>
      <c r="O79" s="1"/>
      <c r="P79" s="1"/>
      <c r="Q79" s="1"/>
      <c r="R79" s="1"/>
      <c r="S79" s="1"/>
      <c r="T79" s="1"/>
      <c r="U79" s="1"/>
      <c r="V79" s="1"/>
      <c r="W79" s="1"/>
      <c r="X79" s="1"/>
      <c r="Y79" s="1"/>
      <c r="Z79" s="1"/>
      <c r="AA79" s="1"/>
      <c r="AB79" s="1"/>
    </row>
    <row r="80" spans="1:28" ht="30" customHeight="1">
      <c r="B80" s="188">
        <v>1</v>
      </c>
      <c r="C80" s="189" t="s">
        <v>106</v>
      </c>
      <c r="D80" s="190"/>
      <c r="E80" s="128"/>
      <c r="F80" s="129"/>
      <c r="G80" s="130"/>
      <c r="H80" s="1"/>
    </row>
    <row r="81" spans="2:28" s="179" customFormat="1" ht="18.75" customHeight="1">
      <c r="B81" s="191"/>
      <c r="C81" s="192" t="s">
        <v>107</v>
      </c>
      <c r="D81" s="190" t="s">
        <v>57</v>
      </c>
      <c r="E81" s="128">
        <v>333</v>
      </c>
      <c r="F81" s="141">
        <v>0</v>
      </c>
      <c r="G81" s="142">
        <f t="shared" ref="G81:G84" si="4">E81*F81</f>
        <v>0</v>
      </c>
      <c r="H81" s="1"/>
      <c r="I81" s="1"/>
      <c r="J81" s="1"/>
      <c r="K81" s="1"/>
      <c r="L81" s="1"/>
      <c r="M81" s="1"/>
      <c r="N81" s="1"/>
      <c r="O81" s="1"/>
      <c r="P81" s="1"/>
      <c r="Q81" s="1"/>
      <c r="R81" s="1"/>
      <c r="S81" s="1"/>
      <c r="T81" s="1"/>
      <c r="U81" s="1"/>
      <c r="V81" s="1"/>
      <c r="W81" s="1"/>
      <c r="X81" s="1"/>
      <c r="Y81" s="1"/>
      <c r="Z81" s="1"/>
      <c r="AA81" s="1"/>
      <c r="AB81" s="1"/>
    </row>
    <row r="82" spans="2:28" s="179" customFormat="1" ht="24.75" customHeight="1">
      <c r="B82" s="191"/>
      <c r="C82" s="192" t="s">
        <v>108</v>
      </c>
      <c r="D82" s="190" t="s">
        <v>57</v>
      </c>
      <c r="E82" s="128">
        <v>37</v>
      </c>
      <c r="F82" s="141">
        <v>0</v>
      </c>
      <c r="G82" s="142">
        <f t="shared" si="4"/>
        <v>0</v>
      </c>
      <c r="H82" s="1"/>
      <c r="I82" s="1"/>
      <c r="J82" s="1"/>
      <c r="K82" s="1"/>
      <c r="L82" s="1"/>
      <c r="M82" s="1"/>
      <c r="N82" s="1"/>
      <c r="O82" s="1"/>
      <c r="P82" s="1"/>
      <c r="Q82" s="1"/>
      <c r="R82" s="1"/>
      <c r="S82" s="1"/>
      <c r="T82" s="1"/>
      <c r="U82" s="1"/>
      <c r="V82" s="1"/>
      <c r="W82" s="1"/>
      <c r="X82" s="1"/>
      <c r="Y82" s="1"/>
      <c r="Z82" s="1"/>
      <c r="AA82" s="1"/>
      <c r="AB82" s="1"/>
    </row>
    <row r="83" spans="2:28" s="179" customFormat="1" ht="19.5" customHeight="1">
      <c r="B83" s="191"/>
      <c r="C83" s="192" t="s">
        <v>109</v>
      </c>
      <c r="D83" s="190" t="s">
        <v>57</v>
      </c>
      <c r="E83" s="128">
        <v>117</v>
      </c>
      <c r="F83" s="141">
        <v>0</v>
      </c>
      <c r="G83" s="142">
        <f t="shared" si="4"/>
        <v>0</v>
      </c>
      <c r="H83" s="1"/>
      <c r="I83" s="1"/>
      <c r="J83" s="1"/>
      <c r="K83" s="1"/>
      <c r="L83" s="1"/>
      <c r="M83" s="1"/>
      <c r="N83" s="1"/>
      <c r="O83" s="1"/>
      <c r="P83" s="1"/>
      <c r="Q83" s="1"/>
      <c r="R83" s="1"/>
      <c r="S83" s="1"/>
      <c r="T83" s="1"/>
      <c r="U83" s="1"/>
      <c r="V83" s="1"/>
      <c r="W83" s="1"/>
      <c r="X83" s="1"/>
      <c r="Y83" s="1"/>
      <c r="Z83" s="1"/>
      <c r="AA83" s="1"/>
      <c r="AB83" s="1"/>
    </row>
    <row r="84" spans="2:28" s="179" customFormat="1" ht="27.75" customHeight="1">
      <c r="B84" s="191"/>
      <c r="C84" s="192" t="s">
        <v>110</v>
      </c>
      <c r="D84" s="190" t="s">
        <v>57</v>
      </c>
      <c r="E84" s="128">
        <v>13</v>
      </c>
      <c r="F84" s="141">
        <v>0</v>
      </c>
      <c r="G84" s="142">
        <f t="shared" si="4"/>
        <v>0</v>
      </c>
      <c r="H84" s="1"/>
      <c r="I84" s="1"/>
      <c r="J84" s="1"/>
      <c r="K84" s="1"/>
      <c r="L84" s="1"/>
      <c r="M84" s="1"/>
      <c r="N84" s="1"/>
      <c r="O84" s="1"/>
      <c r="P84" s="1"/>
      <c r="Q84" s="1"/>
      <c r="R84" s="1"/>
      <c r="S84" s="1"/>
      <c r="T84" s="1"/>
      <c r="U84" s="1"/>
      <c r="V84" s="1"/>
      <c r="W84" s="1"/>
      <c r="X84" s="1"/>
      <c r="Y84" s="1"/>
      <c r="Z84" s="1"/>
      <c r="AA84" s="1"/>
      <c r="AB84" s="1"/>
    </row>
    <row r="85" spans="2:28" ht="36">
      <c r="B85" s="2404" t="s">
        <v>111</v>
      </c>
      <c r="C85" s="193" t="s">
        <v>112</v>
      </c>
      <c r="D85" s="194"/>
      <c r="E85" s="128"/>
      <c r="F85" s="141"/>
      <c r="G85" s="142"/>
      <c r="H85" s="1"/>
    </row>
    <row r="86" spans="2:28">
      <c r="B86" s="2405"/>
      <c r="C86" s="195" t="s">
        <v>113</v>
      </c>
      <c r="D86" s="194" t="s">
        <v>57</v>
      </c>
      <c r="E86" s="128">
        <v>370</v>
      </c>
      <c r="F86" s="141">
        <v>0</v>
      </c>
      <c r="G86" s="142">
        <f t="shared" ref="G86:G90" si="5">E86*F86</f>
        <v>0</v>
      </c>
      <c r="H86" s="1"/>
    </row>
    <row r="87" spans="2:28" ht="36">
      <c r="B87" s="196">
        <v>2</v>
      </c>
      <c r="C87" s="197" t="s">
        <v>114</v>
      </c>
      <c r="D87" s="145" t="s">
        <v>57</v>
      </c>
      <c r="E87" s="198">
        <v>500</v>
      </c>
      <c r="F87" s="141">
        <v>0</v>
      </c>
      <c r="G87" s="142">
        <f t="shared" si="5"/>
        <v>0</v>
      </c>
      <c r="H87" s="1"/>
    </row>
    <row r="88" spans="2:28" ht="36">
      <c r="B88" s="199" t="s">
        <v>115</v>
      </c>
      <c r="C88" s="197" t="s">
        <v>116</v>
      </c>
      <c r="D88" s="145" t="s">
        <v>57</v>
      </c>
      <c r="E88" s="198">
        <v>500</v>
      </c>
      <c r="F88" s="141">
        <v>0</v>
      </c>
      <c r="G88" s="142">
        <f t="shared" si="5"/>
        <v>0</v>
      </c>
      <c r="H88" s="1"/>
    </row>
    <row r="89" spans="2:28" ht="24">
      <c r="B89" s="199" t="s">
        <v>117</v>
      </c>
      <c r="C89" s="197" t="s">
        <v>118</v>
      </c>
      <c r="D89" s="145" t="s">
        <v>57</v>
      </c>
      <c r="E89" s="198">
        <v>500</v>
      </c>
      <c r="F89" s="141">
        <v>0</v>
      </c>
      <c r="G89" s="142">
        <f t="shared" si="5"/>
        <v>0</v>
      </c>
      <c r="H89" s="1"/>
    </row>
    <row r="90" spans="2:28" ht="36">
      <c r="B90" s="199" t="s">
        <v>119</v>
      </c>
      <c r="C90" s="197" t="s">
        <v>120</v>
      </c>
      <c r="D90" s="145" t="s">
        <v>57</v>
      </c>
      <c r="E90" s="198">
        <v>500</v>
      </c>
      <c r="F90" s="141">
        <v>0</v>
      </c>
      <c r="G90" s="142">
        <f t="shared" si="5"/>
        <v>0</v>
      </c>
      <c r="H90" s="1"/>
    </row>
    <row r="91" spans="2:28" ht="24">
      <c r="B91" s="188">
        <v>3</v>
      </c>
      <c r="C91" s="200" t="s">
        <v>121</v>
      </c>
      <c r="D91" s="127"/>
      <c r="E91" s="128"/>
      <c r="F91" s="129">
        <v>0</v>
      </c>
      <c r="G91" s="130"/>
      <c r="H91" s="1"/>
    </row>
    <row r="92" spans="2:28" s="217" customFormat="1">
      <c r="B92" s="201" t="s">
        <v>122</v>
      </c>
      <c r="C92" s="212" t="s">
        <v>152</v>
      </c>
      <c r="D92" s="213"/>
      <c r="E92" s="214"/>
      <c r="F92" s="215"/>
      <c r="G92" s="216"/>
      <c r="H92" s="1"/>
      <c r="I92" s="1"/>
      <c r="J92" s="1"/>
      <c r="K92" s="1"/>
      <c r="L92" s="1"/>
      <c r="M92" s="1"/>
      <c r="N92" s="1"/>
      <c r="O92" s="1"/>
      <c r="P92" s="1"/>
      <c r="Q92" s="1"/>
      <c r="R92" s="1"/>
      <c r="S92" s="1"/>
      <c r="T92" s="1"/>
      <c r="U92" s="1"/>
      <c r="V92" s="1"/>
      <c r="W92" s="1"/>
      <c r="X92" s="1"/>
      <c r="Y92" s="1"/>
      <c r="Z92" s="1"/>
      <c r="AA92" s="1"/>
      <c r="AB92" s="1"/>
    </row>
    <row r="93" spans="2:28" s="217" customFormat="1">
      <c r="B93" s="218"/>
      <c r="C93" s="212" t="s">
        <v>153</v>
      </c>
      <c r="D93" s="213"/>
      <c r="E93" s="214"/>
      <c r="F93" s="215"/>
      <c r="G93" s="216"/>
      <c r="H93" s="1"/>
      <c r="I93" s="1"/>
      <c r="J93" s="1"/>
      <c r="K93" s="1"/>
      <c r="L93" s="1"/>
      <c r="M93" s="1"/>
      <c r="N93" s="1"/>
      <c r="O93" s="1"/>
      <c r="P93" s="1"/>
      <c r="Q93" s="1"/>
      <c r="R93" s="1"/>
      <c r="S93" s="1"/>
      <c r="T93" s="1"/>
      <c r="U93" s="1"/>
      <c r="V93" s="1"/>
      <c r="W93" s="1"/>
      <c r="X93" s="1"/>
      <c r="Y93" s="1"/>
      <c r="Z93" s="1"/>
      <c r="AA93" s="1"/>
      <c r="AB93" s="1"/>
    </row>
    <row r="94" spans="2:28" s="217" customFormat="1">
      <c r="B94" s="218"/>
      <c r="C94" s="219" t="s">
        <v>129</v>
      </c>
      <c r="D94" s="213" t="s">
        <v>66</v>
      </c>
      <c r="E94" s="214">
        <v>3</v>
      </c>
      <c r="F94" s="220">
        <v>0</v>
      </c>
      <c r="G94" s="221">
        <f t="shared" ref="G94:G103" si="6">E94*F94</f>
        <v>0</v>
      </c>
      <c r="H94" s="1"/>
      <c r="I94" s="1"/>
      <c r="J94" s="1"/>
      <c r="K94" s="1"/>
      <c r="L94" s="1"/>
      <c r="M94" s="1"/>
      <c r="N94" s="1"/>
      <c r="O94" s="1"/>
      <c r="P94" s="1"/>
      <c r="Q94" s="1"/>
      <c r="R94" s="1"/>
      <c r="S94" s="1"/>
      <c r="T94" s="1"/>
      <c r="U94" s="1"/>
      <c r="V94" s="1"/>
      <c r="W94" s="1"/>
      <c r="X94" s="1"/>
      <c r="Y94" s="1"/>
      <c r="Z94" s="1"/>
      <c r="AA94" s="1"/>
      <c r="AB94" s="1"/>
    </row>
    <row r="95" spans="2:28" s="217" customFormat="1" ht="24.75" customHeight="1">
      <c r="B95" s="218"/>
      <c r="C95" s="222" t="s">
        <v>154</v>
      </c>
      <c r="D95" s="213" t="s">
        <v>66</v>
      </c>
      <c r="E95" s="214">
        <v>3</v>
      </c>
      <c r="F95" s="220">
        <v>0</v>
      </c>
      <c r="G95" s="221">
        <f t="shared" si="6"/>
        <v>0</v>
      </c>
      <c r="H95" s="1"/>
      <c r="I95" s="1"/>
      <c r="J95" s="1"/>
      <c r="K95" s="1"/>
      <c r="L95" s="1"/>
      <c r="M95" s="1"/>
      <c r="N95" s="1"/>
      <c r="O95" s="1"/>
      <c r="P95" s="1"/>
      <c r="Q95" s="1"/>
      <c r="R95" s="1"/>
      <c r="S95" s="1"/>
      <c r="T95" s="1"/>
      <c r="U95" s="1"/>
      <c r="V95" s="1"/>
      <c r="W95" s="1"/>
      <c r="X95" s="1"/>
      <c r="Y95" s="1"/>
      <c r="Z95" s="1"/>
      <c r="AA95" s="1"/>
      <c r="AB95" s="1"/>
    </row>
    <row r="96" spans="2:28" s="217" customFormat="1">
      <c r="B96" s="218"/>
      <c r="C96" s="222" t="s">
        <v>155</v>
      </c>
      <c r="D96" s="213" t="s">
        <v>66</v>
      </c>
      <c r="E96" s="214">
        <v>3</v>
      </c>
      <c r="F96" s="220">
        <v>0</v>
      </c>
      <c r="G96" s="221">
        <f t="shared" si="6"/>
        <v>0</v>
      </c>
      <c r="H96" s="1"/>
      <c r="I96" s="1"/>
      <c r="J96" s="1"/>
      <c r="K96" s="1"/>
      <c r="L96" s="1"/>
      <c r="M96" s="1"/>
      <c r="N96" s="1"/>
      <c r="O96" s="1"/>
      <c r="P96" s="1"/>
      <c r="Q96" s="1"/>
      <c r="R96" s="1"/>
      <c r="S96" s="1"/>
      <c r="T96" s="1"/>
      <c r="U96" s="1"/>
      <c r="V96" s="1"/>
      <c r="W96" s="1"/>
      <c r="X96" s="1"/>
      <c r="Y96" s="1"/>
      <c r="Z96" s="1"/>
      <c r="AA96" s="1"/>
      <c r="AB96" s="1"/>
    </row>
    <row r="97" spans="2:28" s="217" customFormat="1">
      <c r="B97" s="218"/>
      <c r="C97" s="222" t="s">
        <v>156</v>
      </c>
      <c r="D97" s="213" t="s">
        <v>66</v>
      </c>
      <c r="E97" s="214">
        <v>3</v>
      </c>
      <c r="F97" s="220">
        <v>0</v>
      </c>
      <c r="G97" s="221">
        <f t="shared" si="6"/>
        <v>0</v>
      </c>
      <c r="H97" s="1"/>
      <c r="I97" s="1"/>
      <c r="J97" s="1"/>
      <c r="K97" s="1"/>
      <c r="L97" s="1"/>
      <c r="M97" s="1"/>
      <c r="N97" s="1"/>
      <c r="O97" s="1"/>
      <c r="P97" s="1"/>
      <c r="Q97" s="1"/>
      <c r="R97" s="1"/>
      <c r="S97" s="1"/>
      <c r="T97" s="1"/>
      <c r="U97" s="1"/>
      <c r="V97" s="1"/>
      <c r="W97" s="1"/>
      <c r="X97" s="1"/>
      <c r="Y97" s="1"/>
      <c r="Z97" s="1"/>
      <c r="AA97" s="1"/>
      <c r="AB97" s="1"/>
    </row>
    <row r="98" spans="2:28" s="217" customFormat="1">
      <c r="B98" s="218"/>
      <c r="C98" s="222" t="s">
        <v>157</v>
      </c>
      <c r="D98" s="213" t="s">
        <v>66</v>
      </c>
      <c r="E98" s="214">
        <v>3</v>
      </c>
      <c r="F98" s="220">
        <v>0</v>
      </c>
      <c r="G98" s="221">
        <f t="shared" si="6"/>
        <v>0</v>
      </c>
      <c r="H98" s="1"/>
      <c r="I98" s="1"/>
      <c r="J98" s="1"/>
      <c r="K98" s="1"/>
      <c r="L98" s="1"/>
      <c r="M98" s="1"/>
      <c r="N98" s="1"/>
      <c r="O98" s="1"/>
      <c r="P98" s="1"/>
      <c r="Q98" s="1"/>
      <c r="R98" s="1"/>
      <c r="S98" s="1"/>
      <c r="T98" s="1"/>
      <c r="U98" s="1"/>
      <c r="V98" s="1"/>
      <c r="W98" s="1"/>
      <c r="X98" s="1"/>
      <c r="Y98" s="1"/>
      <c r="Z98" s="1"/>
      <c r="AA98" s="1"/>
      <c r="AB98" s="1"/>
    </row>
    <row r="99" spans="2:28" s="217" customFormat="1">
      <c r="B99" s="218"/>
      <c r="C99" s="234" t="s">
        <v>158</v>
      </c>
      <c r="D99" s="213" t="s">
        <v>66</v>
      </c>
      <c r="E99" s="214">
        <v>3</v>
      </c>
      <c r="F99" s="220">
        <v>0</v>
      </c>
      <c r="G99" s="221">
        <f t="shared" si="6"/>
        <v>0</v>
      </c>
      <c r="H99" s="1"/>
      <c r="I99" s="1"/>
      <c r="J99" s="1"/>
      <c r="K99" s="1"/>
      <c r="L99" s="1"/>
      <c r="M99" s="1"/>
      <c r="N99" s="1"/>
      <c r="O99" s="1"/>
      <c r="P99" s="1"/>
      <c r="Q99" s="1"/>
      <c r="R99" s="1"/>
      <c r="S99" s="1"/>
      <c r="T99" s="1"/>
      <c r="U99" s="1"/>
      <c r="V99" s="1"/>
      <c r="W99" s="1"/>
      <c r="X99" s="1"/>
      <c r="Y99" s="1"/>
      <c r="Z99" s="1"/>
      <c r="AA99" s="1"/>
      <c r="AB99" s="1"/>
    </row>
    <row r="100" spans="2:28" s="217" customFormat="1">
      <c r="B100" s="218"/>
      <c r="C100" s="234" t="s">
        <v>132</v>
      </c>
      <c r="D100" s="213" t="s">
        <v>66</v>
      </c>
      <c r="E100" s="214">
        <v>6</v>
      </c>
      <c r="F100" s="220">
        <v>0</v>
      </c>
      <c r="G100" s="221">
        <f t="shared" si="6"/>
        <v>0</v>
      </c>
      <c r="H100" s="1"/>
      <c r="I100" s="1"/>
      <c r="J100" s="1"/>
      <c r="K100" s="1"/>
      <c r="L100" s="1"/>
      <c r="M100" s="1"/>
      <c r="N100" s="1"/>
      <c r="O100" s="1"/>
      <c r="P100" s="1"/>
      <c r="Q100" s="1"/>
      <c r="R100" s="1"/>
      <c r="S100" s="1"/>
      <c r="T100" s="1"/>
      <c r="U100" s="1"/>
      <c r="V100" s="1"/>
      <c r="W100" s="1"/>
      <c r="X100" s="1"/>
      <c r="Y100" s="1"/>
      <c r="Z100" s="1"/>
      <c r="AA100" s="1"/>
      <c r="AB100" s="1"/>
    </row>
    <row r="101" spans="2:28" s="217" customFormat="1">
      <c r="B101" s="218"/>
      <c r="C101" s="234" t="s">
        <v>148</v>
      </c>
      <c r="D101" s="213" t="s">
        <v>66</v>
      </c>
      <c r="E101" s="214">
        <v>6</v>
      </c>
      <c r="F101" s="220">
        <v>0</v>
      </c>
      <c r="G101" s="221">
        <f t="shared" si="6"/>
        <v>0</v>
      </c>
      <c r="H101" s="1"/>
      <c r="I101" s="1"/>
      <c r="J101" s="1"/>
      <c r="K101" s="1"/>
      <c r="L101" s="1"/>
      <c r="M101" s="1"/>
      <c r="N101" s="1"/>
      <c r="O101" s="1"/>
      <c r="P101" s="1"/>
      <c r="Q101" s="1"/>
      <c r="R101" s="1"/>
      <c r="S101" s="1"/>
      <c r="T101" s="1"/>
      <c r="U101" s="1"/>
      <c r="V101" s="1"/>
      <c r="W101" s="1"/>
      <c r="X101" s="1"/>
      <c r="Y101" s="1"/>
      <c r="Z101" s="1"/>
      <c r="AA101" s="1"/>
      <c r="AB101" s="1"/>
    </row>
    <row r="102" spans="2:28" s="217" customFormat="1">
      <c r="B102" s="218"/>
      <c r="C102" s="234" t="s">
        <v>150</v>
      </c>
      <c r="D102" s="213" t="s">
        <v>66</v>
      </c>
      <c r="E102" s="214">
        <v>3</v>
      </c>
      <c r="F102" s="220">
        <v>0</v>
      </c>
      <c r="G102" s="221">
        <f t="shared" si="6"/>
        <v>0</v>
      </c>
      <c r="H102" s="1"/>
      <c r="I102" s="1"/>
      <c r="J102" s="1"/>
      <c r="K102" s="1"/>
      <c r="L102" s="1"/>
      <c r="M102" s="1"/>
      <c r="N102" s="1"/>
      <c r="O102" s="1"/>
      <c r="P102" s="1"/>
      <c r="Q102" s="1"/>
      <c r="R102" s="1"/>
      <c r="S102" s="1"/>
      <c r="T102" s="1"/>
      <c r="U102" s="1"/>
      <c r="V102" s="1"/>
      <c r="W102" s="1"/>
      <c r="X102" s="1"/>
      <c r="Y102" s="1"/>
      <c r="Z102" s="1"/>
      <c r="AA102" s="1"/>
      <c r="AB102" s="1"/>
    </row>
    <row r="103" spans="2:28" s="217" customFormat="1">
      <c r="B103" s="218"/>
      <c r="C103" s="235" t="s">
        <v>135</v>
      </c>
      <c r="D103" s="213" t="s">
        <v>66</v>
      </c>
      <c r="E103" s="214">
        <v>3</v>
      </c>
      <c r="F103" s="220">
        <v>0</v>
      </c>
      <c r="G103" s="221">
        <f t="shared" si="6"/>
        <v>0</v>
      </c>
      <c r="H103" s="1"/>
      <c r="I103" s="1"/>
      <c r="J103" s="1"/>
      <c r="K103" s="1"/>
      <c r="L103" s="1"/>
      <c r="M103" s="1"/>
      <c r="N103" s="1"/>
      <c r="O103" s="1"/>
      <c r="P103" s="1"/>
      <c r="Q103" s="1"/>
      <c r="R103" s="1"/>
      <c r="S103" s="1"/>
      <c r="T103" s="1"/>
      <c r="U103" s="1"/>
      <c r="V103" s="1"/>
      <c r="W103" s="1"/>
      <c r="X103" s="1"/>
      <c r="Y103" s="1"/>
      <c r="Z103" s="1"/>
      <c r="AA103" s="1"/>
      <c r="AB103" s="1"/>
    </row>
    <row r="104" spans="2:28" s="217" customFormat="1">
      <c r="B104" s="201" t="s">
        <v>126</v>
      </c>
      <c r="C104" s="223" t="s">
        <v>160</v>
      </c>
      <c r="D104" s="224"/>
      <c r="E104" s="225"/>
      <c r="F104" s="226"/>
      <c r="G104" s="227"/>
      <c r="H104" s="1"/>
      <c r="I104" s="1"/>
      <c r="J104" s="1"/>
      <c r="K104" s="1"/>
      <c r="L104" s="1"/>
      <c r="M104" s="1"/>
      <c r="N104" s="1"/>
      <c r="O104" s="1"/>
      <c r="P104" s="1"/>
      <c r="Q104" s="1"/>
      <c r="R104" s="1"/>
      <c r="S104" s="1"/>
      <c r="T104" s="1"/>
      <c r="U104" s="1"/>
      <c r="V104" s="1"/>
      <c r="W104" s="1"/>
      <c r="X104" s="1"/>
      <c r="Y104" s="1"/>
      <c r="Z104" s="1"/>
      <c r="AA104" s="1"/>
      <c r="AB104" s="1"/>
    </row>
    <row r="105" spans="2:28" s="217" customFormat="1">
      <c r="B105" s="218"/>
      <c r="C105" s="223" t="s">
        <v>196</v>
      </c>
      <c r="D105" s="224"/>
      <c r="E105" s="225"/>
      <c r="F105" s="226"/>
      <c r="G105" s="227"/>
      <c r="H105" s="1"/>
      <c r="I105" s="1"/>
      <c r="J105" s="1"/>
      <c r="K105" s="1"/>
      <c r="L105" s="1"/>
      <c r="M105" s="1"/>
      <c r="N105" s="1"/>
      <c r="O105" s="1"/>
      <c r="P105" s="1"/>
      <c r="Q105" s="1"/>
      <c r="R105" s="1"/>
      <c r="S105" s="1"/>
      <c r="T105" s="1"/>
      <c r="U105" s="1"/>
      <c r="V105" s="1"/>
      <c r="W105" s="1"/>
      <c r="X105" s="1"/>
      <c r="Y105" s="1"/>
      <c r="Z105" s="1"/>
      <c r="AA105" s="1"/>
      <c r="AB105" s="1"/>
    </row>
    <row r="106" spans="2:28" s="217" customFormat="1" ht="25.5" customHeight="1">
      <c r="B106" s="218"/>
      <c r="C106" s="228" t="s">
        <v>2067</v>
      </c>
      <c r="D106" s="224" t="s">
        <v>66</v>
      </c>
      <c r="E106" s="225">
        <v>1</v>
      </c>
      <c r="F106" s="229">
        <v>0</v>
      </c>
      <c r="G106" s="230">
        <f t="shared" ref="G106:G110" si="7">E106*F106</f>
        <v>0</v>
      </c>
      <c r="H106" s="1"/>
      <c r="I106" s="1"/>
      <c r="J106" s="1"/>
      <c r="K106" s="1"/>
      <c r="L106" s="1"/>
      <c r="M106" s="1"/>
      <c r="N106" s="1"/>
      <c r="O106" s="1"/>
      <c r="P106" s="1"/>
      <c r="Q106" s="1"/>
      <c r="R106" s="1"/>
      <c r="S106" s="1"/>
      <c r="T106" s="1"/>
      <c r="U106" s="1"/>
      <c r="V106" s="1"/>
      <c r="W106" s="1"/>
      <c r="X106" s="1"/>
      <c r="Y106" s="1"/>
      <c r="Z106" s="1"/>
      <c r="AA106" s="1"/>
      <c r="AB106" s="1"/>
    </row>
    <row r="107" spans="2:28" s="217" customFormat="1">
      <c r="B107" s="218"/>
      <c r="C107" s="232" t="s">
        <v>132</v>
      </c>
      <c r="D107" s="224" t="s">
        <v>66</v>
      </c>
      <c r="E107" s="225">
        <v>3</v>
      </c>
      <c r="F107" s="229">
        <v>0</v>
      </c>
      <c r="G107" s="230">
        <f t="shared" si="7"/>
        <v>0</v>
      </c>
      <c r="H107" s="1"/>
      <c r="I107" s="1"/>
      <c r="J107" s="1"/>
      <c r="K107" s="1"/>
      <c r="L107" s="1"/>
      <c r="M107" s="1"/>
      <c r="N107" s="1"/>
      <c r="O107" s="1"/>
      <c r="P107" s="1"/>
      <c r="Q107" s="1"/>
      <c r="R107" s="1"/>
      <c r="S107" s="1"/>
      <c r="T107" s="1"/>
      <c r="U107" s="1"/>
      <c r="V107" s="1"/>
      <c r="W107" s="1"/>
      <c r="X107" s="1"/>
      <c r="Y107" s="1"/>
      <c r="Z107" s="1"/>
      <c r="AA107" s="1"/>
      <c r="AB107" s="1"/>
    </row>
    <row r="108" spans="2:28" s="217" customFormat="1">
      <c r="B108" s="218"/>
      <c r="C108" s="232" t="s">
        <v>148</v>
      </c>
      <c r="D108" s="224" t="s">
        <v>66</v>
      </c>
      <c r="E108" s="225">
        <v>3</v>
      </c>
      <c r="F108" s="229">
        <v>0</v>
      </c>
      <c r="G108" s="230">
        <f t="shared" si="7"/>
        <v>0</v>
      </c>
      <c r="H108" s="1"/>
      <c r="I108" s="1"/>
      <c r="J108" s="1"/>
      <c r="K108" s="1"/>
      <c r="L108" s="1"/>
      <c r="M108" s="1"/>
      <c r="N108" s="1"/>
      <c r="O108" s="1"/>
      <c r="P108" s="1"/>
      <c r="Q108" s="1"/>
      <c r="R108" s="1"/>
      <c r="S108" s="1"/>
      <c r="T108" s="1"/>
      <c r="U108" s="1"/>
      <c r="V108" s="1"/>
      <c r="W108" s="1"/>
      <c r="X108" s="1"/>
      <c r="Y108" s="1"/>
      <c r="Z108" s="1"/>
      <c r="AA108" s="1"/>
      <c r="AB108" s="1"/>
    </row>
    <row r="109" spans="2:28" s="217" customFormat="1">
      <c r="B109" s="218"/>
      <c r="C109" s="232" t="s">
        <v>150</v>
      </c>
      <c r="D109" s="224" t="s">
        <v>66</v>
      </c>
      <c r="E109" s="225">
        <v>1</v>
      </c>
      <c r="F109" s="229">
        <v>0</v>
      </c>
      <c r="G109" s="230">
        <f t="shared" si="7"/>
        <v>0</v>
      </c>
      <c r="H109" s="1"/>
      <c r="I109" s="1"/>
      <c r="J109" s="1"/>
      <c r="K109" s="1"/>
      <c r="L109" s="1"/>
      <c r="M109" s="1"/>
      <c r="N109" s="1"/>
      <c r="O109" s="1"/>
      <c r="P109" s="1"/>
      <c r="Q109" s="1"/>
      <c r="R109" s="1"/>
      <c r="S109" s="1"/>
      <c r="T109" s="1"/>
      <c r="U109" s="1"/>
      <c r="V109" s="1"/>
      <c r="W109" s="1"/>
      <c r="X109" s="1"/>
      <c r="Y109" s="1"/>
      <c r="Z109" s="1"/>
      <c r="AA109" s="1"/>
      <c r="AB109" s="1"/>
    </row>
    <row r="110" spans="2:28" s="217" customFormat="1">
      <c r="B110" s="218"/>
      <c r="C110" s="233" t="s">
        <v>135</v>
      </c>
      <c r="D110" s="224" t="s">
        <v>66</v>
      </c>
      <c r="E110" s="225">
        <v>1</v>
      </c>
      <c r="F110" s="229">
        <v>0</v>
      </c>
      <c r="G110" s="230">
        <f t="shared" si="7"/>
        <v>0</v>
      </c>
      <c r="H110" s="1"/>
      <c r="I110" s="1"/>
      <c r="J110" s="1"/>
      <c r="K110" s="1"/>
      <c r="L110" s="1"/>
      <c r="M110" s="1"/>
      <c r="N110" s="1"/>
      <c r="O110" s="1"/>
      <c r="P110" s="1"/>
      <c r="Q110" s="1"/>
      <c r="R110" s="1"/>
      <c r="S110" s="1"/>
      <c r="T110" s="1"/>
      <c r="U110" s="1"/>
      <c r="V110" s="1"/>
      <c r="W110" s="1"/>
      <c r="X110" s="1"/>
      <c r="Y110" s="1"/>
      <c r="Z110" s="1"/>
      <c r="AA110" s="1"/>
      <c r="AB110" s="1"/>
    </row>
    <row r="111" spans="2:28" s="217" customFormat="1">
      <c r="B111" s="201" t="s">
        <v>136</v>
      </c>
      <c r="C111" s="238" t="s">
        <v>169</v>
      </c>
      <c r="D111" s="239"/>
      <c r="E111" s="240"/>
      <c r="F111" s="241"/>
      <c r="G111" s="242"/>
      <c r="H111" s="1"/>
      <c r="I111" s="1"/>
      <c r="J111" s="1"/>
      <c r="K111" s="1"/>
      <c r="L111" s="1"/>
      <c r="M111" s="1"/>
      <c r="N111" s="1"/>
      <c r="O111" s="1"/>
      <c r="P111" s="1"/>
      <c r="Q111" s="1"/>
      <c r="R111" s="1"/>
      <c r="S111" s="1"/>
      <c r="T111" s="1"/>
      <c r="U111" s="1"/>
      <c r="V111" s="1"/>
      <c r="W111" s="1"/>
      <c r="X111" s="1"/>
      <c r="Y111" s="1"/>
      <c r="Z111" s="1"/>
      <c r="AA111" s="1"/>
      <c r="AB111" s="1"/>
    </row>
    <row r="112" spans="2:28" s="217" customFormat="1">
      <c r="B112" s="218"/>
      <c r="C112" s="238" t="s">
        <v>198</v>
      </c>
      <c r="D112" s="239"/>
      <c r="E112" s="240"/>
      <c r="F112" s="241"/>
      <c r="G112" s="242"/>
      <c r="H112" s="1"/>
      <c r="I112" s="1"/>
      <c r="J112" s="1"/>
      <c r="K112" s="1"/>
      <c r="L112" s="1"/>
      <c r="M112" s="1"/>
      <c r="N112" s="1"/>
      <c r="O112" s="1"/>
      <c r="P112" s="1"/>
      <c r="Q112" s="1"/>
      <c r="R112" s="1"/>
      <c r="S112" s="1"/>
      <c r="T112" s="1"/>
      <c r="U112" s="1"/>
      <c r="V112" s="1"/>
      <c r="W112" s="1"/>
      <c r="X112" s="1"/>
      <c r="Y112" s="1"/>
      <c r="Z112" s="1"/>
      <c r="AA112" s="1"/>
      <c r="AB112" s="1"/>
    </row>
    <row r="113" spans="2:28" s="217" customFormat="1" ht="39" customHeight="1">
      <c r="B113" s="218"/>
      <c r="C113" s="243" t="s">
        <v>2065</v>
      </c>
      <c r="D113" s="239" t="s">
        <v>66</v>
      </c>
      <c r="E113" s="240">
        <v>2</v>
      </c>
      <c r="F113" s="244">
        <v>0</v>
      </c>
      <c r="G113" s="245">
        <f t="shared" ref="G113:G115" si="8">E113*F113</f>
        <v>0</v>
      </c>
      <c r="H113" s="1"/>
      <c r="I113" s="1"/>
      <c r="J113" s="1"/>
      <c r="K113" s="1"/>
      <c r="L113" s="1"/>
      <c r="M113" s="1"/>
      <c r="N113" s="1"/>
      <c r="O113" s="1"/>
      <c r="P113" s="1"/>
      <c r="Q113" s="1"/>
      <c r="R113" s="1"/>
      <c r="S113" s="1"/>
      <c r="T113" s="1"/>
      <c r="U113" s="1"/>
      <c r="V113" s="1"/>
      <c r="W113" s="1"/>
      <c r="X113" s="1"/>
      <c r="Y113" s="1"/>
      <c r="Z113" s="1"/>
      <c r="AA113" s="1"/>
      <c r="AB113" s="1"/>
    </row>
    <row r="114" spans="2:28" s="217" customFormat="1">
      <c r="B114" s="218"/>
      <c r="C114" s="246" t="s">
        <v>171</v>
      </c>
      <c r="D114" s="239" t="s">
        <v>66</v>
      </c>
      <c r="E114" s="240">
        <v>2</v>
      </c>
      <c r="F114" s="244">
        <v>0</v>
      </c>
      <c r="G114" s="245">
        <f t="shared" si="8"/>
        <v>0</v>
      </c>
      <c r="H114" s="1"/>
      <c r="I114" s="1"/>
      <c r="J114" s="1"/>
      <c r="K114" s="1"/>
      <c r="L114" s="1"/>
      <c r="M114" s="1"/>
      <c r="N114" s="1"/>
      <c r="O114" s="1"/>
      <c r="P114" s="1"/>
      <c r="Q114" s="1"/>
      <c r="R114" s="1"/>
      <c r="S114" s="1"/>
      <c r="T114" s="1"/>
      <c r="U114" s="1"/>
      <c r="V114" s="1"/>
      <c r="W114" s="1"/>
      <c r="X114" s="1"/>
      <c r="Y114" s="1"/>
      <c r="Z114" s="1"/>
      <c r="AA114" s="1"/>
      <c r="AB114" s="1"/>
    </row>
    <row r="115" spans="2:28" s="217" customFormat="1">
      <c r="B115" s="218"/>
      <c r="C115" s="247" t="s">
        <v>135</v>
      </c>
      <c r="D115" s="239" t="s">
        <v>66</v>
      </c>
      <c r="E115" s="240">
        <v>2</v>
      </c>
      <c r="F115" s="244">
        <v>0</v>
      </c>
      <c r="G115" s="245">
        <f t="shared" si="8"/>
        <v>0</v>
      </c>
      <c r="H115" s="1"/>
      <c r="I115" s="1"/>
      <c r="J115" s="1"/>
      <c r="K115" s="1"/>
      <c r="L115" s="1"/>
      <c r="M115" s="1"/>
      <c r="N115" s="1"/>
      <c r="O115" s="1"/>
      <c r="P115" s="1"/>
      <c r="Q115" s="1"/>
      <c r="R115" s="1"/>
      <c r="S115" s="1"/>
      <c r="T115" s="1"/>
      <c r="U115" s="1"/>
      <c r="V115" s="1"/>
      <c r="W115" s="1"/>
      <c r="X115" s="1"/>
      <c r="Y115" s="1"/>
      <c r="Z115" s="1"/>
      <c r="AA115" s="1"/>
      <c r="AB115" s="1"/>
    </row>
    <row r="116" spans="2:28" s="217" customFormat="1">
      <c r="B116" s="218"/>
      <c r="C116" s="238" t="s">
        <v>170</v>
      </c>
      <c r="D116" s="239"/>
      <c r="E116" s="240"/>
      <c r="F116" s="241"/>
      <c r="G116" s="242"/>
      <c r="H116" s="1"/>
      <c r="I116" s="1"/>
      <c r="J116" s="1"/>
      <c r="K116" s="1"/>
      <c r="L116" s="1"/>
      <c r="M116" s="1"/>
      <c r="N116" s="1"/>
      <c r="O116" s="1"/>
      <c r="P116" s="1"/>
      <c r="Q116" s="1"/>
      <c r="R116" s="1"/>
      <c r="S116" s="1"/>
      <c r="T116" s="1"/>
      <c r="U116" s="1"/>
      <c r="V116" s="1"/>
      <c r="W116" s="1"/>
      <c r="X116" s="1"/>
      <c r="Y116" s="1"/>
      <c r="Z116" s="1"/>
      <c r="AA116" s="1"/>
      <c r="AB116" s="1"/>
    </row>
    <row r="117" spans="2:28" s="217" customFormat="1" ht="39.75" customHeight="1">
      <c r="B117" s="218"/>
      <c r="C117" s="243" t="s">
        <v>2063</v>
      </c>
      <c r="D117" s="239" t="s">
        <v>66</v>
      </c>
      <c r="E117" s="240">
        <v>5</v>
      </c>
      <c r="F117" s="244">
        <v>0</v>
      </c>
      <c r="G117" s="245">
        <f t="shared" ref="G117:G119" si="9">E117*F117</f>
        <v>0</v>
      </c>
      <c r="H117" s="1"/>
      <c r="I117" s="1"/>
      <c r="J117" s="1"/>
      <c r="K117" s="1"/>
      <c r="L117" s="1"/>
      <c r="M117" s="1"/>
      <c r="N117" s="1"/>
      <c r="O117" s="1"/>
      <c r="P117" s="1"/>
      <c r="Q117" s="1"/>
      <c r="R117" s="1"/>
      <c r="S117" s="1"/>
      <c r="T117" s="1"/>
      <c r="U117" s="1"/>
      <c r="V117" s="1"/>
      <c r="W117" s="1"/>
      <c r="X117" s="1"/>
      <c r="Y117" s="1"/>
      <c r="Z117" s="1"/>
      <c r="AA117" s="1"/>
      <c r="AB117" s="1"/>
    </row>
    <row r="118" spans="2:28" s="217" customFormat="1">
      <c r="B118" s="218"/>
      <c r="C118" s="246" t="s">
        <v>171</v>
      </c>
      <c r="D118" s="239" t="s">
        <v>66</v>
      </c>
      <c r="E118" s="240">
        <v>5</v>
      </c>
      <c r="F118" s="244">
        <v>0</v>
      </c>
      <c r="G118" s="245">
        <f t="shared" si="9"/>
        <v>0</v>
      </c>
      <c r="H118" s="1"/>
      <c r="I118" s="1"/>
      <c r="J118" s="1"/>
      <c r="K118" s="1"/>
      <c r="L118" s="1"/>
      <c r="M118" s="1"/>
      <c r="N118" s="1"/>
      <c r="O118" s="1"/>
      <c r="P118" s="1"/>
      <c r="Q118" s="1"/>
      <c r="R118" s="1"/>
      <c r="S118" s="1"/>
      <c r="T118" s="1"/>
      <c r="U118" s="1"/>
      <c r="V118" s="1"/>
      <c r="W118" s="1"/>
      <c r="X118" s="1"/>
      <c r="Y118" s="1"/>
      <c r="Z118" s="1"/>
      <c r="AA118" s="1"/>
      <c r="AB118" s="1"/>
    </row>
    <row r="119" spans="2:28" s="217" customFormat="1">
      <c r="B119" s="218"/>
      <c r="C119" s="247" t="s">
        <v>135</v>
      </c>
      <c r="D119" s="239" t="s">
        <v>66</v>
      </c>
      <c r="E119" s="240">
        <v>5</v>
      </c>
      <c r="F119" s="244">
        <v>0</v>
      </c>
      <c r="G119" s="245">
        <f t="shared" si="9"/>
        <v>0</v>
      </c>
      <c r="H119" s="1"/>
      <c r="I119" s="1"/>
      <c r="J119" s="1"/>
      <c r="K119" s="1"/>
      <c r="L119" s="1"/>
      <c r="M119" s="1"/>
      <c r="N119" s="1"/>
      <c r="O119" s="1"/>
      <c r="P119" s="1"/>
      <c r="Q119" s="1"/>
      <c r="R119" s="1"/>
      <c r="S119" s="1"/>
      <c r="T119" s="1"/>
      <c r="U119" s="1"/>
      <c r="V119" s="1"/>
      <c r="W119" s="1"/>
      <c r="X119" s="1"/>
      <c r="Y119" s="1"/>
      <c r="Z119" s="1"/>
      <c r="AA119" s="1"/>
      <c r="AB119" s="1"/>
    </row>
    <row r="120" spans="2:28">
      <c r="B120" s="201" t="s">
        <v>151</v>
      </c>
      <c r="C120" s="248" t="s">
        <v>173</v>
      </c>
      <c r="D120" s="249"/>
      <c r="E120" s="250"/>
      <c r="F120" s="251"/>
      <c r="G120" s="252"/>
      <c r="H120" s="1"/>
    </row>
    <row r="121" spans="2:28" s="217" customFormat="1" ht="63" customHeight="1">
      <c r="B121" s="218"/>
      <c r="C121" s="253" t="s">
        <v>174</v>
      </c>
      <c r="D121" s="254" t="s">
        <v>66</v>
      </c>
      <c r="E121" s="255">
        <v>1</v>
      </c>
      <c r="F121" s="256">
        <v>0</v>
      </c>
      <c r="G121" s="257">
        <f t="shared" ref="G121" si="10">E121*F121</f>
        <v>0</v>
      </c>
      <c r="H121" s="1"/>
      <c r="I121" s="1"/>
      <c r="J121" s="1"/>
      <c r="K121" s="1"/>
      <c r="L121" s="1"/>
      <c r="M121" s="1"/>
      <c r="N121" s="1"/>
      <c r="O121" s="1"/>
      <c r="P121" s="1"/>
      <c r="Q121" s="1"/>
      <c r="R121" s="1"/>
      <c r="S121" s="1"/>
      <c r="T121" s="1"/>
      <c r="U121" s="1"/>
      <c r="V121" s="1"/>
      <c r="W121" s="1"/>
      <c r="X121" s="1"/>
      <c r="Y121" s="1"/>
      <c r="Z121" s="1"/>
      <c r="AA121" s="1"/>
      <c r="AB121" s="1"/>
    </row>
    <row r="122" spans="2:28" s="179" customFormat="1" ht="16.5" customHeight="1">
      <c r="B122" s="258" t="s">
        <v>47</v>
      </c>
      <c r="C122" s="259" t="s">
        <v>175</v>
      </c>
      <c r="D122" s="260"/>
      <c r="E122" s="261"/>
      <c r="F122" s="262"/>
      <c r="G122" s="263">
        <f>SUM(G80:G121)</f>
        <v>0</v>
      </c>
      <c r="H122" s="1"/>
      <c r="I122" s="1"/>
      <c r="J122" s="1"/>
      <c r="K122" s="1"/>
      <c r="L122" s="1"/>
      <c r="M122" s="1"/>
      <c r="N122" s="1"/>
      <c r="O122" s="1"/>
      <c r="P122" s="1"/>
      <c r="Q122" s="1"/>
      <c r="R122" s="1"/>
      <c r="S122" s="1"/>
      <c r="T122" s="1"/>
      <c r="U122" s="1"/>
      <c r="V122" s="1"/>
      <c r="W122" s="1"/>
      <c r="X122" s="1"/>
      <c r="Y122" s="1"/>
      <c r="Z122" s="1"/>
      <c r="AA122" s="1"/>
      <c r="AB122" s="1"/>
    </row>
    <row r="123" spans="2:28">
      <c r="H123" s="1"/>
    </row>
    <row r="124" spans="2:28">
      <c r="H124" s="1"/>
    </row>
    <row r="125" spans="2:28">
      <c r="H125" s="1"/>
    </row>
    <row r="126" spans="2:28">
      <c r="H126" s="1"/>
    </row>
    <row r="127" spans="2:28">
      <c r="H127" s="1"/>
    </row>
    <row r="128" spans="2:2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0" min="1"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D0E6-FC94-4FF5-A972-5DBD61BE4DEF}">
  <sheetPr>
    <tabColor rgb="FF00B0F0"/>
  </sheetPr>
  <dimension ref="A2:Y201"/>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855468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1446</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1452</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1453</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G69</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G201</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1500</v>
      </c>
      <c r="F26" s="1082">
        <v>0</v>
      </c>
      <c r="G26" s="1083">
        <f t="shared" ref="G26" si="0">E26*F26</f>
        <v>0</v>
      </c>
    </row>
    <row r="27" spans="2:25">
      <c r="B27" s="125">
        <v>2</v>
      </c>
      <c r="C27" s="144" t="s">
        <v>58</v>
      </c>
      <c r="D27" s="140" t="s">
        <v>57</v>
      </c>
      <c r="E27" s="1081">
        <f>E26</f>
        <v>1500</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27.75" customHeight="1">
      <c r="B31" s="125">
        <v>6</v>
      </c>
      <c r="C31" s="1084" t="s">
        <v>63</v>
      </c>
      <c r="D31" s="140" t="s">
        <v>57</v>
      </c>
      <c r="E31" s="1081">
        <f>E26</f>
        <v>1500</v>
      </c>
      <c r="F31" s="1082">
        <v>0</v>
      </c>
      <c r="G31" s="1083">
        <f t="shared" si="1"/>
        <v>0</v>
      </c>
    </row>
    <row r="32" spans="2:25" ht="52.5" customHeight="1">
      <c r="B32" s="125">
        <v>7</v>
      </c>
      <c r="C32" s="1084" t="s">
        <v>64</v>
      </c>
      <c r="D32" s="146" t="s">
        <v>60</v>
      </c>
      <c r="E32" s="1081">
        <v>1</v>
      </c>
      <c r="F32" s="1082">
        <v>0</v>
      </c>
      <c r="G32" s="1083">
        <f t="shared" si="1"/>
        <v>0</v>
      </c>
    </row>
    <row r="33" spans="1:25" ht="53.25" customHeight="1">
      <c r="B33" s="125">
        <v>8</v>
      </c>
      <c r="C33" s="1080" t="s">
        <v>2292</v>
      </c>
      <c r="D33" s="146" t="s">
        <v>66</v>
      </c>
      <c r="E33" s="1081">
        <v>54</v>
      </c>
      <c r="F33" s="1082">
        <v>0</v>
      </c>
      <c r="G33" s="1083">
        <f t="shared" si="1"/>
        <v>0</v>
      </c>
    </row>
    <row r="34" spans="1:25" ht="36">
      <c r="B34" s="125">
        <v>9</v>
      </c>
      <c r="C34" s="1080" t="s">
        <v>2295</v>
      </c>
      <c r="D34" s="146" t="s">
        <v>57</v>
      </c>
      <c r="E34" s="1081">
        <f>E26+E87+E88</f>
        <v>1743</v>
      </c>
      <c r="F34" s="1082">
        <v>0</v>
      </c>
      <c r="G34" s="1083">
        <f t="shared" si="1"/>
        <v>0</v>
      </c>
    </row>
    <row r="35" spans="1:25" ht="24">
      <c r="B35" s="125">
        <v>10</v>
      </c>
      <c r="C35" s="1080" t="s">
        <v>2293</v>
      </c>
      <c r="D35" s="146" t="s">
        <v>57</v>
      </c>
      <c r="E35" s="1081">
        <f>E26+E87+E88</f>
        <v>1743</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5.5" customHeight="1">
      <c r="A46" s="1"/>
      <c r="B46" s="167">
        <v>1</v>
      </c>
      <c r="C46" s="139" t="s">
        <v>73</v>
      </c>
      <c r="D46" s="140" t="s">
        <v>74</v>
      </c>
      <c r="E46" s="1091">
        <v>50</v>
      </c>
      <c r="F46" s="1092">
        <v>0</v>
      </c>
      <c r="G46" s="1093">
        <f t="shared" ref="G46:G67"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405</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2295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2250</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1500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1800</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900</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35</v>
      </c>
      <c r="F53" s="1092">
        <v>0</v>
      </c>
      <c r="G53" s="1083">
        <f t="shared" si="2"/>
        <v>0</v>
      </c>
      <c r="I53" s="1"/>
      <c r="J53" s="1"/>
      <c r="K53" s="1"/>
      <c r="L53" s="1"/>
      <c r="M53" s="1"/>
      <c r="N53" s="1"/>
      <c r="O53" s="1"/>
      <c r="P53" s="1"/>
      <c r="Q53" s="1"/>
      <c r="R53" s="1"/>
      <c r="S53" s="1"/>
      <c r="T53" s="1"/>
      <c r="U53" s="1"/>
      <c r="V53" s="1"/>
      <c r="W53" s="1"/>
      <c r="X53" s="1"/>
      <c r="Y53" s="1"/>
    </row>
    <row r="54" spans="1:25" s="8" customFormat="1" ht="24">
      <c r="A54" s="1"/>
      <c r="B54" s="167">
        <v>9</v>
      </c>
      <c r="C54" s="1095" t="s">
        <v>1391</v>
      </c>
      <c r="D54" s="140" t="s">
        <v>78</v>
      </c>
      <c r="E54" s="1094">
        <f>E26*1.2</f>
        <v>1800</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16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52.5" customHeight="1">
      <c r="A56" s="1"/>
      <c r="B56" s="717">
        <v>11</v>
      </c>
      <c r="C56" s="397" t="s">
        <v>879</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14.25" customHeight="1">
      <c r="A57" s="1"/>
      <c r="B57" s="167">
        <v>12</v>
      </c>
      <c r="C57" s="139" t="s">
        <v>264</v>
      </c>
      <c r="D57" s="145" t="s">
        <v>74</v>
      </c>
      <c r="E57" s="128">
        <f>E47+E48+(E54*0.06)-E51</f>
        <v>1008</v>
      </c>
      <c r="F57" s="1092">
        <v>0</v>
      </c>
      <c r="G57" s="142">
        <f t="shared" si="2"/>
        <v>0</v>
      </c>
      <c r="I57" s="1"/>
      <c r="J57" s="1"/>
      <c r="K57" s="1"/>
      <c r="L57" s="1"/>
      <c r="M57" s="1"/>
      <c r="N57" s="1"/>
      <c r="O57" s="1"/>
      <c r="P57" s="1"/>
      <c r="Q57" s="1"/>
      <c r="R57" s="1"/>
      <c r="S57" s="1"/>
      <c r="T57" s="1"/>
      <c r="U57" s="1"/>
      <c r="V57" s="1"/>
      <c r="W57" s="1"/>
      <c r="X57" s="1"/>
      <c r="Y57" s="1"/>
    </row>
    <row r="58" spans="1:25" s="8" customFormat="1">
      <c r="A58" s="1"/>
      <c r="B58" s="717">
        <v>13</v>
      </c>
      <c r="C58" s="139" t="s">
        <v>265</v>
      </c>
      <c r="D58" s="145" t="s">
        <v>74</v>
      </c>
      <c r="E58" s="128">
        <f>E57</f>
        <v>1008</v>
      </c>
      <c r="F58" s="1092">
        <v>0</v>
      </c>
      <c r="G58" s="142">
        <f t="shared" si="2"/>
        <v>0</v>
      </c>
      <c r="I58" s="1"/>
      <c r="J58" s="1"/>
      <c r="K58" s="1"/>
      <c r="L58" s="1"/>
      <c r="M58" s="1"/>
      <c r="N58" s="1"/>
      <c r="O58" s="1"/>
      <c r="P58" s="1"/>
      <c r="Q58" s="1"/>
      <c r="R58" s="1"/>
      <c r="S58" s="1"/>
      <c r="T58" s="1"/>
      <c r="U58" s="1"/>
      <c r="V58" s="1"/>
      <c r="W58" s="1"/>
      <c r="X58" s="1"/>
      <c r="Y58" s="1"/>
    </row>
    <row r="59" spans="1:25" s="8" customFormat="1" ht="27.75" customHeight="1">
      <c r="A59" s="1"/>
      <c r="B59" s="167">
        <v>14</v>
      </c>
      <c r="C59" s="126" t="s">
        <v>95</v>
      </c>
      <c r="D59" s="140" t="s">
        <v>74</v>
      </c>
      <c r="E59" s="1094">
        <f>E26*0.75*0.1</f>
        <v>112.5</v>
      </c>
      <c r="F59" s="1092">
        <v>0</v>
      </c>
      <c r="G59" s="1083">
        <f t="shared" si="2"/>
        <v>0</v>
      </c>
      <c r="I59" s="1"/>
      <c r="J59" s="1"/>
      <c r="K59" s="1"/>
      <c r="L59" s="1"/>
      <c r="M59" s="1"/>
      <c r="N59" s="1"/>
      <c r="O59" s="1"/>
      <c r="P59" s="1"/>
      <c r="Q59" s="1"/>
      <c r="R59" s="1"/>
      <c r="S59" s="1"/>
      <c r="T59" s="1"/>
      <c r="U59" s="1"/>
      <c r="V59" s="1"/>
      <c r="W59" s="1"/>
      <c r="X59" s="1"/>
      <c r="Y59" s="1"/>
    </row>
    <row r="60" spans="1:25" s="8" customFormat="1" ht="55.5" customHeight="1">
      <c r="A60" s="1"/>
      <c r="B60" s="2408">
        <v>15</v>
      </c>
      <c r="C60" s="126" t="s">
        <v>292</v>
      </c>
      <c r="D60" s="140" t="s">
        <v>66</v>
      </c>
      <c r="E60" s="1094">
        <v>3</v>
      </c>
      <c r="F60" s="1092">
        <v>0</v>
      </c>
      <c r="G60" s="1083">
        <f>F60*E60</f>
        <v>0</v>
      </c>
      <c r="I60" s="1"/>
      <c r="J60" s="1"/>
      <c r="K60" s="1"/>
      <c r="L60" s="1"/>
      <c r="M60" s="1"/>
      <c r="N60" s="1"/>
      <c r="O60" s="1"/>
      <c r="P60" s="1"/>
      <c r="Q60" s="1"/>
      <c r="R60" s="1"/>
      <c r="S60" s="1"/>
      <c r="T60" s="1"/>
      <c r="U60" s="1"/>
      <c r="V60" s="1"/>
      <c r="W60" s="1"/>
      <c r="X60" s="1"/>
      <c r="Y60" s="1"/>
    </row>
    <row r="61" spans="1:25" s="8" customFormat="1" ht="12.75" customHeight="1">
      <c r="A61" s="1"/>
      <c r="B61" s="2607"/>
      <c r="C61" s="195" t="s">
        <v>293</v>
      </c>
      <c r="D61" s="194" t="s">
        <v>57</v>
      </c>
      <c r="E61" s="128">
        <v>13</v>
      </c>
      <c r="F61" s="141"/>
      <c r="G61" s="142"/>
      <c r="I61" s="1"/>
      <c r="J61" s="1"/>
      <c r="K61" s="1"/>
      <c r="L61" s="1"/>
      <c r="M61" s="1"/>
      <c r="N61" s="1"/>
      <c r="O61" s="1"/>
      <c r="P61" s="1"/>
      <c r="Q61" s="1"/>
      <c r="R61" s="1"/>
      <c r="S61" s="1"/>
      <c r="T61" s="1"/>
      <c r="U61" s="1"/>
      <c r="V61" s="1"/>
      <c r="W61" s="1"/>
      <c r="X61" s="1"/>
      <c r="Y61" s="1"/>
    </row>
    <row r="62" spans="1:25" s="8" customFormat="1" ht="12.75" customHeight="1">
      <c r="A62" s="1"/>
      <c r="B62" s="2608"/>
      <c r="C62" s="195" t="s">
        <v>294</v>
      </c>
      <c r="D62" s="194" t="s">
        <v>57</v>
      </c>
      <c r="E62" s="128">
        <v>26</v>
      </c>
      <c r="F62" s="141"/>
      <c r="G62" s="142"/>
      <c r="I62" s="1"/>
      <c r="J62" s="1"/>
      <c r="K62" s="1"/>
      <c r="L62" s="1"/>
      <c r="M62" s="1"/>
      <c r="N62" s="1"/>
      <c r="O62" s="1"/>
      <c r="P62" s="1"/>
      <c r="Q62" s="1"/>
      <c r="R62" s="1"/>
      <c r="S62" s="1"/>
      <c r="T62" s="1"/>
      <c r="U62" s="1"/>
      <c r="V62" s="1"/>
      <c r="W62" s="1"/>
      <c r="X62" s="1"/>
      <c r="Y62" s="1"/>
    </row>
    <row r="63" spans="1:25" s="8" customFormat="1" ht="24">
      <c r="A63" s="1"/>
      <c r="B63" s="717">
        <v>16</v>
      </c>
      <c r="C63" s="177" t="s">
        <v>96</v>
      </c>
      <c r="D63" s="140" t="s">
        <v>57</v>
      </c>
      <c r="E63" s="1094">
        <v>25</v>
      </c>
      <c r="F63" s="1082">
        <v>0</v>
      </c>
      <c r="G63" s="1083">
        <f t="shared" si="2"/>
        <v>0</v>
      </c>
      <c r="I63" s="1"/>
      <c r="J63" s="1"/>
      <c r="K63" s="1"/>
      <c r="L63" s="1"/>
      <c r="M63" s="1"/>
      <c r="N63" s="1"/>
      <c r="O63" s="1"/>
      <c r="P63" s="1"/>
      <c r="Q63" s="1"/>
      <c r="R63" s="1"/>
      <c r="S63" s="1"/>
      <c r="T63" s="1"/>
      <c r="U63" s="1"/>
      <c r="V63" s="1"/>
      <c r="W63" s="1"/>
      <c r="X63" s="1"/>
      <c r="Y63" s="1"/>
    </row>
    <row r="64" spans="1:25" s="8" customFormat="1" ht="48">
      <c r="A64" s="1"/>
      <c r="B64" s="717">
        <v>17</v>
      </c>
      <c r="C64" s="1096" t="s">
        <v>1393</v>
      </c>
      <c r="D64" s="182" t="s">
        <v>74</v>
      </c>
      <c r="E64" s="1097">
        <v>12</v>
      </c>
      <c r="F64" s="1082">
        <v>0</v>
      </c>
      <c r="G64" s="1083">
        <f t="shared" si="2"/>
        <v>0</v>
      </c>
      <c r="I64" s="1"/>
      <c r="J64" s="1"/>
      <c r="K64" s="1"/>
      <c r="L64" s="1"/>
      <c r="M64" s="1"/>
      <c r="N64" s="1"/>
      <c r="O64" s="1"/>
      <c r="P64" s="1"/>
      <c r="Q64" s="1"/>
      <c r="R64" s="1"/>
      <c r="S64" s="1"/>
      <c r="T64" s="1"/>
      <c r="U64" s="1"/>
      <c r="V64" s="1"/>
      <c r="W64" s="1"/>
      <c r="X64" s="1"/>
      <c r="Y64" s="1"/>
    </row>
    <row r="65" spans="1:25" s="8" customFormat="1" ht="39" customHeight="1">
      <c r="A65" s="1"/>
      <c r="B65" s="717">
        <v>18</v>
      </c>
      <c r="C65" s="1096" t="s">
        <v>270</v>
      </c>
      <c r="D65" s="182" t="s">
        <v>66</v>
      </c>
      <c r="E65" s="1097">
        <v>66</v>
      </c>
      <c r="F65" s="1082">
        <v>0</v>
      </c>
      <c r="G65" s="1083">
        <f t="shared" si="2"/>
        <v>0</v>
      </c>
      <c r="I65" s="1"/>
      <c r="J65" s="1"/>
      <c r="K65" s="1"/>
      <c r="L65" s="1"/>
      <c r="M65" s="1"/>
      <c r="N65" s="1"/>
      <c r="O65" s="1"/>
      <c r="P65" s="1"/>
      <c r="Q65" s="1"/>
      <c r="R65" s="1"/>
      <c r="S65" s="1"/>
      <c r="T65" s="1"/>
      <c r="U65" s="1"/>
      <c r="V65" s="1"/>
      <c r="W65" s="1"/>
      <c r="X65" s="1"/>
      <c r="Y65" s="1"/>
    </row>
    <row r="66" spans="1:25" s="8" customFormat="1" ht="36">
      <c r="A66" s="1"/>
      <c r="B66" s="717">
        <v>19</v>
      </c>
      <c r="C66" s="1096" t="s">
        <v>99</v>
      </c>
      <c r="D66" s="182" t="s">
        <v>74</v>
      </c>
      <c r="E66" s="1097">
        <v>6</v>
      </c>
      <c r="F66" s="1082">
        <v>0</v>
      </c>
      <c r="G66" s="1083">
        <f t="shared" si="2"/>
        <v>0</v>
      </c>
      <c r="I66" s="1"/>
      <c r="J66" s="1"/>
      <c r="K66" s="1"/>
      <c r="L66" s="1"/>
      <c r="M66" s="1"/>
      <c r="N66" s="1"/>
      <c r="O66" s="1"/>
      <c r="P66" s="1"/>
      <c r="Q66" s="1"/>
      <c r="R66" s="1"/>
      <c r="S66" s="1"/>
      <c r="T66" s="1"/>
      <c r="U66" s="1"/>
      <c r="V66" s="1"/>
      <c r="W66" s="1"/>
      <c r="X66" s="1"/>
      <c r="Y66" s="1"/>
    </row>
    <row r="67" spans="1:25" s="8" customFormat="1" ht="27.75" customHeight="1">
      <c r="A67" s="1"/>
      <c r="B67" s="717">
        <v>20</v>
      </c>
      <c r="C67" s="1096" t="s">
        <v>100</v>
      </c>
      <c r="D67" s="182" t="s">
        <v>65</v>
      </c>
      <c r="E67" s="1097">
        <v>32</v>
      </c>
      <c r="F67" s="1082">
        <v>0</v>
      </c>
      <c r="G67" s="1083">
        <f t="shared" si="2"/>
        <v>0</v>
      </c>
      <c r="I67" s="1"/>
      <c r="J67" s="1"/>
      <c r="K67" s="1"/>
      <c r="L67" s="1"/>
      <c r="M67" s="1"/>
      <c r="N67" s="1"/>
      <c r="O67" s="1"/>
      <c r="P67" s="1"/>
      <c r="Q67" s="1"/>
      <c r="R67" s="1"/>
      <c r="S67" s="1"/>
      <c r="T67" s="1"/>
      <c r="U67" s="1"/>
      <c r="V67" s="1"/>
      <c r="W67" s="1"/>
      <c r="X67" s="1"/>
      <c r="Y67" s="1"/>
    </row>
    <row r="68" spans="1:25" s="8" customFormat="1">
      <c r="A68" s="1"/>
      <c r="B68" s="167"/>
      <c r="C68" s="1098"/>
      <c r="D68" s="1099"/>
      <c r="E68" s="1100"/>
      <c r="F68" s="1101"/>
      <c r="G68" s="1102"/>
      <c r="I68" s="1"/>
      <c r="J68" s="1"/>
      <c r="K68" s="1"/>
      <c r="L68" s="1"/>
      <c r="M68" s="1"/>
      <c r="N68" s="1"/>
      <c r="O68" s="1"/>
      <c r="P68" s="1"/>
      <c r="Q68" s="1"/>
      <c r="R68" s="1"/>
      <c r="S68" s="1"/>
      <c r="T68" s="1"/>
      <c r="U68" s="1"/>
      <c r="V68" s="1"/>
      <c r="W68" s="1"/>
      <c r="X68" s="1"/>
      <c r="Y68" s="1"/>
    </row>
    <row r="69" spans="1:25" s="8" customFormat="1">
      <c r="A69" s="1"/>
      <c r="B69" s="151" t="s">
        <v>45</v>
      </c>
      <c r="C69" s="1086" t="s">
        <v>101</v>
      </c>
      <c r="D69" s="1103"/>
      <c r="E69" s="1088"/>
      <c r="F69" s="1089"/>
      <c r="G69" s="263">
        <f>SUM(G46:G67)</f>
        <v>0</v>
      </c>
      <c r="I69" s="1"/>
      <c r="J69" s="1"/>
      <c r="K69" s="1"/>
      <c r="L69" s="1"/>
      <c r="M69" s="1"/>
      <c r="N69" s="1"/>
      <c r="O69" s="1"/>
      <c r="P69" s="1"/>
      <c r="Q69" s="1"/>
      <c r="R69" s="1"/>
      <c r="S69" s="1"/>
      <c r="T69" s="1"/>
      <c r="U69" s="1"/>
      <c r="V69" s="1"/>
      <c r="W69" s="1"/>
      <c r="X69" s="1"/>
      <c r="Y69" s="1"/>
    </row>
    <row r="70" spans="1:25" s="8" customFormat="1">
      <c r="A70" s="1"/>
      <c r="B70" s="67"/>
      <c r="C70" s="68"/>
      <c r="D70" s="1188"/>
      <c r="E70" s="1104"/>
      <c r="F70" s="1105"/>
      <c r="G70" s="1106"/>
      <c r="I70" s="1"/>
      <c r="J70" s="1"/>
      <c r="K70" s="1"/>
      <c r="L70" s="1"/>
      <c r="M70" s="1"/>
      <c r="N70" s="1"/>
      <c r="O70" s="1"/>
      <c r="P70" s="1"/>
      <c r="Q70" s="1"/>
      <c r="R70" s="1"/>
      <c r="S70" s="1"/>
      <c r="T70" s="1"/>
      <c r="U70" s="1"/>
      <c r="V70" s="1"/>
      <c r="W70" s="1"/>
      <c r="X70" s="1"/>
      <c r="Y70" s="1"/>
    </row>
    <row r="71" spans="1:25" s="8" customFormat="1" ht="24">
      <c r="A71" s="1"/>
      <c r="B71" s="119" t="s">
        <v>50</v>
      </c>
      <c r="C71" s="120" t="s">
        <v>51</v>
      </c>
      <c r="D71" s="120" t="s">
        <v>52</v>
      </c>
      <c r="E71" s="122" t="s">
        <v>53</v>
      </c>
      <c r="F71" s="123" t="s">
        <v>54</v>
      </c>
      <c r="G71" s="124" t="s">
        <v>55</v>
      </c>
      <c r="I71" s="1"/>
      <c r="J71" s="1"/>
      <c r="K71" s="1"/>
      <c r="L71" s="1"/>
      <c r="M71" s="1"/>
      <c r="N71" s="1"/>
      <c r="O71" s="1"/>
      <c r="P71" s="1"/>
      <c r="Q71" s="1"/>
      <c r="R71" s="1"/>
      <c r="S71" s="1"/>
      <c r="T71" s="1"/>
      <c r="U71" s="1"/>
      <c r="V71" s="1"/>
      <c r="W71" s="1"/>
      <c r="X71" s="1"/>
      <c r="Y71" s="1"/>
    </row>
    <row r="72" spans="1:25" s="8" customFormat="1">
      <c r="A72" s="1"/>
      <c r="B72" s="125"/>
      <c r="C72" s="126"/>
      <c r="D72" s="140"/>
      <c r="E72" s="719"/>
      <c r="F72" s="1107"/>
      <c r="G72" s="731"/>
      <c r="I72" s="1"/>
      <c r="J72" s="1"/>
      <c r="K72" s="1"/>
      <c r="L72" s="1"/>
      <c r="M72" s="1"/>
      <c r="N72" s="1"/>
      <c r="O72" s="1"/>
      <c r="P72" s="1"/>
      <c r="Q72" s="1"/>
      <c r="R72" s="1"/>
      <c r="S72" s="1"/>
      <c r="T72" s="1"/>
      <c r="U72" s="1"/>
      <c r="V72" s="1"/>
      <c r="W72" s="1"/>
      <c r="X72" s="1"/>
      <c r="Y72" s="1"/>
    </row>
    <row r="73" spans="1:25" s="8" customFormat="1" ht="20.25">
      <c r="A73" s="1"/>
      <c r="B73" s="186" t="s">
        <v>47</v>
      </c>
      <c r="C73" s="187" t="s">
        <v>48</v>
      </c>
      <c r="D73" s="165"/>
      <c r="E73" s="134"/>
      <c r="F73" s="135"/>
      <c r="G73" s="136"/>
      <c r="I73" s="1"/>
      <c r="J73" s="1"/>
      <c r="K73" s="1"/>
      <c r="L73" s="1"/>
      <c r="M73" s="1"/>
      <c r="N73" s="1"/>
      <c r="O73" s="1"/>
      <c r="P73" s="1"/>
      <c r="Q73" s="1"/>
      <c r="R73" s="1"/>
      <c r="S73" s="1"/>
      <c r="T73" s="1"/>
      <c r="U73" s="1"/>
      <c r="V73" s="1"/>
      <c r="W73" s="1"/>
      <c r="X73" s="1"/>
      <c r="Y73" s="1"/>
    </row>
    <row r="74" spans="1:25" s="8" customFormat="1">
      <c r="A74" s="1"/>
      <c r="B74" s="1108" t="s">
        <v>38</v>
      </c>
      <c r="C74" s="1109"/>
      <c r="D74" s="2235"/>
      <c r="E74" s="1109"/>
      <c r="F74" s="1109"/>
      <c r="G74" s="1110"/>
      <c r="I74" s="1"/>
      <c r="J74" s="1"/>
      <c r="K74" s="1"/>
      <c r="L74" s="1"/>
      <c r="M74" s="1"/>
      <c r="N74" s="1"/>
      <c r="O74" s="1"/>
      <c r="P74" s="1"/>
      <c r="Q74" s="1"/>
      <c r="R74" s="1"/>
      <c r="S74" s="1"/>
      <c r="T74" s="1"/>
      <c r="U74" s="1"/>
      <c r="V74" s="1"/>
      <c r="W74" s="1"/>
      <c r="X74" s="1"/>
      <c r="Y74" s="1"/>
    </row>
    <row r="75" spans="1:25" s="8" customFormat="1">
      <c r="A75" s="1"/>
      <c r="B75" s="1111" t="s">
        <v>39</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1108" t="s">
        <v>4</v>
      </c>
      <c r="C76" s="1109"/>
      <c r="D76" s="2237"/>
      <c r="E76" s="1109"/>
      <c r="F76" s="1109"/>
      <c r="G76" s="1110"/>
      <c r="I76" s="1"/>
      <c r="J76" s="1"/>
      <c r="K76" s="1"/>
      <c r="L76" s="1"/>
      <c r="M76" s="1"/>
      <c r="N76" s="1"/>
      <c r="O76" s="1"/>
      <c r="P76" s="1"/>
      <c r="Q76" s="1"/>
      <c r="R76" s="1"/>
      <c r="S76" s="1"/>
      <c r="T76" s="1"/>
      <c r="U76" s="1"/>
      <c r="V76" s="1"/>
      <c r="W76" s="1"/>
      <c r="X76" s="1"/>
      <c r="Y76" s="1"/>
    </row>
    <row r="77" spans="1:25" s="8" customFormat="1">
      <c r="A77" s="1"/>
      <c r="B77" s="1111" t="s">
        <v>5</v>
      </c>
      <c r="C77" s="1112"/>
      <c r="D77" s="2236"/>
      <c r="E77" s="1112"/>
      <c r="F77" s="1112"/>
      <c r="G77" s="1113"/>
      <c r="I77" s="1"/>
      <c r="J77" s="1"/>
      <c r="K77" s="1"/>
      <c r="L77" s="1"/>
      <c r="M77" s="1"/>
      <c r="N77" s="1"/>
      <c r="O77" s="1"/>
      <c r="P77" s="1"/>
      <c r="Q77" s="1"/>
      <c r="R77" s="1"/>
      <c r="S77" s="1"/>
      <c r="T77" s="1"/>
      <c r="U77" s="1"/>
      <c r="V77" s="1"/>
      <c r="W77" s="1"/>
      <c r="X77" s="1"/>
      <c r="Y77" s="1"/>
    </row>
    <row r="78" spans="1:25" s="8" customFormat="1">
      <c r="A78" s="1"/>
      <c r="B78" s="2399" t="s">
        <v>271</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2399" t="s">
        <v>104</v>
      </c>
      <c r="C79" s="2400"/>
      <c r="D79" s="2400"/>
      <c r="E79" s="2400"/>
      <c r="F79" s="2400"/>
      <c r="G79" s="2401"/>
      <c r="I79" s="1"/>
      <c r="J79" s="1"/>
      <c r="K79" s="1"/>
      <c r="L79" s="1"/>
      <c r="M79" s="1"/>
      <c r="N79" s="1"/>
      <c r="O79" s="1"/>
      <c r="P79" s="1"/>
      <c r="Q79" s="1"/>
      <c r="R79" s="1"/>
      <c r="S79" s="1"/>
      <c r="T79" s="1"/>
      <c r="U79" s="1"/>
      <c r="V79" s="1"/>
      <c r="W79" s="1"/>
      <c r="X79" s="1"/>
      <c r="Y79" s="1"/>
    </row>
    <row r="80" spans="1:25" s="8" customFormat="1">
      <c r="A80" s="1"/>
      <c r="B80" s="2399" t="s">
        <v>105</v>
      </c>
      <c r="C80" s="2400"/>
      <c r="D80" s="2400"/>
      <c r="E80" s="2400"/>
      <c r="F80" s="2400"/>
      <c r="G80" s="2401"/>
      <c r="I80" s="1"/>
      <c r="J80" s="1"/>
      <c r="K80" s="1"/>
      <c r="L80" s="1"/>
      <c r="M80" s="1"/>
      <c r="N80" s="1"/>
      <c r="O80" s="1"/>
      <c r="P80" s="1"/>
      <c r="Q80" s="1"/>
      <c r="R80" s="1"/>
      <c r="S80" s="1"/>
      <c r="T80" s="1"/>
      <c r="U80" s="1"/>
      <c r="V80" s="1"/>
      <c r="W80" s="1"/>
      <c r="X80" s="1"/>
      <c r="Y80" s="1"/>
    </row>
    <row r="81" spans="1:25" s="8" customFormat="1">
      <c r="A81" s="1"/>
      <c r="B81" s="1115"/>
      <c r="C81" s="1116"/>
      <c r="D81" s="2238"/>
      <c r="E81" s="1116"/>
      <c r="F81" s="1116"/>
      <c r="G81" s="1117"/>
      <c r="I81" s="1"/>
      <c r="J81" s="1"/>
      <c r="K81" s="1"/>
      <c r="L81" s="1"/>
      <c r="M81" s="1"/>
      <c r="N81" s="1"/>
      <c r="O81" s="1"/>
      <c r="P81" s="1"/>
      <c r="Q81" s="1"/>
      <c r="R81" s="1"/>
      <c r="S81" s="1"/>
      <c r="T81" s="1"/>
      <c r="U81" s="1"/>
      <c r="V81" s="1"/>
      <c r="W81" s="1"/>
      <c r="X81" s="1"/>
      <c r="Y81" s="1"/>
    </row>
    <row r="82" spans="1:25" ht="24">
      <c r="B82" s="188">
        <v>1</v>
      </c>
      <c r="C82" s="1156" t="s">
        <v>106</v>
      </c>
      <c r="D82" s="190"/>
      <c r="E82" s="719"/>
      <c r="F82" s="1107"/>
      <c r="G82" s="731"/>
    </row>
    <row r="83" spans="1:25">
      <c r="B83" s="191"/>
      <c r="C83" s="1157" t="s">
        <v>107</v>
      </c>
      <c r="D83" s="190" t="s">
        <v>57</v>
      </c>
      <c r="E83" s="719">
        <f>1036*0.9</f>
        <v>932.4</v>
      </c>
      <c r="F83" s="1092">
        <v>0</v>
      </c>
      <c r="G83" s="1093">
        <f>E83*F83</f>
        <v>0</v>
      </c>
    </row>
    <row r="84" spans="1:25" ht="24">
      <c r="B84" s="191"/>
      <c r="C84" s="1157" t="s">
        <v>884</v>
      </c>
      <c r="D84" s="190" t="s">
        <v>57</v>
      </c>
      <c r="E84" s="719">
        <f>1036*0.1</f>
        <v>103.60000000000001</v>
      </c>
      <c r="F84" s="1092">
        <v>0</v>
      </c>
      <c r="G84" s="1093">
        <f t="shared" ref="G84:G88" si="3">E84*F84</f>
        <v>0</v>
      </c>
    </row>
    <row r="85" spans="1:25">
      <c r="B85" s="191"/>
      <c r="C85" s="1157" t="s">
        <v>226</v>
      </c>
      <c r="D85" s="190" t="s">
        <v>57</v>
      </c>
      <c r="E85" s="719">
        <f>463*0.9</f>
        <v>416.7</v>
      </c>
      <c r="F85" s="1092">
        <v>0</v>
      </c>
      <c r="G85" s="1093">
        <f t="shared" si="3"/>
        <v>0</v>
      </c>
    </row>
    <row r="86" spans="1:25" ht="24">
      <c r="B86" s="191"/>
      <c r="C86" s="1157" t="s">
        <v>227</v>
      </c>
      <c r="D86" s="190" t="s">
        <v>57</v>
      </c>
      <c r="E86" s="719">
        <f>463*0.1</f>
        <v>46.300000000000004</v>
      </c>
      <c r="F86" s="1092">
        <v>0</v>
      </c>
      <c r="G86" s="1093">
        <f t="shared" si="3"/>
        <v>0</v>
      </c>
    </row>
    <row r="87" spans="1:25">
      <c r="B87" s="191"/>
      <c r="C87" s="1157" t="s">
        <v>109</v>
      </c>
      <c r="D87" s="190" t="s">
        <v>57</v>
      </c>
      <c r="E87" s="719">
        <f>243*0.9</f>
        <v>218.70000000000002</v>
      </c>
      <c r="F87" s="1092">
        <v>0</v>
      </c>
      <c r="G87" s="1093">
        <f t="shared" si="3"/>
        <v>0</v>
      </c>
    </row>
    <row r="88" spans="1:25" ht="24">
      <c r="B88" s="191"/>
      <c r="C88" s="1157" t="s">
        <v>110</v>
      </c>
      <c r="D88" s="190" t="s">
        <v>57</v>
      </c>
      <c r="E88" s="719">
        <f>243*0.1</f>
        <v>24.3</v>
      </c>
      <c r="F88" s="1092">
        <v>0</v>
      </c>
      <c r="G88" s="1093">
        <f t="shared" si="3"/>
        <v>0</v>
      </c>
    </row>
    <row r="89" spans="1:25" ht="36">
      <c r="B89" s="2404" t="s">
        <v>111</v>
      </c>
      <c r="C89" s="193" t="s">
        <v>112</v>
      </c>
      <c r="D89" s="194"/>
      <c r="E89" s="719"/>
      <c r="F89" s="1092"/>
      <c r="G89" s="1093"/>
    </row>
    <row r="90" spans="1:25">
      <c r="B90" s="2405"/>
      <c r="C90" s="195" t="s">
        <v>113</v>
      </c>
      <c r="D90" s="194" t="s">
        <v>57</v>
      </c>
      <c r="E90" s="719">
        <v>155</v>
      </c>
      <c r="F90" s="1092">
        <v>0</v>
      </c>
      <c r="G90" s="1093">
        <f t="shared" ref="G90:G96" si="4">E90*F90</f>
        <v>0</v>
      </c>
    </row>
    <row r="91" spans="1:25">
      <c r="B91" s="2405"/>
      <c r="C91" s="195" t="s">
        <v>274</v>
      </c>
      <c r="D91" s="194" t="s">
        <v>57</v>
      </c>
      <c r="E91" s="719">
        <v>69</v>
      </c>
      <c r="F91" s="1092">
        <v>0</v>
      </c>
      <c r="G91" s="1093">
        <f t="shared" si="4"/>
        <v>0</v>
      </c>
    </row>
    <row r="92" spans="1:25">
      <c r="B92" s="2413"/>
      <c r="C92" s="195" t="s">
        <v>275</v>
      </c>
      <c r="D92" s="194" t="s">
        <v>57</v>
      </c>
      <c r="E92" s="719">
        <v>37</v>
      </c>
      <c r="F92" s="1092">
        <v>0</v>
      </c>
      <c r="G92" s="1093">
        <f t="shared" si="4"/>
        <v>0</v>
      </c>
    </row>
    <row r="93" spans="1:25" ht="36">
      <c r="B93" s="196">
        <v>2</v>
      </c>
      <c r="C93" s="197" t="s">
        <v>114</v>
      </c>
      <c r="D93" s="145" t="s">
        <v>57</v>
      </c>
      <c r="E93" s="732">
        <f>SUM(E83:E88)</f>
        <v>1742</v>
      </c>
      <c r="F93" s="1092">
        <v>0</v>
      </c>
      <c r="G93" s="1093">
        <f t="shared" si="4"/>
        <v>0</v>
      </c>
    </row>
    <row r="94" spans="1:25" ht="36">
      <c r="B94" s="199" t="s">
        <v>115</v>
      </c>
      <c r="C94" s="197" t="s">
        <v>116</v>
      </c>
      <c r="D94" s="145" t="s">
        <v>57</v>
      </c>
      <c r="E94" s="732">
        <f>E93</f>
        <v>1742</v>
      </c>
      <c r="F94" s="1092">
        <v>0</v>
      </c>
      <c r="G94" s="1093">
        <f t="shared" si="4"/>
        <v>0</v>
      </c>
    </row>
    <row r="95" spans="1:25" ht="24">
      <c r="B95" s="199" t="s">
        <v>117</v>
      </c>
      <c r="C95" s="197" t="s">
        <v>118</v>
      </c>
      <c r="D95" s="145" t="s">
        <v>57</v>
      </c>
      <c r="E95" s="732">
        <f>E93</f>
        <v>1742</v>
      </c>
      <c r="F95" s="1092">
        <v>0</v>
      </c>
      <c r="G95" s="1093">
        <f t="shared" si="4"/>
        <v>0</v>
      </c>
    </row>
    <row r="96" spans="1:25" ht="36">
      <c r="B96" s="199" t="s">
        <v>119</v>
      </c>
      <c r="C96" s="197" t="s">
        <v>120</v>
      </c>
      <c r="D96" s="145" t="s">
        <v>57</v>
      </c>
      <c r="E96" s="732">
        <f>E93</f>
        <v>1742</v>
      </c>
      <c r="F96" s="1092">
        <v>0</v>
      </c>
      <c r="G96" s="1093">
        <f t="shared" si="4"/>
        <v>0</v>
      </c>
    </row>
    <row r="97" spans="2:7" ht="24">
      <c r="B97" s="188">
        <v>3</v>
      </c>
      <c r="C97" s="200" t="s">
        <v>121</v>
      </c>
      <c r="D97" s="140"/>
      <c r="E97" s="719"/>
      <c r="F97" s="719"/>
      <c r="G97" s="731"/>
    </row>
    <row r="98" spans="2:7">
      <c r="B98" s="201" t="s">
        <v>122</v>
      </c>
      <c r="C98" s="1158" t="s">
        <v>123</v>
      </c>
      <c r="D98" s="209"/>
      <c r="E98" s="204"/>
      <c r="F98" s="205"/>
      <c r="G98" s="206"/>
    </row>
    <row r="99" spans="2:7">
      <c r="B99" s="125"/>
      <c r="C99" s="1158" t="s">
        <v>124</v>
      </c>
      <c r="D99" s="209"/>
      <c r="E99" s="204"/>
      <c r="F99" s="205"/>
      <c r="G99" s="206"/>
    </row>
    <row r="100" spans="2:7">
      <c r="B100" s="207"/>
      <c r="C100" s="1159" t="s">
        <v>199</v>
      </c>
      <c r="D100" s="209" t="s">
        <v>66</v>
      </c>
      <c r="E100" s="204">
        <v>12</v>
      </c>
      <c r="F100" s="210">
        <v>0</v>
      </c>
      <c r="G100" s="211">
        <f t="shared" ref="G100" si="5">E100*F100</f>
        <v>0</v>
      </c>
    </row>
    <row r="101" spans="2:7">
      <c r="B101" s="125"/>
      <c r="C101" s="1158" t="s">
        <v>311</v>
      </c>
      <c r="D101" s="209"/>
      <c r="E101" s="204"/>
      <c r="F101" s="205"/>
      <c r="G101" s="206"/>
    </row>
    <row r="102" spans="2:7">
      <c r="B102" s="207"/>
      <c r="C102" s="1159" t="s">
        <v>313</v>
      </c>
      <c r="D102" s="209" t="s">
        <v>66</v>
      </c>
      <c r="E102" s="204">
        <v>3</v>
      </c>
      <c r="F102" s="210">
        <v>0</v>
      </c>
      <c r="G102" s="211">
        <f t="shared" ref="G102" si="6">E102*F102</f>
        <v>0</v>
      </c>
    </row>
    <row r="103" spans="2:7">
      <c r="B103" s="201" t="s">
        <v>126</v>
      </c>
      <c r="C103" s="212" t="s">
        <v>127</v>
      </c>
      <c r="D103" s="1228"/>
      <c r="E103" s="214"/>
      <c r="F103" s="215">
        <v>0</v>
      </c>
      <c r="G103" s="216"/>
    </row>
    <row r="104" spans="2:7">
      <c r="B104" s="218"/>
      <c r="C104" s="212" t="s">
        <v>128</v>
      </c>
      <c r="D104" s="2239"/>
      <c r="E104" s="736"/>
      <c r="F104" s="1120"/>
      <c r="G104" s="1121"/>
    </row>
    <row r="105" spans="2:7">
      <c r="B105" s="218"/>
      <c r="C105" s="219" t="s">
        <v>129</v>
      </c>
      <c r="D105" s="1228" t="s">
        <v>66</v>
      </c>
      <c r="E105" s="214">
        <v>2</v>
      </c>
      <c r="F105" s="1599">
        <v>0</v>
      </c>
      <c r="G105" s="221">
        <f t="shared" ref="G105:G123" si="7">E105*F105</f>
        <v>0</v>
      </c>
    </row>
    <row r="106" spans="2:7" ht="36">
      <c r="B106" s="218"/>
      <c r="C106" s="222" t="s">
        <v>130</v>
      </c>
      <c r="D106" s="1228" t="s">
        <v>66</v>
      </c>
      <c r="E106" s="214">
        <v>2</v>
      </c>
      <c r="F106" s="1599">
        <v>0</v>
      </c>
      <c r="G106" s="221">
        <f t="shared" si="7"/>
        <v>0</v>
      </c>
    </row>
    <row r="107" spans="2:7">
      <c r="B107" s="218"/>
      <c r="C107" s="222" t="s">
        <v>183</v>
      </c>
      <c r="D107" s="1228" t="s">
        <v>66</v>
      </c>
      <c r="E107" s="214">
        <v>2</v>
      </c>
      <c r="F107" s="1599">
        <v>0</v>
      </c>
      <c r="G107" s="221">
        <f t="shared" si="7"/>
        <v>0</v>
      </c>
    </row>
    <row r="108" spans="2:7">
      <c r="B108" s="218"/>
      <c r="C108" s="222" t="s">
        <v>131</v>
      </c>
      <c r="D108" s="1228" t="s">
        <v>66</v>
      </c>
      <c r="E108" s="214">
        <v>2</v>
      </c>
      <c r="F108" s="1599">
        <v>0</v>
      </c>
      <c r="G108" s="221">
        <f t="shared" si="7"/>
        <v>0</v>
      </c>
    </row>
    <row r="109" spans="2:7">
      <c r="B109" s="218"/>
      <c r="C109" s="222" t="s">
        <v>132</v>
      </c>
      <c r="D109" s="1228" t="s">
        <v>66</v>
      </c>
      <c r="E109" s="214">
        <v>4</v>
      </c>
      <c r="F109" s="1599">
        <v>0</v>
      </c>
      <c r="G109" s="221">
        <f t="shared" si="7"/>
        <v>0</v>
      </c>
    </row>
    <row r="110" spans="2:7">
      <c r="B110" s="218"/>
      <c r="C110" s="222" t="s">
        <v>133</v>
      </c>
      <c r="D110" s="1228" t="s">
        <v>66</v>
      </c>
      <c r="E110" s="214">
        <v>4</v>
      </c>
      <c r="F110" s="1599">
        <v>0</v>
      </c>
      <c r="G110" s="221">
        <f t="shared" si="7"/>
        <v>0</v>
      </c>
    </row>
    <row r="111" spans="2:7">
      <c r="B111" s="218"/>
      <c r="C111" s="222" t="s">
        <v>134</v>
      </c>
      <c r="D111" s="1228" t="s">
        <v>66</v>
      </c>
      <c r="E111" s="214">
        <v>2</v>
      </c>
      <c r="F111" s="1599">
        <v>0</v>
      </c>
      <c r="G111" s="221">
        <f t="shared" si="7"/>
        <v>0</v>
      </c>
    </row>
    <row r="112" spans="2:7">
      <c r="B112" s="218"/>
      <c r="C112" s="222" t="s">
        <v>135</v>
      </c>
      <c r="D112" s="1228" t="s">
        <v>66</v>
      </c>
      <c r="E112" s="214">
        <v>2</v>
      </c>
      <c r="F112" s="1599">
        <v>0</v>
      </c>
      <c r="G112" s="221">
        <f t="shared" si="7"/>
        <v>0</v>
      </c>
    </row>
    <row r="113" spans="2:7">
      <c r="B113" s="218"/>
      <c r="C113" s="212" t="s">
        <v>318</v>
      </c>
      <c r="D113" s="2239"/>
      <c r="E113" s="736"/>
      <c r="F113" s="1599"/>
      <c r="G113" s="221"/>
    </row>
    <row r="114" spans="2:7">
      <c r="B114" s="218"/>
      <c r="C114" s="219" t="s">
        <v>319</v>
      </c>
      <c r="D114" s="1228" t="s">
        <v>66</v>
      </c>
      <c r="E114" s="214">
        <v>2</v>
      </c>
      <c r="F114" s="1599">
        <v>0</v>
      </c>
      <c r="G114" s="221">
        <f t="shared" si="7"/>
        <v>0</v>
      </c>
    </row>
    <row r="115" spans="2:7" ht="36">
      <c r="B115" s="218"/>
      <c r="C115" s="222" t="s">
        <v>283</v>
      </c>
      <c r="D115" s="1228" t="s">
        <v>66</v>
      </c>
      <c r="E115" s="214">
        <v>2</v>
      </c>
      <c r="F115" s="1599">
        <v>0</v>
      </c>
      <c r="G115" s="221">
        <f t="shared" si="7"/>
        <v>0</v>
      </c>
    </row>
    <row r="116" spans="2:7">
      <c r="B116" s="218"/>
      <c r="C116" s="222" t="s">
        <v>183</v>
      </c>
      <c r="D116" s="1228" t="s">
        <v>66</v>
      </c>
      <c r="E116" s="214">
        <v>2</v>
      </c>
      <c r="F116" s="1599">
        <v>0</v>
      </c>
      <c r="G116" s="221">
        <f t="shared" si="7"/>
        <v>0</v>
      </c>
    </row>
    <row r="117" spans="2:7">
      <c r="B117" s="218"/>
      <c r="C117" s="222" t="s">
        <v>131</v>
      </c>
      <c r="D117" s="1228" t="s">
        <v>66</v>
      </c>
      <c r="E117" s="214">
        <v>2</v>
      </c>
      <c r="F117" s="1599">
        <v>0</v>
      </c>
      <c r="G117" s="221">
        <f t="shared" si="7"/>
        <v>0</v>
      </c>
    </row>
    <row r="118" spans="2:7">
      <c r="B118" s="218"/>
      <c r="C118" s="1133" t="s">
        <v>166</v>
      </c>
      <c r="D118" s="1228" t="s">
        <v>66</v>
      </c>
      <c r="E118" s="214">
        <v>4</v>
      </c>
      <c r="F118" s="1599">
        <v>0</v>
      </c>
      <c r="G118" s="221">
        <f t="shared" si="7"/>
        <v>0</v>
      </c>
    </row>
    <row r="119" spans="2:7">
      <c r="B119" s="218"/>
      <c r="C119" s="1133" t="s">
        <v>167</v>
      </c>
      <c r="D119" s="1228" t="s">
        <v>66</v>
      </c>
      <c r="E119" s="214">
        <v>4</v>
      </c>
      <c r="F119" s="1599">
        <v>0</v>
      </c>
      <c r="G119" s="221">
        <f t="shared" si="7"/>
        <v>0</v>
      </c>
    </row>
    <row r="120" spans="2:7">
      <c r="B120" s="218"/>
      <c r="C120" s="1133" t="s">
        <v>229</v>
      </c>
      <c r="D120" s="1228" t="s">
        <v>66</v>
      </c>
      <c r="E120" s="214">
        <v>4</v>
      </c>
      <c r="F120" s="1599">
        <v>0</v>
      </c>
      <c r="G120" s="221">
        <f t="shared" si="7"/>
        <v>0</v>
      </c>
    </row>
    <row r="121" spans="2:7">
      <c r="B121" s="218"/>
      <c r="C121" s="1133" t="s">
        <v>230</v>
      </c>
      <c r="D121" s="1228" t="s">
        <v>66</v>
      </c>
      <c r="E121" s="214">
        <v>4</v>
      </c>
      <c r="F121" s="1599">
        <v>0</v>
      </c>
      <c r="G121" s="221">
        <f t="shared" si="7"/>
        <v>0</v>
      </c>
    </row>
    <row r="122" spans="2:7">
      <c r="B122" s="218"/>
      <c r="C122" s="1133" t="s">
        <v>134</v>
      </c>
      <c r="D122" s="1228" t="s">
        <v>66</v>
      </c>
      <c r="E122" s="214">
        <v>2</v>
      </c>
      <c r="F122" s="1599">
        <v>0</v>
      </c>
      <c r="G122" s="221">
        <f t="shared" si="7"/>
        <v>0</v>
      </c>
    </row>
    <row r="123" spans="2:7">
      <c r="B123" s="218"/>
      <c r="C123" s="1134" t="s">
        <v>135</v>
      </c>
      <c r="D123" s="1228" t="s">
        <v>66</v>
      </c>
      <c r="E123" s="214">
        <v>2</v>
      </c>
      <c r="F123" s="1599">
        <v>0</v>
      </c>
      <c r="G123" s="221">
        <f t="shared" si="7"/>
        <v>0</v>
      </c>
    </row>
    <row r="124" spans="2:7">
      <c r="B124" s="201" t="s">
        <v>136</v>
      </c>
      <c r="C124" s="238" t="s">
        <v>320</v>
      </c>
      <c r="D124" s="260"/>
      <c r="E124" s="240"/>
      <c r="F124" s="241"/>
      <c r="G124" s="242"/>
    </row>
    <row r="125" spans="2:7">
      <c r="B125" s="218"/>
      <c r="C125" s="238" t="s">
        <v>326</v>
      </c>
      <c r="D125" s="185"/>
      <c r="E125" s="741"/>
      <c r="F125" s="1122"/>
      <c r="G125" s="263"/>
    </row>
    <row r="126" spans="2:7" ht="30" customHeight="1">
      <c r="B126" s="218"/>
      <c r="C126" s="1123" t="s">
        <v>322</v>
      </c>
      <c r="D126" s="260" t="s">
        <v>66</v>
      </c>
      <c r="E126" s="240">
        <v>4</v>
      </c>
      <c r="F126" s="1609">
        <v>0</v>
      </c>
      <c r="G126" s="245">
        <f t="shared" ref="G126:G128" si="8">E126*F126</f>
        <v>0</v>
      </c>
    </row>
    <row r="127" spans="2:7">
      <c r="B127" s="218"/>
      <c r="C127" s="1160" t="s">
        <v>325</v>
      </c>
      <c r="D127" s="260" t="s">
        <v>66</v>
      </c>
      <c r="E127" s="240">
        <v>4</v>
      </c>
      <c r="F127" s="1609">
        <v>0</v>
      </c>
      <c r="G127" s="245">
        <f t="shared" si="8"/>
        <v>0</v>
      </c>
    </row>
    <row r="128" spans="2:7">
      <c r="B128" s="218"/>
      <c r="C128" s="1161" t="s">
        <v>135</v>
      </c>
      <c r="D128" s="260" t="s">
        <v>66</v>
      </c>
      <c r="E128" s="240">
        <v>4</v>
      </c>
      <c r="F128" s="1609">
        <v>0</v>
      </c>
      <c r="G128" s="245">
        <f t="shared" si="8"/>
        <v>0</v>
      </c>
    </row>
    <row r="129" spans="2:7">
      <c r="B129" s="201" t="s">
        <v>151</v>
      </c>
      <c r="C129" s="223" t="s">
        <v>137</v>
      </c>
      <c r="D129" s="1232"/>
      <c r="E129" s="225"/>
      <c r="F129" s="226"/>
      <c r="G129" s="227"/>
    </row>
    <row r="130" spans="2:7">
      <c r="B130" s="218"/>
      <c r="C130" s="223" t="s">
        <v>138</v>
      </c>
      <c r="D130" s="2240"/>
      <c r="E130" s="738"/>
      <c r="F130" s="1605"/>
      <c r="G130" s="1125"/>
    </row>
    <row r="131" spans="2:7">
      <c r="B131" s="218"/>
      <c r="C131" s="228" t="s">
        <v>129</v>
      </c>
      <c r="D131" s="1232" t="s">
        <v>66</v>
      </c>
      <c r="E131" s="225">
        <v>1</v>
      </c>
      <c r="F131" s="1603">
        <v>0</v>
      </c>
      <c r="G131" s="230">
        <f t="shared" ref="G131:G146" si="9">E131*F131</f>
        <v>0</v>
      </c>
    </row>
    <row r="132" spans="2:7">
      <c r="B132" s="218"/>
      <c r="C132" s="228" t="s">
        <v>139</v>
      </c>
      <c r="D132" s="1232" t="s">
        <v>66</v>
      </c>
      <c r="E132" s="225">
        <v>2</v>
      </c>
      <c r="F132" s="1603">
        <v>0</v>
      </c>
      <c r="G132" s="230">
        <f t="shared" si="9"/>
        <v>0</v>
      </c>
    </row>
    <row r="133" spans="2:7">
      <c r="B133" s="218"/>
      <c r="C133" s="231" t="s">
        <v>140</v>
      </c>
      <c r="D133" s="1232" t="s">
        <v>66</v>
      </c>
      <c r="E133" s="225">
        <v>1</v>
      </c>
      <c r="F133" s="1603">
        <v>0</v>
      </c>
      <c r="G133" s="230">
        <f t="shared" si="9"/>
        <v>0</v>
      </c>
    </row>
    <row r="134" spans="2:7">
      <c r="B134" s="218"/>
      <c r="C134" s="231" t="s">
        <v>141</v>
      </c>
      <c r="D134" s="1232" t="s">
        <v>66</v>
      </c>
      <c r="E134" s="225">
        <v>1</v>
      </c>
      <c r="F134" s="1603">
        <v>0</v>
      </c>
      <c r="G134" s="230">
        <f t="shared" si="9"/>
        <v>0</v>
      </c>
    </row>
    <row r="135" spans="2:7">
      <c r="B135" s="218"/>
      <c r="C135" s="231" t="s">
        <v>142</v>
      </c>
      <c r="D135" s="1232" t="s">
        <v>66</v>
      </c>
      <c r="E135" s="225">
        <v>1</v>
      </c>
      <c r="F135" s="1603">
        <v>0</v>
      </c>
      <c r="G135" s="230">
        <f t="shared" si="9"/>
        <v>0</v>
      </c>
    </row>
    <row r="136" spans="2:7">
      <c r="B136" s="218"/>
      <c r="C136" s="231" t="s">
        <v>143</v>
      </c>
      <c r="D136" s="1232" t="s">
        <v>66</v>
      </c>
      <c r="E136" s="225">
        <v>1</v>
      </c>
      <c r="F136" s="1603">
        <v>0</v>
      </c>
      <c r="G136" s="230">
        <f t="shared" si="9"/>
        <v>0</v>
      </c>
    </row>
    <row r="137" spans="2:7">
      <c r="B137" s="218"/>
      <c r="C137" s="231" t="s">
        <v>2250</v>
      </c>
      <c r="D137" s="1232" t="s">
        <v>66</v>
      </c>
      <c r="E137" s="225">
        <v>1</v>
      </c>
      <c r="F137" s="1603">
        <v>0</v>
      </c>
      <c r="G137" s="230">
        <f t="shared" si="9"/>
        <v>0</v>
      </c>
    </row>
    <row r="138" spans="2:7">
      <c r="B138" s="218"/>
      <c r="C138" s="231" t="s">
        <v>145</v>
      </c>
      <c r="D138" s="1232" t="s">
        <v>66</v>
      </c>
      <c r="E138" s="225">
        <v>1</v>
      </c>
      <c r="F138" s="1603">
        <v>0</v>
      </c>
      <c r="G138" s="230">
        <f t="shared" si="9"/>
        <v>0</v>
      </c>
    </row>
    <row r="139" spans="2:7">
      <c r="B139" s="218"/>
      <c r="C139" s="231" t="s">
        <v>146</v>
      </c>
      <c r="D139" s="1232" t="s">
        <v>66</v>
      </c>
      <c r="E139" s="225">
        <v>1</v>
      </c>
      <c r="F139" s="1603">
        <v>0</v>
      </c>
      <c r="G139" s="230">
        <f t="shared" si="9"/>
        <v>0</v>
      </c>
    </row>
    <row r="140" spans="2:7">
      <c r="B140" s="218"/>
      <c r="C140" s="739" t="s">
        <v>147</v>
      </c>
      <c r="D140" s="1232" t="s">
        <v>66</v>
      </c>
      <c r="E140" s="225">
        <v>1</v>
      </c>
      <c r="F140" s="1603">
        <v>0</v>
      </c>
      <c r="G140" s="230">
        <f t="shared" si="9"/>
        <v>0</v>
      </c>
    </row>
    <row r="141" spans="2:7">
      <c r="B141" s="218"/>
      <c r="C141" s="739" t="s">
        <v>188</v>
      </c>
      <c r="D141" s="1232" t="s">
        <v>66</v>
      </c>
      <c r="E141" s="225">
        <v>1</v>
      </c>
      <c r="F141" s="1603">
        <v>0</v>
      </c>
      <c r="G141" s="230">
        <f t="shared" si="9"/>
        <v>0</v>
      </c>
    </row>
    <row r="142" spans="2:7">
      <c r="B142" s="218"/>
      <c r="C142" s="739" t="s">
        <v>132</v>
      </c>
      <c r="D142" s="1232" t="s">
        <v>66</v>
      </c>
      <c r="E142" s="225">
        <v>2</v>
      </c>
      <c r="F142" s="1603">
        <v>0</v>
      </c>
      <c r="G142" s="230">
        <f t="shared" si="9"/>
        <v>0</v>
      </c>
    </row>
    <row r="143" spans="2:7">
      <c r="B143" s="218"/>
      <c r="C143" s="739" t="s">
        <v>148</v>
      </c>
      <c r="D143" s="1232" t="s">
        <v>66</v>
      </c>
      <c r="E143" s="225">
        <v>2</v>
      </c>
      <c r="F143" s="1603">
        <v>0</v>
      </c>
      <c r="G143" s="230">
        <f t="shared" si="9"/>
        <v>0</v>
      </c>
    </row>
    <row r="144" spans="2:7">
      <c r="B144" s="218"/>
      <c r="C144" s="739" t="s">
        <v>149</v>
      </c>
      <c r="D144" s="1232" t="s">
        <v>66</v>
      </c>
      <c r="E144" s="225">
        <v>1</v>
      </c>
      <c r="F144" s="1603">
        <v>0</v>
      </c>
      <c r="G144" s="230">
        <f t="shared" si="9"/>
        <v>0</v>
      </c>
    </row>
    <row r="145" spans="2:7">
      <c r="B145" s="218"/>
      <c r="C145" s="739" t="s">
        <v>150</v>
      </c>
      <c r="D145" s="1232" t="s">
        <v>66</v>
      </c>
      <c r="E145" s="225">
        <v>3</v>
      </c>
      <c r="F145" s="1603">
        <v>0</v>
      </c>
      <c r="G145" s="230">
        <f t="shared" si="9"/>
        <v>0</v>
      </c>
    </row>
    <row r="146" spans="2:7">
      <c r="B146" s="218"/>
      <c r="C146" s="740" t="s">
        <v>135</v>
      </c>
      <c r="D146" s="1232" t="s">
        <v>66</v>
      </c>
      <c r="E146" s="225">
        <v>1</v>
      </c>
      <c r="F146" s="1603">
        <v>0</v>
      </c>
      <c r="G146" s="230">
        <f t="shared" si="9"/>
        <v>0</v>
      </c>
    </row>
    <row r="147" spans="2:7">
      <c r="B147" s="201" t="s">
        <v>159</v>
      </c>
      <c r="C147" s="212" t="s">
        <v>152</v>
      </c>
      <c r="D147" s="1228"/>
      <c r="E147" s="214"/>
      <c r="F147" s="215"/>
      <c r="G147" s="216"/>
    </row>
    <row r="148" spans="2:7">
      <c r="B148" s="218"/>
      <c r="C148" s="212" t="s">
        <v>153</v>
      </c>
      <c r="D148" s="2239"/>
      <c r="E148" s="736"/>
      <c r="F148" s="1601"/>
      <c r="G148" s="1121"/>
    </row>
    <row r="149" spans="2:7">
      <c r="B149" s="218"/>
      <c r="C149" s="219" t="s">
        <v>129</v>
      </c>
      <c r="D149" s="1228" t="s">
        <v>66</v>
      </c>
      <c r="E149" s="214">
        <v>6</v>
      </c>
      <c r="F149" s="1599">
        <v>0</v>
      </c>
      <c r="G149" s="221">
        <f t="shared" ref="G149:G159" si="10">E149*F149</f>
        <v>0</v>
      </c>
    </row>
    <row r="150" spans="2:7" ht="24">
      <c r="B150" s="218"/>
      <c r="C150" s="222" t="s">
        <v>154</v>
      </c>
      <c r="D150" s="1228" t="s">
        <v>66</v>
      </c>
      <c r="E150" s="214">
        <v>6</v>
      </c>
      <c r="F150" s="1599">
        <v>0</v>
      </c>
      <c r="G150" s="221">
        <f t="shared" si="10"/>
        <v>0</v>
      </c>
    </row>
    <row r="151" spans="2:7">
      <c r="B151" s="218"/>
      <c r="C151" s="222" t="s">
        <v>155</v>
      </c>
      <c r="D151" s="1228" t="s">
        <v>66</v>
      </c>
      <c r="E151" s="214">
        <v>6</v>
      </c>
      <c r="F151" s="1599">
        <v>0</v>
      </c>
      <c r="G151" s="221">
        <f t="shared" si="10"/>
        <v>0</v>
      </c>
    </row>
    <row r="152" spans="2:7">
      <c r="B152" s="218"/>
      <c r="C152" s="222" t="s">
        <v>330</v>
      </c>
      <c r="D152" s="1228" t="s">
        <v>66</v>
      </c>
      <c r="E152" s="214">
        <v>6</v>
      </c>
      <c r="F152" s="1599">
        <v>0</v>
      </c>
      <c r="G152" s="221">
        <f t="shared" si="10"/>
        <v>0</v>
      </c>
    </row>
    <row r="153" spans="2:7">
      <c r="B153" s="218"/>
      <c r="C153" s="222" t="s">
        <v>157</v>
      </c>
      <c r="D153" s="1228" t="s">
        <v>66</v>
      </c>
      <c r="E153" s="214">
        <v>6</v>
      </c>
      <c r="F153" s="1599">
        <v>0</v>
      </c>
      <c r="G153" s="221">
        <f t="shared" si="10"/>
        <v>0</v>
      </c>
    </row>
    <row r="154" spans="2:7">
      <c r="B154" s="218"/>
      <c r="C154" s="1162" t="s">
        <v>158</v>
      </c>
      <c r="D154" s="1228" t="s">
        <v>66</v>
      </c>
      <c r="E154" s="214">
        <v>6</v>
      </c>
      <c r="F154" s="1599">
        <v>0</v>
      </c>
      <c r="G154" s="221">
        <f t="shared" si="10"/>
        <v>0</v>
      </c>
    </row>
    <row r="155" spans="2:7">
      <c r="B155" s="218"/>
      <c r="C155" s="1162" t="s">
        <v>190</v>
      </c>
      <c r="D155" s="1228" t="s">
        <v>66</v>
      </c>
      <c r="E155" s="214">
        <v>6</v>
      </c>
      <c r="F155" s="1599">
        <v>0</v>
      </c>
      <c r="G155" s="221">
        <f t="shared" si="10"/>
        <v>0</v>
      </c>
    </row>
    <row r="156" spans="2:7">
      <c r="B156" s="218"/>
      <c r="C156" s="1162" t="s">
        <v>132</v>
      </c>
      <c r="D156" s="1228" t="s">
        <v>66</v>
      </c>
      <c r="E156" s="214">
        <v>12</v>
      </c>
      <c r="F156" s="1599">
        <v>0</v>
      </c>
      <c r="G156" s="221">
        <f t="shared" si="10"/>
        <v>0</v>
      </c>
    </row>
    <row r="157" spans="2:7">
      <c r="B157" s="218"/>
      <c r="C157" s="1162" t="s">
        <v>148</v>
      </c>
      <c r="D157" s="1228" t="s">
        <v>66</v>
      </c>
      <c r="E157" s="214">
        <v>12</v>
      </c>
      <c r="F157" s="1599">
        <v>0</v>
      </c>
      <c r="G157" s="221">
        <f t="shared" si="10"/>
        <v>0</v>
      </c>
    </row>
    <row r="158" spans="2:7">
      <c r="B158" s="218"/>
      <c r="C158" s="1162" t="s">
        <v>150</v>
      </c>
      <c r="D158" s="1228" t="s">
        <v>66</v>
      </c>
      <c r="E158" s="214">
        <v>6</v>
      </c>
      <c r="F158" s="1599">
        <v>0</v>
      </c>
      <c r="G158" s="221">
        <f t="shared" si="10"/>
        <v>0</v>
      </c>
    </row>
    <row r="159" spans="2:7">
      <c r="B159" s="218"/>
      <c r="C159" s="1163" t="s">
        <v>135</v>
      </c>
      <c r="D159" s="1228" t="s">
        <v>66</v>
      </c>
      <c r="E159" s="214">
        <v>6</v>
      </c>
      <c r="F159" s="1599">
        <v>0</v>
      </c>
      <c r="G159" s="221">
        <f t="shared" si="10"/>
        <v>0</v>
      </c>
    </row>
    <row r="160" spans="2:7" ht="24">
      <c r="B160" s="199" t="s">
        <v>331</v>
      </c>
      <c r="C160" s="212" t="s">
        <v>332</v>
      </c>
      <c r="D160" s="2239" t="s">
        <v>66</v>
      </c>
      <c r="E160" s="736">
        <v>6</v>
      </c>
      <c r="F160" s="1126">
        <v>0</v>
      </c>
      <c r="G160" s="1121">
        <f t="shared" ref="G160" si="11">E160*F160</f>
        <v>0</v>
      </c>
    </row>
    <row r="161" spans="2:7">
      <c r="B161" s="201" t="s">
        <v>168</v>
      </c>
      <c r="C161" s="223" t="s">
        <v>886</v>
      </c>
      <c r="D161" s="1232"/>
      <c r="E161" s="225"/>
      <c r="F161" s="226"/>
      <c r="G161" s="227"/>
    </row>
    <row r="162" spans="2:7">
      <c r="B162" s="218"/>
      <c r="C162" s="223" t="s">
        <v>220</v>
      </c>
      <c r="D162" s="2240"/>
      <c r="E162" s="738"/>
      <c r="F162" s="1605"/>
      <c r="G162" s="1608"/>
    </row>
    <row r="163" spans="2:7" ht="24">
      <c r="B163" s="218"/>
      <c r="C163" s="228" t="s">
        <v>2249</v>
      </c>
      <c r="D163" s="1232" t="s">
        <v>66</v>
      </c>
      <c r="E163" s="225">
        <v>1</v>
      </c>
      <c r="F163" s="1768">
        <v>0</v>
      </c>
      <c r="G163" s="1714">
        <f t="shared" ref="G163:G183" si="12">E163*F163</f>
        <v>0</v>
      </c>
    </row>
    <row r="164" spans="2:7">
      <c r="B164" s="218"/>
      <c r="C164" s="739" t="s">
        <v>184</v>
      </c>
      <c r="D164" s="1232" t="s">
        <v>66</v>
      </c>
      <c r="E164" s="225">
        <v>2</v>
      </c>
      <c r="F164" s="1768">
        <v>0</v>
      </c>
      <c r="G164" s="1714">
        <f t="shared" si="12"/>
        <v>0</v>
      </c>
    </row>
    <row r="165" spans="2:7">
      <c r="B165" s="218"/>
      <c r="C165" s="739" t="s">
        <v>132</v>
      </c>
      <c r="D165" s="1232" t="s">
        <v>66</v>
      </c>
      <c r="E165" s="225">
        <v>1</v>
      </c>
      <c r="F165" s="1768">
        <v>0</v>
      </c>
      <c r="G165" s="1714">
        <f t="shared" si="12"/>
        <v>0</v>
      </c>
    </row>
    <row r="166" spans="2:7">
      <c r="B166" s="218"/>
      <c r="C166" s="739" t="s">
        <v>150</v>
      </c>
      <c r="D166" s="1232" t="s">
        <v>66</v>
      </c>
      <c r="E166" s="225">
        <v>1</v>
      </c>
      <c r="F166" s="1768">
        <v>0</v>
      </c>
      <c r="G166" s="1714">
        <f t="shared" si="12"/>
        <v>0</v>
      </c>
    </row>
    <row r="167" spans="2:7">
      <c r="B167" s="218"/>
      <c r="C167" s="740" t="s">
        <v>135</v>
      </c>
      <c r="D167" s="1232" t="s">
        <v>66</v>
      </c>
      <c r="E167" s="225">
        <v>1</v>
      </c>
      <c r="F167" s="1768">
        <v>0</v>
      </c>
      <c r="G167" s="1714">
        <f t="shared" si="12"/>
        <v>0</v>
      </c>
    </row>
    <row r="168" spans="2:7">
      <c r="B168" s="218"/>
      <c r="C168" s="223" t="s">
        <v>196</v>
      </c>
      <c r="D168" s="2240"/>
      <c r="E168" s="738"/>
      <c r="F168" s="1768"/>
      <c r="G168" s="1714"/>
    </row>
    <row r="169" spans="2:7" ht="24">
      <c r="B169" s="218"/>
      <c r="C169" s="228" t="s">
        <v>2248</v>
      </c>
      <c r="D169" s="1232" t="s">
        <v>66</v>
      </c>
      <c r="E169" s="225">
        <v>1</v>
      </c>
      <c r="F169" s="1768">
        <v>0</v>
      </c>
      <c r="G169" s="1714">
        <f t="shared" si="12"/>
        <v>0</v>
      </c>
    </row>
    <row r="170" spans="2:7">
      <c r="B170" s="218"/>
      <c r="C170" s="1164" t="s">
        <v>132</v>
      </c>
      <c r="D170" s="1232" t="s">
        <v>66</v>
      </c>
      <c r="E170" s="225">
        <v>3</v>
      </c>
      <c r="F170" s="1768">
        <v>0</v>
      </c>
      <c r="G170" s="1714">
        <f t="shared" si="12"/>
        <v>0</v>
      </c>
    </row>
    <row r="171" spans="2:7">
      <c r="B171" s="218"/>
      <c r="C171" s="1164" t="s">
        <v>148</v>
      </c>
      <c r="D171" s="1232" t="s">
        <v>66</v>
      </c>
      <c r="E171" s="225">
        <v>3</v>
      </c>
      <c r="F171" s="1768">
        <v>0</v>
      </c>
      <c r="G171" s="1714">
        <f t="shared" si="12"/>
        <v>0</v>
      </c>
    </row>
    <row r="172" spans="2:7">
      <c r="B172" s="218"/>
      <c r="C172" s="1164" t="s">
        <v>150</v>
      </c>
      <c r="D172" s="1232" t="s">
        <v>66</v>
      </c>
      <c r="E172" s="225">
        <v>1</v>
      </c>
      <c r="F172" s="1768">
        <v>0</v>
      </c>
      <c r="G172" s="1714">
        <f t="shared" si="12"/>
        <v>0</v>
      </c>
    </row>
    <row r="173" spans="2:7">
      <c r="B173" s="218"/>
      <c r="C173" s="1165" t="s">
        <v>135</v>
      </c>
      <c r="D173" s="1232" t="s">
        <v>66</v>
      </c>
      <c r="E173" s="225">
        <v>1</v>
      </c>
      <c r="F173" s="1768">
        <v>0</v>
      </c>
      <c r="G173" s="1714">
        <f t="shared" si="12"/>
        <v>0</v>
      </c>
    </row>
    <row r="174" spans="2:7">
      <c r="B174" s="218"/>
      <c r="C174" s="223" t="s">
        <v>228</v>
      </c>
      <c r="D174" s="2240"/>
      <c r="E174" s="738"/>
      <c r="F174" s="1768"/>
      <c r="G174" s="1714"/>
    </row>
    <row r="175" spans="2:7" ht="24">
      <c r="B175" s="218"/>
      <c r="C175" s="228" t="s">
        <v>2247</v>
      </c>
      <c r="D175" s="1232" t="s">
        <v>66</v>
      </c>
      <c r="E175" s="225">
        <v>3</v>
      </c>
      <c r="F175" s="1768">
        <v>0</v>
      </c>
      <c r="G175" s="1714">
        <f t="shared" si="12"/>
        <v>0</v>
      </c>
    </row>
    <row r="176" spans="2:7">
      <c r="B176" s="218"/>
      <c r="C176" s="739" t="s">
        <v>132</v>
      </c>
      <c r="D176" s="1232" t="s">
        <v>66</v>
      </c>
      <c r="E176" s="225">
        <v>6</v>
      </c>
      <c r="F176" s="1768">
        <v>0</v>
      </c>
      <c r="G176" s="1714">
        <f t="shared" si="12"/>
        <v>0</v>
      </c>
    </row>
    <row r="177" spans="2:8">
      <c r="B177" s="218"/>
      <c r="C177" s="739" t="s">
        <v>166</v>
      </c>
      <c r="D177" s="1232" t="s">
        <v>66</v>
      </c>
      <c r="E177" s="225">
        <v>3</v>
      </c>
      <c r="F177" s="1768">
        <v>0</v>
      </c>
      <c r="G177" s="1714">
        <f t="shared" si="12"/>
        <v>0</v>
      </c>
    </row>
    <row r="178" spans="2:8">
      <c r="B178" s="218"/>
      <c r="C178" s="739" t="s">
        <v>148</v>
      </c>
      <c r="D178" s="1232" t="s">
        <v>66</v>
      </c>
      <c r="E178" s="225">
        <v>6</v>
      </c>
      <c r="F178" s="1768">
        <v>0</v>
      </c>
      <c r="G178" s="1714">
        <f t="shared" si="12"/>
        <v>0</v>
      </c>
    </row>
    <row r="179" spans="2:8">
      <c r="B179" s="218"/>
      <c r="C179" s="739" t="s">
        <v>167</v>
      </c>
      <c r="D179" s="1232" t="s">
        <v>66</v>
      </c>
      <c r="E179" s="225">
        <v>3</v>
      </c>
      <c r="F179" s="1768">
        <v>0</v>
      </c>
      <c r="G179" s="1714">
        <f t="shared" si="12"/>
        <v>0</v>
      </c>
    </row>
    <row r="180" spans="2:8">
      <c r="B180" s="218"/>
      <c r="C180" s="739" t="s">
        <v>229</v>
      </c>
      <c r="D180" s="1232" t="s">
        <v>66</v>
      </c>
      <c r="E180" s="225">
        <v>3</v>
      </c>
      <c r="F180" s="1768">
        <v>0</v>
      </c>
      <c r="G180" s="1714">
        <f t="shared" si="12"/>
        <v>0</v>
      </c>
    </row>
    <row r="181" spans="2:8">
      <c r="B181" s="218"/>
      <c r="C181" s="739" t="s">
        <v>230</v>
      </c>
      <c r="D181" s="1232" t="s">
        <v>66</v>
      </c>
      <c r="E181" s="225">
        <v>3</v>
      </c>
      <c r="F181" s="1768">
        <v>0</v>
      </c>
      <c r="G181" s="1714">
        <f t="shared" si="12"/>
        <v>0</v>
      </c>
    </row>
    <row r="182" spans="2:8">
      <c r="B182" s="218"/>
      <c r="C182" s="739" t="s">
        <v>150</v>
      </c>
      <c r="D182" s="1232" t="s">
        <v>66</v>
      </c>
      <c r="E182" s="225">
        <v>3</v>
      </c>
      <c r="F182" s="1768">
        <v>0</v>
      </c>
      <c r="G182" s="1714">
        <f t="shared" si="12"/>
        <v>0</v>
      </c>
    </row>
    <row r="183" spans="2:8">
      <c r="B183" s="218"/>
      <c r="C183" s="740" t="s">
        <v>135</v>
      </c>
      <c r="D183" s="1232" t="s">
        <v>66</v>
      </c>
      <c r="E183" s="225">
        <v>3</v>
      </c>
      <c r="F183" s="1768">
        <v>0</v>
      </c>
      <c r="G183" s="1714">
        <f t="shared" si="12"/>
        <v>0</v>
      </c>
    </row>
    <row r="184" spans="2:8">
      <c r="B184" s="218"/>
      <c r="C184" s="223" t="s">
        <v>1395</v>
      </c>
      <c r="D184" s="2240"/>
      <c r="E184" s="738"/>
      <c r="F184" s="1605"/>
      <c r="G184" s="1646"/>
    </row>
    <row r="185" spans="2:8" s="217" customFormat="1">
      <c r="B185" s="218"/>
      <c r="C185" s="1655" t="s">
        <v>230</v>
      </c>
      <c r="D185" s="1232" t="s">
        <v>66</v>
      </c>
      <c r="E185" s="225">
        <v>1</v>
      </c>
      <c r="F185" s="1768">
        <v>0</v>
      </c>
      <c r="G185" s="1714">
        <f t="shared" ref="G185:G187" si="13">E185*F185</f>
        <v>0</v>
      </c>
      <c r="H185" s="1703"/>
    </row>
    <row r="186" spans="2:8" s="217" customFormat="1">
      <c r="B186" s="218"/>
      <c r="C186" s="1655" t="s">
        <v>2255</v>
      </c>
      <c r="D186" s="1232" t="s">
        <v>66</v>
      </c>
      <c r="E186" s="225">
        <v>1</v>
      </c>
      <c r="F186" s="1768">
        <v>0</v>
      </c>
      <c r="G186" s="1714">
        <f t="shared" si="13"/>
        <v>0</v>
      </c>
      <c r="H186" s="1703"/>
    </row>
    <row r="187" spans="2:8" s="217" customFormat="1">
      <c r="B187" s="218"/>
      <c r="C187" s="1655" t="s">
        <v>1444</v>
      </c>
      <c r="D187" s="1232" t="s">
        <v>66</v>
      </c>
      <c r="E187" s="225">
        <v>1</v>
      </c>
      <c r="F187" s="1768">
        <v>0</v>
      </c>
      <c r="G187" s="1714">
        <f t="shared" si="13"/>
        <v>0</v>
      </c>
      <c r="H187" s="1703"/>
    </row>
    <row r="188" spans="2:8">
      <c r="B188" s="201" t="s">
        <v>172</v>
      </c>
      <c r="C188" s="238" t="s">
        <v>169</v>
      </c>
      <c r="D188" s="260"/>
      <c r="E188" s="240"/>
      <c r="F188" s="241"/>
      <c r="G188" s="242"/>
    </row>
    <row r="189" spans="2:8">
      <c r="B189" s="218"/>
      <c r="C189" s="238" t="s">
        <v>170</v>
      </c>
      <c r="D189" s="185"/>
      <c r="E189" s="741"/>
      <c r="F189" s="1611"/>
      <c r="G189" s="263"/>
    </row>
    <row r="190" spans="2:8" ht="39" customHeight="1">
      <c r="B190" s="218"/>
      <c r="C190" s="243" t="s">
        <v>2246</v>
      </c>
      <c r="D190" s="260" t="s">
        <v>66</v>
      </c>
      <c r="E190" s="240">
        <v>37</v>
      </c>
      <c r="F190" s="1609">
        <v>0</v>
      </c>
      <c r="G190" s="245">
        <f t="shared" ref="G190:G198" si="14">E190*F190</f>
        <v>0</v>
      </c>
    </row>
    <row r="191" spans="2:8">
      <c r="B191" s="218"/>
      <c r="C191" s="1129" t="s">
        <v>171</v>
      </c>
      <c r="D191" s="260" t="s">
        <v>66</v>
      </c>
      <c r="E191" s="240">
        <v>37</v>
      </c>
      <c r="F191" s="1609">
        <v>0</v>
      </c>
      <c r="G191" s="245">
        <f t="shared" si="14"/>
        <v>0</v>
      </c>
    </row>
    <row r="192" spans="2:8">
      <c r="B192" s="218"/>
      <c r="C192" s="1130" t="s">
        <v>135</v>
      </c>
      <c r="D192" s="260" t="s">
        <v>66</v>
      </c>
      <c r="E192" s="240">
        <v>37</v>
      </c>
      <c r="F192" s="1609">
        <v>0</v>
      </c>
      <c r="G192" s="245">
        <f t="shared" si="14"/>
        <v>0</v>
      </c>
    </row>
    <row r="193" spans="2:7">
      <c r="B193" s="218"/>
      <c r="C193" s="247" t="s">
        <v>891</v>
      </c>
      <c r="D193" s="260" t="s">
        <v>66</v>
      </c>
      <c r="E193" s="240">
        <v>37</v>
      </c>
      <c r="F193" s="1609">
        <v>0</v>
      </c>
      <c r="G193" s="245">
        <f t="shared" si="14"/>
        <v>0</v>
      </c>
    </row>
    <row r="194" spans="2:7">
      <c r="B194" s="218"/>
      <c r="C194" s="238" t="s">
        <v>234</v>
      </c>
      <c r="D194" s="185"/>
      <c r="E194" s="741"/>
      <c r="F194" s="1609"/>
      <c r="G194" s="245"/>
    </row>
    <row r="195" spans="2:7" ht="36">
      <c r="B195" s="218"/>
      <c r="C195" s="243" t="s">
        <v>2245</v>
      </c>
      <c r="D195" s="260" t="s">
        <v>66</v>
      </c>
      <c r="E195" s="240">
        <v>17</v>
      </c>
      <c r="F195" s="1609">
        <v>0</v>
      </c>
      <c r="G195" s="245">
        <f t="shared" si="14"/>
        <v>0</v>
      </c>
    </row>
    <row r="196" spans="2:7">
      <c r="B196" s="218"/>
      <c r="C196" s="1160" t="s">
        <v>171</v>
      </c>
      <c r="D196" s="260" t="s">
        <v>66</v>
      </c>
      <c r="E196" s="240">
        <v>17</v>
      </c>
      <c r="F196" s="1609">
        <v>0</v>
      </c>
      <c r="G196" s="245">
        <f t="shared" si="14"/>
        <v>0</v>
      </c>
    </row>
    <row r="197" spans="2:7">
      <c r="B197" s="218"/>
      <c r="C197" s="1161" t="s">
        <v>135</v>
      </c>
      <c r="D197" s="260" t="s">
        <v>66</v>
      </c>
      <c r="E197" s="240">
        <v>17</v>
      </c>
      <c r="F197" s="1609">
        <v>0</v>
      </c>
      <c r="G197" s="245">
        <f t="shared" si="14"/>
        <v>0</v>
      </c>
    </row>
    <row r="198" spans="2:7">
      <c r="B198" s="218"/>
      <c r="C198" s="247" t="s">
        <v>891</v>
      </c>
      <c r="D198" s="260" t="s">
        <v>66</v>
      </c>
      <c r="E198" s="240">
        <v>17</v>
      </c>
      <c r="F198" s="1609">
        <v>0</v>
      </c>
      <c r="G198" s="245">
        <f t="shared" si="14"/>
        <v>0</v>
      </c>
    </row>
    <row r="199" spans="2:7">
      <c r="B199" s="201" t="s">
        <v>340</v>
      </c>
      <c r="C199" s="248" t="s">
        <v>173</v>
      </c>
      <c r="D199" s="249"/>
      <c r="E199" s="250"/>
      <c r="F199" s="251"/>
      <c r="G199" s="252"/>
    </row>
    <row r="200" spans="2:7" ht="60">
      <c r="B200" s="218"/>
      <c r="C200" s="253" t="s">
        <v>174</v>
      </c>
      <c r="D200" s="249" t="s">
        <v>66</v>
      </c>
      <c r="E200" s="1143">
        <v>1</v>
      </c>
      <c r="F200" s="1144">
        <v>0</v>
      </c>
      <c r="G200" s="252">
        <f>E200*F200</f>
        <v>0</v>
      </c>
    </row>
    <row r="201" spans="2:7">
      <c r="B201" s="258" t="s">
        <v>1445</v>
      </c>
      <c r="C201" s="259" t="s">
        <v>1396</v>
      </c>
      <c r="D201" s="260"/>
      <c r="E201" s="261"/>
      <c r="F201" s="262"/>
      <c r="G201" s="263">
        <f>SUM(G82:G200)</f>
        <v>0</v>
      </c>
    </row>
  </sheetData>
  <mergeCells count="6">
    <mergeCell ref="B89:B92"/>
    <mergeCell ref="B45:G45"/>
    <mergeCell ref="B60:B62"/>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01DA-D277-41DF-84CC-53B6039156C1}">
  <sheetPr>
    <tabColor rgb="FF00B0F0"/>
  </sheetPr>
  <dimension ref="A2:Y177"/>
  <sheetViews>
    <sheetView showZeros="0" topLeftCell="A28"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5703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1446</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1454</v>
      </c>
      <c r="D6" s="2233"/>
      <c r="E6" s="679"/>
      <c r="F6" s="680"/>
      <c r="G6" s="681"/>
      <c r="H6" s="27"/>
    </row>
    <row r="7" spans="1:25" s="86" customFormat="1" ht="21" customHeight="1">
      <c r="B7" s="1146"/>
      <c r="C7" s="1147"/>
      <c r="D7" s="1976"/>
      <c r="E7" s="1149"/>
      <c r="F7" s="1150"/>
      <c r="G7" s="1151"/>
      <c r="H7" s="27"/>
    </row>
    <row r="8" spans="1:25" s="14" customFormat="1" ht="18" customHeight="1">
      <c r="A8" s="9"/>
      <c r="B8" s="10" t="s">
        <v>38</v>
      </c>
      <c r="C8" s="11"/>
      <c r="D8" s="1177"/>
      <c r="E8" s="12"/>
      <c r="F8" s="688"/>
      <c r="G8" s="13"/>
    </row>
    <row r="9" spans="1:25" s="14" customFormat="1" ht="18" customHeight="1">
      <c r="A9" s="15"/>
      <c r="B9" s="16" t="s">
        <v>39</v>
      </c>
      <c r="C9" s="17"/>
      <c r="D9" s="1179"/>
      <c r="E9" s="19"/>
      <c r="F9" s="689"/>
      <c r="G9" s="18"/>
    </row>
    <row r="10" spans="1:25" s="14" customFormat="1" ht="18" customHeight="1">
      <c r="A10" s="9"/>
      <c r="B10" s="10" t="s">
        <v>4</v>
      </c>
      <c r="C10" s="11"/>
      <c r="D10" s="1180"/>
      <c r="E10" s="12"/>
      <c r="F10" s="688"/>
      <c r="G10" s="13"/>
    </row>
    <row r="11" spans="1:25" s="14" customFormat="1" ht="18" customHeight="1">
      <c r="A11" s="15"/>
      <c r="B11" s="16" t="s">
        <v>5</v>
      </c>
      <c r="C11" s="17"/>
      <c r="D11" s="1181"/>
      <c r="E11" s="19"/>
      <c r="F11" s="689"/>
      <c r="G11" s="18"/>
    </row>
    <row r="12" spans="1:25" s="86" customFormat="1" ht="14.25">
      <c r="B12" s="89"/>
      <c r="C12" s="90"/>
      <c r="D12" s="1182"/>
      <c r="E12" s="92"/>
      <c r="F12" s="690"/>
      <c r="G12" s="94"/>
      <c r="H12" s="27"/>
    </row>
    <row r="13" spans="1:25" s="86" customFormat="1" ht="18.75" customHeight="1">
      <c r="B13" s="95"/>
      <c r="C13" s="96" t="s">
        <v>40</v>
      </c>
      <c r="D13" s="1183"/>
      <c r="E13" s="98"/>
      <c r="F13" s="691"/>
      <c r="G13" s="100"/>
      <c r="H13" s="27"/>
    </row>
    <row r="14" spans="1:25" s="101" customFormat="1" ht="18.75" customHeight="1">
      <c r="B14" s="95" t="s">
        <v>41</v>
      </c>
      <c r="C14" s="96" t="s">
        <v>42</v>
      </c>
      <c r="D14" s="1183"/>
      <c r="E14" s="104"/>
      <c r="F14" s="692"/>
      <c r="G14" s="106" t="s">
        <v>10</v>
      </c>
      <c r="H14" s="37"/>
      <c r="I14" s="73"/>
      <c r="J14" s="73"/>
      <c r="K14" s="73"/>
      <c r="L14" s="73"/>
      <c r="M14" s="73"/>
      <c r="N14" s="73"/>
      <c r="O14" s="73"/>
      <c r="P14" s="73"/>
      <c r="Q14" s="73"/>
      <c r="R14" s="73"/>
      <c r="S14" s="73"/>
      <c r="T14" s="73"/>
      <c r="U14" s="73"/>
      <c r="V14" s="73"/>
      <c r="W14" s="73"/>
      <c r="X14" s="73"/>
      <c r="Y14" s="73"/>
    </row>
    <row r="15" spans="1:25" s="101" customFormat="1" ht="18.75" customHeight="1">
      <c r="B15" s="693" t="s">
        <v>43</v>
      </c>
      <c r="C15" s="694" t="s">
        <v>44</v>
      </c>
      <c r="D15" s="1185"/>
      <c r="E15" s="110"/>
      <c r="F15" s="695"/>
      <c r="G15" s="1408">
        <f>G38</f>
        <v>0</v>
      </c>
      <c r="H15" s="37"/>
      <c r="I15" s="73"/>
      <c r="J15" s="73"/>
      <c r="K15" s="73"/>
      <c r="L15" s="73"/>
      <c r="M15" s="73"/>
      <c r="N15" s="73"/>
      <c r="O15" s="73"/>
      <c r="P15" s="73"/>
      <c r="Q15" s="73"/>
      <c r="R15" s="73"/>
      <c r="S15" s="73"/>
      <c r="T15" s="73"/>
      <c r="U15" s="73"/>
      <c r="V15" s="73"/>
      <c r="W15" s="73"/>
      <c r="X15" s="73"/>
      <c r="Y15" s="73"/>
    </row>
    <row r="16" spans="1:25" s="101" customFormat="1" ht="18.75" customHeight="1">
      <c r="B16" s="693" t="s">
        <v>45</v>
      </c>
      <c r="C16" s="694" t="s">
        <v>46</v>
      </c>
      <c r="D16" s="1185"/>
      <c r="E16" s="110"/>
      <c r="F16" s="695"/>
      <c r="G16" s="1408">
        <f>G61</f>
        <v>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47</v>
      </c>
      <c r="C17" s="694" t="s">
        <v>48</v>
      </c>
      <c r="D17" s="1185"/>
      <c r="E17" s="110"/>
      <c r="F17" s="695"/>
      <c r="G17" s="1408">
        <f>G177</f>
        <v>0</v>
      </c>
      <c r="H17" s="37"/>
      <c r="I17" s="73"/>
      <c r="J17" s="73"/>
      <c r="K17" s="73"/>
      <c r="L17" s="73"/>
      <c r="M17" s="73"/>
      <c r="N17" s="73"/>
      <c r="O17" s="73"/>
      <c r="P17" s="73"/>
      <c r="Q17" s="73"/>
      <c r="R17" s="73"/>
      <c r="S17" s="73"/>
      <c r="T17" s="73"/>
      <c r="U17" s="73"/>
      <c r="V17" s="73"/>
      <c r="W17" s="73"/>
      <c r="X17" s="73"/>
      <c r="Y17" s="73"/>
    </row>
    <row r="18" spans="2:25" s="101" customFormat="1" ht="18.75" customHeight="1">
      <c r="B18" s="113"/>
      <c r="C18" s="114" t="s">
        <v>49</v>
      </c>
      <c r="D18" s="1187"/>
      <c r="E18" s="116"/>
      <c r="F18" s="2372"/>
      <c r="G18" s="1415">
        <f>SUM(G15:G17)</f>
        <v>0</v>
      </c>
      <c r="H18" s="37"/>
      <c r="I18" s="73"/>
      <c r="J18" s="73"/>
      <c r="K18" s="73"/>
      <c r="L18" s="73"/>
      <c r="M18" s="73"/>
      <c r="N18" s="73"/>
      <c r="O18" s="73"/>
      <c r="P18" s="73"/>
      <c r="Q18" s="73"/>
      <c r="R18" s="73"/>
      <c r="S18" s="73"/>
      <c r="T18" s="73"/>
      <c r="U18" s="73"/>
      <c r="V18" s="73"/>
      <c r="W18" s="73"/>
      <c r="X18" s="73"/>
      <c r="Y18" s="73"/>
    </row>
    <row r="19" spans="2:25">
      <c r="B19" s="61"/>
      <c r="C19" s="62"/>
      <c r="D19" s="63"/>
      <c r="E19" s="64"/>
      <c r="F19" s="701"/>
    </row>
    <row r="20" spans="2:25">
      <c r="G20" s="118"/>
    </row>
    <row r="21" spans="2:25" ht="24">
      <c r="B21" s="119" t="s">
        <v>41</v>
      </c>
      <c r="C21" s="120" t="s">
        <v>51</v>
      </c>
      <c r="D21" s="120" t="s">
        <v>52</v>
      </c>
      <c r="E21" s="122" t="s">
        <v>53</v>
      </c>
      <c r="F21" s="756" t="s">
        <v>54</v>
      </c>
      <c r="G21" s="124" t="s">
        <v>55</v>
      </c>
    </row>
    <row r="22" spans="2:25">
      <c r="B22" s="125"/>
      <c r="C22" s="126"/>
      <c r="D22" s="140"/>
      <c r="E22" s="128"/>
      <c r="F22" s="708"/>
      <c r="G22" s="130"/>
    </row>
    <row r="23" spans="2:25" s="138" customFormat="1" ht="20.25">
      <c r="B23" s="131" t="s">
        <v>43</v>
      </c>
      <c r="C23" s="132" t="s">
        <v>44</v>
      </c>
      <c r="D23" s="165"/>
      <c r="E23" s="134"/>
      <c r="F23" s="709"/>
      <c r="G23" s="136"/>
      <c r="H23" s="137"/>
    </row>
    <row r="24" spans="2:25" ht="24">
      <c r="B24" s="125">
        <v>1</v>
      </c>
      <c r="C24" s="144" t="s">
        <v>56</v>
      </c>
      <c r="D24" s="140" t="s">
        <v>57</v>
      </c>
      <c r="E24" s="1081">
        <v>288</v>
      </c>
      <c r="F24" s="1082">
        <v>0</v>
      </c>
      <c r="G24" s="1083">
        <f t="shared" ref="G24" si="0">E24*F24</f>
        <v>0</v>
      </c>
    </row>
    <row r="25" spans="2:25">
      <c r="B25" s="125">
        <v>2</v>
      </c>
      <c r="C25" s="144" t="s">
        <v>58</v>
      </c>
      <c r="D25" s="140" t="s">
        <v>57</v>
      </c>
      <c r="E25" s="1081">
        <f>E24</f>
        <v>288</v>
      </c>
      <c r="F25" s="1082">
        <v>0</v>
      </c>
      <c r="G25" s="1083">
        <f>E25*F25</f>
        <v>0</v>
      </c>
    </row>
    <row r="26" spans="2:25" ht="51.75" customHeight="1">
      <c r="B26" s="125">
        <v>3</v>
      </c>
      <c r="C26" s="144" t="s">
        <v>245</v>
      </c>
      <c r="D26" s="140" t="s">
        <v>60</v>
      </c>
      <c r="E26" s="1081">
        <v>1</v>
      </c>
      <c r="F26" s="1082">
        <v>0</v>
      </c>
      <c r="G26" s="1083">
        <f t="shared" ref="G26:G36" si="1">E26*F26</f>
        <v>0</v>
      </c>
    </row>
    <row r="27" spans="2:25" ht="124.5" customHeight="1">
      <c r="B27" s="125">
        <v>4</v>
      </c>
      <c r="C27" s="144" t="s">
        <v>61</v>
      </c>
      <c r="D27" s="145" t="s">
        <v>60</v>
      </c>
      <c r="E27" s="1081">
        <v>1</v>
      </c>
      <c r="F27" s="1082">
        <v>0</v>
      </c>
      <c r="G27" s="1083">
        <f t="shared" si="1"/>
        <v>0</v>
      </c>
    </row>
    <row r="28" spans="2:25" ht="24">
      <c r="B28" s="125">
        <v>5</v>
      </c>
      <c r="C28" s="144" t="s">
        <v>1389</v>
      </c>
      <c r="D28" s="146" t="s">
        <v>60</v>
      </c>
      <c r="E28" s="1081">
        <v>4</v>
      </c>
      <c r="F28" s="1082">
        <v>0</v>
      </c>
      <c r="G28" s="1083">
        <f t="shared" si="1"/>
        <v>0</v>
      </c>
    </row>
    <row r="29" spans="2:25" ht="27.75" customHeight="1">
      <c r="B29" s="125">
        <v>6</v>
      </c>
      <c r="C29" s="1084" t="s">
        <v>63</v>
      </c>
      <c r="D29" s="140" t="s">
        <v>57</v>
      </c>
      <c r="E29" s="1081">
        <f>E24</f>
        <v>288</v>
      </c>
      <c r="F29" s="1082">
        <v>0</v>
      </c>
      <c r="G29" s="1083">
        <f t="shared" si="1"/>
        <v>0</v>
      </c>
    </row>
    <row r="30" spans="2:25" ht="52.5" customHeight="1">
      <c r="B30" s="125">
        <v>7</v>
      </c>
      <c r="C30" s="1084" t="s">
        <v>64</v>
      </c>
      <c r="D30" s="146" t="s">
        <v>60</v>
      </c>
      <c r="E30" s="1081">
        <v>1</v>
      </c>
      <c r="F30" s="1082">
        <v>0</v>
      </c>
      <c r="G30" s="1083">
        <f t="shared" si="1"/>
        <v>0</v>
      </c>
    </row>
    <row r="31" spans="2:25" ht="53.25" customHeight="1">
      <c r="B31" s="125">
        <v>8</v>
      </c>
      <c r="C31" s="1080" t="s">
        <v>2292</v>
      </c>
      <c r="D31" s="146" t="s">
        <v>66</v>
      </c>
      <c r="E31" s="1081">
        <v>15</v>
      </c>
      <c r="F31" s="1082">
        <v>0</v>
      </c>
      <c r="G31" s="1083">
        <f t="shared" si="1"/>
        <v>0</v>
      </c>
    </row>
    <row r="32" spans="2:25" ht="36">
      <c r="B32" s="125">
        <v>9</v>
      </c>
      <c r="C32" s="1080" t="s">
        <v>2295</v>
      </c>
      <c r="D32" s="146" t="s">
        <v>57</v>
      </c>
      <c r="E32" s="1081">
        <f>E24+E79+E80</f>
        <v>348</v>
      </c>
      <c r="F32" s="1082">
        <v>0</v>
      </c>
      <c r="G32" s="1083">
        <f t="shared" si="1"/>
        <v>0</v>
      </c>
    </row>
    <row r="33" spans="1:25" ht="24">
      <c r="B33" s="125">
        <v>10</v>
      </c>
      <c r="C33" s="1080" t="s">
        <v>2293</v>
      </c>
      <c r="D33" s="146" t="s">
        <v>57</v>
      </c>
      <c r="E33" s="1081">
        <f>E24+E79+E80</f>
        <v>348</v>
      </c>
      <c r="F33" s="1082">
        <v>0</v>
      </c>
      <c r="G33" s="1083">
        <f t="shared" si="1"/>
        <v>0</v>
      </c>
    </row>
    <row r="34" spans="1:25">
      <c r="B34" s="125">
        <v>11</v>
      </c>
      <c r="C34" s="1084" t="s">
        <v>67</v>
      </c>
      <c r="D34" s="146" t="s">
        <v>60</v>
      </c>
      <c r="E34" s="1081">
        <v>1</v>
      </c>
      <c r="F34" s="1082">
        <v>0</v>
      </c>
      <c r="G34" s="1083">
        <f t="shared" si="1"/>
        <v>0</v>
      </c>
    </row>
    <row r="35" spans="1:25" ht="48">
      <c r="B35" s="125">
        <v>12</v>
      </c>
      <c r="C35" s="952" t="s">
        <v>68</v>
      </c>
      <c r="D35" s="146" t="s">
        <v>60</v>
      </c>
      <c r="E35" s="1085">
        <v>1</v>
      </c>
      <c r="F35" s="1082">
        <v>0</v>
      </c>
      <c r="G35" s="1083">
        <f t="shared" si="1"/>
        <v>0</v>
      </c>
    </row>
    <row r="36" spans="1:25" ht="36">
      <c r="B36" s="125">
        <v>13</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103"/>
      <c r="E38" s="1088"/>
      <c r="F38" s="1089"/>
      <c r="G38" s="263">
        <f>SUM(G24:G36)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41.25" customHeight="1">
      <c r="A44" s="1"/>
      <c r="B44" s="717">
        <v>1</v>
      </c>
      <c r="C44" s="139" t="s">
        <v>75</v>
      </c>
      <c r="D44" s="140" t="s">
        <v>74</v>
      </c>
      <c r="E44" s="1091">
        <f>E24*1.5*1.2*0.15</f>
        <v>77.759999999999991</v>
      </c>
      <c r="F44" s="1092">
        <v>0</v>
      </c>
      <c r="G44" s="1093">
        <f t="shared" ref="G44:G59" si="2">E44*F44</f>
        <v>0</v>
      </c>
      <c r="I44" s="1"/>
      <c r="J44" s="1"/>
      <c r="K44" s="1"/>
      <c r="L44" s="1"/>
      <c r="M44" s="1"/>
      <c r="N44" s="1"/>
      <c r="O44" s="1"/>
      <c r="P44" s="1"/>
      <c r="Q44" s="1"/>
      <c r="R44" s="1"/>
      <c r="S44" s="1"/>
      <c r="T44" s="1"/>
      <c r="U44" s="1"/>
      <c r="V44" s="1"/>
      <c r="W44" s="1"/>
      <c r="X44" s="1"/>
      <c r="Y44" s="1"/>
    </row>
    <row r="45" spans="1:25" s="8" customFormat="1" ht="41.25" customHeight="1">
      <c r="A45" s="1"/>
      <c r="B45" s="167">
        <v>2</v>
      </c>
      <c r="C45" s="139" t="s">
        <v>76</v>
      </c>
      <c r="D45" s="145" t="s">
        <v>74</v>
      </c>
      <c r="E45" s="1094">
        <f>E24*1.5*1.2*0.85</f>
        <v>440.64</v>
      </c>
      <c r="F45" s="1092">
        <v>0</v>
      </c>
      <c r="G45" s="142">
        <f t="shared" si="2"/>
        <v>0</v>
      </c>
      <c r="I45" s="1"/>
      <c r="J45" s="1"/>
      <c r="K45" s="1"/>
      <c r="L45" s="1"/>
      <c r="M45" s="1"/>
      <c r="N45" s="1"/>
      <c r="O45" s="1"/>
      <c r="P45" s="1"/>
      <c r="Q45" s="1"/>
      <c r="R45" s="1"/>
      <c r="S45" s="1"/>
      <c r="T45" s="1"/>
      <c r="U45" s="1"/>
      <c r="V45" s="1"/>
      <c r="W45" s="1"/>
      <c r="X45" s="1"/>
      <c r="Y45" s="1"/>
    </row>
    <row r="46" spans="1:25" s="8" customFormat="1" ht="27.75" customHeight="1">
      <c r="A46" s="1"/>
      <c r="B46" s="717">
        <v>3</v>
      </c>
      <c r="C46" s="126" t="s">
        <v>77</v>
      </c>
      <c r="D46" s="140" t="s">
        <v>78</v>
      </c>
      <c r="E46" s="1094">
        <f>E24*1.5</f>
        <v>432</v>
      </c>
      <c r="F46" s="1092">
        <v>0</v>
      </c>
      <c r="G46" s="1083">
        <f t="shared" si="2"/>
        <v>0</v>
      </c>
      <c r="I46" s="1"/>
      <c r="J46" s="1"/>
      <c r="K46" s="1"/>
      <c r="L46" s="1"/>
      <c r="M46" s="1"/>
      <c r="N46" s="1"/>
      <c r="O46" s="1"/>
      <c r="P46" s="1"/>
      <c r="Q46" s="1"/>
      <c r="R46" s="1"/>
      <c r="S46" s="1"/>
      <c r="T46" s="1"/>
      <c r="U46" s="1"/>
      <c r="V46" s="1"/>
      <c r="W46" s="1"/>
      <c r="X46" s="1"/>
      <c r="Y46" s="1"/>
    </row>
    <row r="47" spans="1:25" s="8" customFormat="1" ht="27.75" customHeight="1">
      <c r="A47" s="1"/>
      <c r="B47" s="167">
        <v>4</v>
      </c>
      <c r="C47" s="126" t="s">
        <v>79</v>
      </c>
      <c r="D47" s="145" t="s">
        <v>78</v>
      </c>
      <c r="E47" s="1094">
        <f>E24</f>
        <v>288</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717">
        <v>5</v>
      </c>
      <c r="C48" s="139" t="s">
        <v>247</v>
      </c>
      <c r="D48" s="145" t="s">
        <v>74</v>
      </c>
      <c r="E48" s="1094">
        <f>E24*1.2*1</f>
        <v>345.59999999999997</v>
      </c>
      <c r="F48" s="1092">
        <v>0</v>
      </c>
      <c r="G48" s="1083">
        <f t="shared" si="2"/>
        <v>0</v>
      </c>
      <c r="I48" s="1"/>
      <c r="J48" s="1"/>
      <c r="K48" s="1"/>
      <c r="L48" s="1"/>
      <c r="M48" s="1"/>
      <c r="N48" s="1"/>
      <c r="O48" s="1"/>
      <c r="P48" s="1"/>
      <c r="Q48" s="1"/>
      <c r="R48" s="1"/>
      <c r="S48" s="1"/>
      <c r="T48" s="1"/>
      <c r="U48" s="1"/>
      <c r="V48" s="1"/>
      <c r="W48" s="1"/>
      <c r="X48" s="1"/>
      <c r="Y48" s="1"/>
    </row>
    <row r="49" spans="1:25" s="8" customFormat="1" ht="40.5" customHeight="1">
      <c r="A49" s="1"/>
      <c r="B49" s="167">
        <v>6</v>
      </c>
      <c r="C49" s="139" t="s">
        <v>82</v>
      </c>
      <c r="D49" s="146" t="s">
        <v>74</v>
      </c>
      <c r="E49" s="1094">
        <f>E24*1.5*0.4</f>
        <v>172.8</v>
      </c>
      <c r="F49" s="1092">
        <v>0</v>
      </c>
      <c r="G49" s="1083">
        <f t="shared" si="2"/>
        <v>0</v>
      </c>
      <c r="I49" s="1"/>
      <c r="J49" s="1"/>
      <c r="K49" s="1"/>
      <c r="L49" s="1"/>
      <c r="M49" s="1"/>
      <c r="N49" s="1"/>
      <c r="O49" s="1"/>
      <c r="P49" s="1"/>
      <c r="Q49" s="1"/>
      <c r="R49" s="1"/>
      <c r="S49" s="1"/>
      <c r="T49" s="1"/>
      <c r="U49" s="1"/>
      <c r="V49" s="1"/>
      <c r="W49" s="1"/>
      <c r="X49" s="1"/>
      <c r="Y49" s="1"/>
    </row>
    <row r="50" spans="1:25" s="8" customFormat="1" ht="27" customHeight="1">
      <c r="A50" s="1"/>
      <c r="B50" s="717">
        <v>7</v>
      </c>
      <c r="C50" s="1095" t="s">
        <v>85</v>
      </c>
      <c r="D50" s="140" t="s">
        <v>57</v>
      </c>
      <c r="E50" s="1094">
        <v>15</v>
      </c>
      <c r="F50" s="1092">
        <v>0</v>
      </c>
      <c r="G50" s="1083">
        <f t="shared" si="2"/>
        <v>0</v>
      </c>
      <c r="I50" s="1"/>
      <c r="J50" s="1"/>
      <c r="K50" s="1"/>
      <c r="L50" s="1"/>
      <c r="M50" s="1"/>
      <c r="N50" s="1"/>
      <c r="O50" s="1"/>
      <c r="P50" s="1"/>
      <c r="Q50" s="1"/>
      <c r="R50" s="1"/>
      <c r="S50" s="1"/>
      <c r="T50" s="1"/>
      <c r="U50" s="1"/>
      <c r="V50" s="1"/>
      <c r="W50" s="1"/>
      <c r="X50" s="1"/>
      <c r="Y50" s="1"/>
    </row>
    <row r="51" spans="1:25" s="8" customFormat="1" ht="24">
      <c r="A51" s="1"/>
      <c r="B51" s="167">
        <v>8</v>
      </c>
      <c r="C51" s="1095" t="s">
        <v>1391</v>
      </c>
      <c r="D51" s="140" t="s">
        <v>78</v>
      </c>
      <c r="E51" s="1094">
        <f>E24*1.2</f>
        <v>345.59999999999997</v>
      </c>
      <c r="F51" s="1092">
        <v>0</v>
      </c>
      <c r="G51" s="1083">
        <f t="shared" si="2"/>
        <v>0</v>
      </c>
      <c r="I51" s="1"/>
      <c r="J51" s="1"/>
      <c r="K51" s="1"/>
      <c r="L51" s="1"/>
      <c r="M51" s="1"/>
      <c r="N51" s="1"/>
      <c r="O51" s="1"/>
      <c r="P51" s="1"/>
      <c r="Q51" s="1"/>
      <c r="R51" s="1"/>
      <c r="S51" s="1"/>
      <c r="T51" s="1"/>
      <c r="U51" s="1"/>
      <c r="V51" s="1"/>
      <c r="W51" s="1"/>
      <c r="X51" s="1"/>
      <c r="Y51" s="1"/>
    </row>
    <row r="52" spans="1:25" s="8" customFormat="1" ht="63.75" customHeight="1">
      <c r="A52" s="1"/>
      <c r="B52" s="717">
        <v>9</v>
      </c>
      <c r="C52" s="397" t="s">
        <v>254</v>
      </c>
      <c r="D52" s="145" t="s">
        <v>78</v>
      </c>
      <c r="E52" s="1094">
        <v>10</v>
      </c>
      <c r="F52" s="1092">
        <v>0</v>
      </c>
      <c r="G52" s="1083">
        <f t="shared" si="2"/>
        <v>0</v>
      </c>
      <c r="I52" s="1"/>
      <c r="J52" s="1"/>
      <c r="K52" s="1"/>
      <c r="L52" s="1"/>
      <c r="M52" s="1"/>
      <c r="N52" s="1"/>
      <c r="O52" s="1"/>
      <c r="P52" s="1"/>
      <c r="Q52" s="1"/>
      <c r="R52" s="1"/>
      <c r="S52" s="1"/>
      <c r="T52" s="1"/>
      <c r="U52" s="1"/>
      <c r="V52" s="1"/>
      <c r="W52" s="1"/>
      <c r="X52" s="1"/>
      <c r="Y52" s="1"/>
    </row>
    <row r="53" spans="1:25" s="8" customFormat="1" ht="14.25" customHeight="1">
      <c r="A53" s="1"/>
      <c r="B53" s="167">
        <v>10</v>
      </c>
      <c r="C53" s="139" t="s">
        <v>264</v>
      </c>
      <c r="D53" s="145" t="s">
        <v>74</v>
      </c>
      <c r="E53" s="128">
        <f>E44+E45+(E51*0.06)-E48</f>
        <v>193.536</v>
      </c>
      <c r="F53" s="1092">
        <v>0</v>
      </c>
      <c r="G53" s="142">
        <f t="shared" si="2"/>
        <v>0</v>
      </c>
      <c r="I53" s="1"/>
      <c r="J53" s="1"/>
      <c r="K53" s="1"/>
      <c r="L53" s="1"/>
      <c r="M53" s="1"/>
      <c r="N53" s="1"/>
      <c r="O53" s="1"/>
      <c r="P53" s="1"/>
      <c r="Q53" s="1"/>
      <c r="R53" s="1"/>
      <c r="S53" s="1"/>
      <c r="T53" s="1"/>
      <c r="U53" s="1"/>
      <c r="V53" s="1"/>
      <c r="W53" s="1"/>
      <c r="X53" s="1"/>
      <c r="Y53" s="1"/>
    </row>
    <row r="54" spans="1:25" s="8" customFormat="1">
      <c r="A54" s="1"/>
      <c r="B54" s="717">
        <v>11</v>
      </c>
      <c r="C54" s="139" t="s">
        <v>265</v>
      </c>
      <c r="D54" s="145" t="s">
        <v>74</v>
      </c>
      <c r="E54" s="128">
        <f>E53</f>
        <v>193.536</v>
      </c>
      <c r="F54" s="1092">
        <v>0</v>
      </c>
      <c r="G54" s="142">
        <f t="shared" si="2"/>
        <v>0</v>
      </c>
      <c r="I54" s="1"/>
      <c r="J54" s="1"/>
      <c r="K54" s="1"/>
      <c r="L54" s="1"/>
      <c r="M54" s="1"/>
      <c r="N54" s="1"/>
      <c r="O54" s="1"/>
      <c r="P54" s="1"/>
      <c r="Q54" s="1"/>
      <c r="R54" s="1"/>
      <c r="S54" s="1"/>
      <c r="T54" s="1"/>
      <c r="U54" s="1"/>
      <c r="V54" s="1"/>
      <c r="W54" s="1"/>
      <c r="X54" s="1"/>
      <c r="Y54" s="1"/>
    </row>
    <row r="55" spans="1:25" s="8" customFormat="1" ht="27.75" customHeight="1">
      <c r="A55" s="1"/>
      <c r="B55" s="167">
        <v>12</v>
      </c>
      <c r="C55" s="126" t="s">
        <v>95</v>
      </c>
      <c r="D55" s="140" t="s">
        <v>74</v>
      </c>
      <c r="E55" s="1094">
        <f>E24*0.75*0.1</f>
        <v>21.6</v>
      </c>
      <c r="F55" s="1092">
        <v>0</v>
      </c>
      <c r="G55" s="1083">
        <f t="shared" si="2"/>
        <v>0</v>
      </c>
      <c r="I55" s="1"/>
      <c r="J55" s="1"/>
      <c r="K55" s="1"/>
      <c r="L55" s="1"/>
      <c r="M55" s="1"/>
      <c r="N55" s="1"/>
      <c r="O55" s="1"/>
      <c r="P55" s="1"/>
      <c r="Q55" s="1"/>
      <c r="R55" s="1"/>
      <c r="S55" s="1"/>
      <c r="T55" s="1"/>
      <c r="U55" s="1"/>
      <c r="V55" s="1"/>
      <c r="W55" s="1"/>
      <c r="X55" s="1"/>
      <c r="Y55" s="1"/>
    </row>
    <row r="56" spans="1:25" s="8" customFormat="1" ht="48">
      <c r="A56" s="1"/>
      <c r="B56" s="717">
        <v>13</v>
      </c>
      <c r="C56" s="1096" t="s">
        <v>1393</v>
      </c>
      <c r="D56" s="182" t="s">
        <v>74</v>
      </c>
      <c r="E56" s="1097">
        <v>2</v>
      </c>
      <c r="F56" s="1092">
        <v>0</v>
      </c>
      <c r="G56" s="1083">
        <f t="shared" si="2"/>
        <v>0</v>
      </c>
      <c r="I56" s="1"/>
      <c r="J56" s="1"/>
      <c r="K56" s="1"/>
      <c r="L56" s="1"/>
      <c r="M56" s="1"/>
      <c r="N56" s="1"/>
      <c r="O56" s="1"/>
      <c r="P56" s="1"/>
      <c r="Q56" s="1"/>
      <c r="R56" s="1"/>
      <c r="S56" s="1"/>
      <c r="T56" s="1"/>
      <c r="U56" s="1"/>
      <c r="V56" s="1"/>
      <c r="W56" s="1"/>
      <c r="X56" s="1"/>
      <c r="Y56" s="1"/>
    </row>
    <row r="57" spans="1:25" s="8" customFormat="1" ht="39" customHeight="1">
      <c r="A57" s="1"/>
      <c r="B57" s="167">
        <v>14</v>
      </c>
      <c r="C57" s="1096" t="s">
        <v>270</v>
      </c>
      <c r="D57" s="182" t="s">
        <v>66</v>
      </c>
      <c r="E57" s="1097">
        <v>19</v>
      </c>
      <c r="F57" s="1092">
        <v>0</v>
      </c>
      <c r="G57" s="1083">
        <f t="shared" si="2"/>
        <v>0</v>
      </c>
      <c r="I57" s="1"/>
      <c r="J57" s="1"/>
      <c r="K57" s="1"/>
      <c r="L57" s="1"/>
      <c r="M57" s="1"/>
      <c r="N57" s="1"/>
      <c r="O57" s="1"/>
      <c r="P57" s="1"/>
      <c r="Q57" s="1"/>
      <c r="R57" s="1"/>
      <c r="S57" s="1"/>
      <c r="T57" s="1"/>
      <c r="U57" s="1"/>
      <c r="V57" s="1"/>
      <c r="W57" s="1"/>
      <c r="X57" s="1"/>
      <c r="Y57" s="1"/>
    </row>
    <row r="58" spans="1:25" s="8" customFormat="1" ht="36">
      <c r="A58" s="1"/>
      <c r="B58" s="717">
        <v>15</v>
      </c>
      <c r="C58" s="1096" t="s">
        <v>99</v>
      </c>
      <c r="D58" s="182" t="s">
        <v>74</v>
      </c>
      <c r="E58" s="1097">
        <v>1</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167">
        <v>16</v>
      </c>
      <c r="C59" s="1096" t="s">
        <v>100</v>
      </c>
      <c r="D59" s="182" t="s">
        <v>65</v>
      </c>
      <c r="E59" s="1097">
        <v>15</v>
      </c>
      <c r="F59" s="1092">
        <v>0</v>
      </c>
      <c r="G59" s="1083">
        <f t="shared" si="2"/>
        <v>0</v>
      </c>
      <c r="I59" s="1"/>
      <c r="J59" s="1"/>
      <c r="K59" s="1"/>
      <c r="L59" s="1"/>
      <c r="M59" s="1"/>
      <c r="N59" s="1"/>
      <c r="O59" s="1"/>
      <c r="P59" s="1"/>
      <c r="Q59" s="1"/>
      <c r="R59" s="1"/>
      <c r="S59" s="1"/>
      <c r="T59" s="1"/>
      <c r="U59" s="1"/>
      <c r="V59" s="1"/>
      <c r="W59" s="1"/>
      <c r="X59" s="1"/>
      <c r="Y59" s="1"/>
    </row>
    <row r="60" spans="1:25" s="8" customFormat="1">
      <c r="A60" s="1"/>
      <c r="B60" s="167"/>
      <c r="C60" s="1098"/>
      <c r="D60" s="1099"/>
      <c r="E60" s="1100"/>
      <c r="F60" s="1101"/>
      <c r="G60" s="1102"/>
      <c r="I60" s="1"/>
      <c r="J60" s="1"/>
      <c r="K60" s="1"/>
      <c r="L60" s="1"/>
      <c r="M60" s="1"/>
      <c r="N60" s="1"/>
      <c r="O60" s="1"/>
      <c r="P60" s="1"/>
      <c r="Q60" s="1"/>
      <c r="R60" s="1"/>
      <c r="S60" s="1"/>
      <c r="T60" s="1"/>
      <c r="U60" s="1"/>
      <c r="V60" s="1"/>
      <c r="W60" s="1"/>
      <c r="X60" s="1"/>
      <c r="Y60" s="1"/>
    </row>
    <row r="61" spans="1:25" s="8" customFormat="1">
      <c r="A61" s="1"/>
      <c r="B61" s="151" t="s">
        <v>45</v>
      </c>
      <c r="C61" s="1086" t="s">
        <v>101</v>
      </c>
      <c r="D61" s="1103"/>
      <c r="E61" s="1088"/>
      <c r="F61" s="1089"/>
      <c r="G61" s="263">
        <f>SUM(G44:G59)</f>
        <v>0</v>
      </c>
      <c r="I61" s="1"/>
      <c r="J61" s="1"/>
      <c r="K61" s="1"/>
      <c r="L61" s="1"/>
      <c r="M61" s="1"/>
      <c r="N61" s="1"/>
      <c r="O61" s="1"/>
      <c r="P61" s="1"/>
      <c r="Q61" s="1"/>
      <c r="R61" s="1"/>
      <c r="S61" s="1"/>
      <c r="T61" s="1"/>
      <c r="U61" s="1"/>
      <c r="V61" s="1"/>
      <c r="W61" s="1"/>
      <c r="X61" s="1"/>
      <c r="Y61" s="1"/>
    </row>
    <row r="62" spans="1:25" s="8" customFormat="1">
      <c r="A62" s="1"/>
      <c r="B62" s="67"/>
      <c r="C62" s="68"/>
      <c r="D62" s="1188"/>
      <c r="E62" s="1104"/>
      <c r="F62" s="1105"/>
      <c r="G62" s="1106"/>
      <c r="I62" s="1"/>
      <c r="J62" s="1"/>
      <c r="K62" s="1"/>
      <c r="L62" s="1"/>
      <c r="M62" s="1"/>
      <c r="N62" s="1"/>
      <c r="O62" s="1"/>
      <c r="P62" s="1"/>
      <c r="Q62" s="1"/>
      <c r="R62" s="1"/>
      <c r="S62" s="1"/>
      <c r="T62" s="1"/>
      <c r="U62" s="1"/>
      <c r="V62" s="1"/>
      <c r="W62" s="1"/>
      <c r="X62" s="1"/>
      <c r="Y62" s="1"/>
    </row>
    <row r="63" spans="1:25" s="8" customFormat="1" ht="24">
      <c r="A63" s="1"/>
      <c r="B63" s="119" t="s">
        <v>50</v>
      </c>
      <c r="C63" s="120" t="s">
        <v>51</v>
      </c>
      <c r="D63" s="120" t="s">
        <v>52</v>
      </c>
      <c r="E63" s="122" t="s">
        <v>53</v>
      </c>
      <c r="F63" s="123" t="s">
        <v>54</v>
      </c>
      <c r="G63" s="124" t="s">
        <v>55</v>
      </c>
      <c r="I63" s="1"/>
      <c r="J63" s="1"/>
      <c r="K63" s="1"/>
      <c r="L63" s="1"/>
      <c r="M63" s="1"/>
      <c r="N63" s="1"/>
      <c r="O63" s="1"/>
      <c r="P63" s="1"/>
      <c r="Q63" s="1"/>
      <c r="R63" s="1"/>
      <c r="S63" s="1"/>
      <c r="T63" s="1"/>
      <c r="U63" s="1"/>
      <c r="V63" s="1"/>
      <c r="W63" s="1"/>
      <c r="X63" s="1"/>
      <c r="Y63" s="1"/>
    </row>
    <row r="64" spans="1:25" s="8" customFormat="1">
      <c r="A64" s="1"/>
      <c r="B64" s="125"/>
      <c r="C64" s="126"/>
      <c r="D64" s="140"/>
      <c r="E64" s="719"/>
      <c r="F64" s="1107"/>
      <c r="G64" s="731"/>
      <c r="I64" s="1"/>
      <c r="J64" s="1"/>
      <c r="K64" s="1"/>
      <c r="L64" s="1"/>
      <c r="M64" s="1"/>
      <c r="N64" s="1"/>
      <c r="O64" s="1"/>
      <c r="P64" s="1"/>
      <c r="Q64" s="1"/>
      <c r="R64" s="1"/>
      <c r="S64" s="1"/>
      <c r="T64" s="1"/>
      <c r="U64" s="1"/>
      <c r="V64" s="1"/>
      <c r="W64" s="1"/>
      <c r="X64" s="1"/>
      <c r="Y64" s="1"/>
    </row>
    <row r="65" spans="1:25" s="8" customFormat="1" ht="20.25">
      <c r="A65" s="1"/>
      <c r="B65" s="186" t="s">
        <v>47</v>
      </c>
      <c r="C65" s="187" t="s">
        <v>48</v>
      </c>
      <c r="D65" s="165"/>
      <c r="E65" s="134"/>
      <c r="F65" s="135"/>
      <c r="G65" s="136"/>
      <c r="I65" s="1"/>
      <c r="J65" s="1"/>
      <c r="K65" s="1"/>
      <c r="L65" s="1"/>
      <c r="M65" s="1"/>
      <c r="N65" s="1"/>
      <c r="O65" s="1"/>
      <c r="P65" s="1"/>
      <c r="Q65" s="1"/>
      <c r="R65" s="1"/>
      <c r="S65" s="1"/>
      <c r="T65" s="1"/>
      <c r="U65" s="1"/>
      <c r="V65" s="1"/>
      <c r="W65" s="1"/>
      <c r="X65" s="1"/>
      <c r="Y65" s="1"/>
    </row>
    <row r="66" spans="1:25" s="8" customFormat="1">
      <c r="A66" s="1"/>
      <c r="B66" s="1108" t="s">
        <v>38</v>
      </c>
      <c r="C66" s="1109"/>
      <c r="D66" s="2235"/>
      <c r="E66" s="1109"/>
      <c r="F66" s="1109"/>
      <c r="G66" s="1110"/>
      <c r="I66" s="1"/>
      <c r="J66" s="1"/>
      <c r="K66" s="1"/>
      <c r="L66" s="1"/>
      <c r="M66" s="1"/>
      <c r="N66" s="1"/>
      <c r="O66" s="1"/>
      <c r="P66" s="1"/>
      <c r="Q66" s="1"/>
      <c r="R66" s="1"/>
      <c r="S66" s="1"/>
      <c r="T66" s="1"/>
      <c r="U66" s="1"/>
      <c r="V66" s="1"/>
      <c r="W66" s="1"/>
      <c r="X66" s="1"/>
      <c r="Y66" s="1"/>
    </row>
    <row r="67" spans="1:25" s="8" customFormat="1">
      <c r="A67" s="1"/>
      <c r="B67" s="1111" t="s">
        <v>39</v>
      </c>
      <c r="C67" s="1112"/>
      <c r="D67" s="2236"/>
      <c r="E67" s="1112"/>
      <c r="F67" s="1112"/>
      <c r="G67" s="1113"/>
      <c r="I67" s="1"/>
      <c r="J67" s="1"/>
      <c r="K67" s="1"/>
      <c r="L67" s="1"/>
      <c r="M67" s="1"/>
      <c r="N67" s="1"/>
      <c r="O67" s="1"/>
      <c r="P67" s="1"/>
      <c r="Q67" s="1"/>
      <c r="R67" s="1"/>
      <c r="S67" s="1"/>
      <c r="T67" s="1"/>
      <c r="U67" s="1"/>
      <c r="V67" s="1"/>
      <c r="W67" s="1"/>
      <c r="X67" s="1"/>
      <c r="Y67" s="1"/>
    </row>
    <row r="68" spans="1:25" s="8" customFormat="1">
      <c r="A68" s="1"/>
      <c r="B68" s="1108" t="s">
        <v>4</v>
      </c>
      <c r="C68" s="1109"/>
      <c r="D68" s="2237"/>
      <c r="E68" s="1109"/>
      <c r="F68" s="1109"/>
      <c r="G68" s="1110"/>
      <c r="I68" s="1"/>
      <c r="J68" s="1"/>
      <c r="K68" s="1"/>
      <c r="L68" s="1"/>
      <c r="M68" s="1"/>
      <c r="N68" s="1"/>
      <c r="O68" s="1"/>
      <c r="P68" s="1"/>
      <c r="Q68" s="1"/>
      <c r="R68" s="1"/>
      <c r="S68" s="1"/>
      <c r="T68" s="1"/>
      <c r="U68" s="1"/>
      <c r="V68" s="1"/>
      <c r="W68" s="1"/>
      <c r="X68" s="1"/>
      <c r="Y68" s="1"/>
    </row>
    <row r="69" spans="1:25" s="8" customFormat="1">
      <c r="A69" s="1"/>
      <c r="B69" s="1111" t="s">
        <v>5</v>
      </c>
      <c r="C69" s="1112"/>
      <c r="D69" s="2236"/>
      <c r="E69" s="1112"/>
      <c r="F69" s="1112"/>
      <c r="G69" s="1113"/>
      <c r="I69" s="1"/>
      <c r="J69" s="1"/>
      <c r="K69" s="1"/>
      <c r="L69" s="1"/>
      <c r="M69" s="1"/>
      <c r="N69" s="1"/>
      <c r="O69" s="1"/>
      <c r="P69" s="1"/>
      <c r="Q69" s="1"/>
      <c r="R69" s="1"/>
      <c r="S69" s="1"/>
      <c r="T69" s="1"/>
      <c r="U69" s="1"/>
      <c r="V69" s="1"/>
      <c r="W69" s="1"/>
      <c r="X69" s="1"/>
      <c r="Y69" s="1"/>
    </row>
    <row r="70" spans="1:25" s="8" customFormat="1">
      <c r="A70" s="1"/>
      <c r="B70" s="2399" t="s">
        <v>271</v>
      </c>
      <c r="C70" s="2400"/>
      <c r="D70" s="2400"/>
      <c r="E70" s="2400"/>
      <c r="F70" s="2400"/>
      <c r="G70" s="2401"/>
      <c r="I70" s="1"/>
      <c r="J70" s="1"/>
      <c r="K70" s="1"/>
      <c r="L70" s="1"/>
      <c r="M70" s="1"/>
      <c r="N70" s="1"/>
      <c r="O70" s="1"/>
      <c r="P70" s="1"/>
      <c r="Q70" s="1"/>
      <c r="R70" s="1"/>
      <c r="S70" s="1"/>
      <c r="T70" s="1"/>
      <c r="U70" s="1"/>
      <c r="V70" s="1"/>
      <c r="W70" s="1"/>
      <c r="X70" s="1"/>
      <c r="Y70" s="1"/>
    </row>
    <row r="71" spans="1:25" s="8" customFormat="1">
      <c r="A71" s="1"/>
      <c r="B71" s="2399" t="s">
        <v>104</v>
      </c>
      <c r="C71" s="2400"/>
      <c r="D71" s="2400"/>
      <c r="E71" s="2400"/>
      <c r="F71" s="2400"/>
      <c r="G71" s="2401"/>
      <c r="I71" s="1"/>
      <c r="J71" s="1"/>
      <c r="K71" s="1"/>
      <c r="L71" s="1"/>
      <c r="M71" s="1"/>
      <c r="N71" s="1"/>
      <c r="O71" s="1"/>
      <c r="P71" s="1"/>
      <c r="Q71" s="1"/>
      <c r="R71" s="1"/>
      <c r="S71" s="1"/>
      <c r="T71" s="1"/>
      <c r="U71" s="1"/>
      <c r="V71" s="1"/>
      <c r="W71" s="1"/>
      <c r="X71" s="1"/>
      <c r="Y71" s="1"/>
    </row>
    <row r="72" spans="1:25" s="8" customFormat="1">
      <c r="A72" s="1"/>
      <c r="B72" s="2399" t="s">
        <v>105</v>
      </c>
      <c r="C72" s="2400"/>
      <c r="D72" s="2400"/>
      <c r="E72" s="2400"/>
      <c r="F72" s="2400"/>
      <c r="G72" s="2401"/>
      <c r="I72" s="1"/>
      <c r="J72" s="1"/>
      <c r="K72" s="1"/>
      <c r="L72" s="1"/>
      <c r="M72" s="1"/>
      <c r="N72" s="1"/>
      <c r="O72" s="1"/>
      <c r="P72" s="1"/>
      <c r="Q72" s="1"/>
      <c r="R72" s="1"/>
      <c r="S72" s="1"/>
      <c r="T72" s="1"/>
      <c r="U72" s="1"/>
      <c r="V72" s="1"/>
      <c r="W72" s="1"/>
      <c r="X72" s="1"/>
      <c r="Y72" s="1"/>
    </row>
    <row r="73" spans="1:25" s="8" customFormat="1">
      <c r="A73" s="1"/>
      <c r="B73" s="1115"/>
      <c r="C73" s="1116"/>
      <c r="D73" s="2238"/>
      <c r="E73" s="1116"/>
      <c r="F73" s="1116"/>
      <c r="G73" s="1117"/>
      <c r="I73" s="1"/>
      <c r="J73" s="1"/>
      <c r="K73" s="1"/>
      <c r="L73" s="1"/>
      <c r="M73" s="1"/>
      <c r="N73" s="1"/>
      <c r="O73" s="1"/>
      <c r="P73" s="1"/>
      <c r="Q73" s="1"/>
      <c r="R73" s="1"/>
      <c r="S73" s="1"/>
      <c r="T73" s="1"/>
      <c r="U73" s="1"/>
      <c r="V73" s="1"/>
      <c r="W73" s="1"/>
      <c r="X73" s="1"/>
      <c r="Y73" s="1"/>
    </row>
    <row r="74" spans="1:25" ht="24">
      <c r="B74" s="188">
        <v>1</v>
      </c>
      <c r="C74" s="1156" t="s">
        <v>106</v>
      </c>
      <c r="D74" s="190"/>
      <c r="E74" s="719"/>
      <c r="F74" s="1107"/>
      <c r="G74" s="731"/>
    </row>
    <row r="75" spans="1:25">
      <c r="B75" s="191"/>
      <c r="C75" s="1157" t="s">
        <v>107</v>
      </c>
      <c r="D75" s="190" t="s">
        <v>57</v>
      </c>
      <c r="E75" s="719">
        <f>159*0.9</f>
        <v>143.1</v>
      </c>
      <c r="F75" s="1092">
        <v>0</v>
      </c>
      <c r="G75" s="1093">
        <f>E75*F75</f>
        <v>0</v>
      </c>
    </row>
    <row r="76" spans="1:25" ht="24">
      <c r="B76" s="191"/>
      <c r="C76" s="1157" t="s">
        <v>884</v>
      </c>
      <c r="D76" s="190" t="s">
        <v>57</v>
      </c>
      <c r="E76" s="719">
        <f>159*0.1</f>
        <v>15.9</v>
      </c>
      <c r="F76" s="1092">
        <v>0</v>
      </c>
      <c r="G76" s="1093">
        <f t="shared" ref="G76:G88" si="3">E76*F76</f>
        <v>0</v>
      </c>
    </row>
    <row r="77" spans="1:25">
      <c r="B77" s="191"/>
      <c r="C77" s="1157" t="s">
        <v>226</v>
      </c>
      <c r="D77" s="190" t="s">
        <v>57</v>
      </c>
      <c r="E77" s="719">
        <f>129*0.9</f>
        <v>116.10000000000001</v>
      </c>
      <c r="F77" s="1092">
        <v>0</v>
      </c>
      <c r="G77" s="1093">
        <f t="shared" si="3"/>
        <v>0</v>
      </c>
    </row>
    <row r="78" spans="1:25" ht="24">
      <c r="B78" s="191"/>
      <c r="C78" s="1157" t="s">
        <v>227</v>
      </c>
      <c r="D78" s="190" t="s">
        <v>57</v>
      </c>
      <c r="E78" s="719">
        <f>129*0.1</f>
        <v>12.9</v>
      </c>
      <c r="F78" s="1092">
        <v>0</v>
      </c>
      <c r="G78" s="1093">
        <f t="shared" si="3"/>
        <v>0</v>
      </c>
    </row>
    <row r="79" spans="1:25">
      <c r="B79" s="191"/>
      <c r="C79" s="1157" t="s">
        <v>109</v>
      </c>
      <c r="D79" s="190" t="s">
        <v>57</v>
      </c>
      <c r="E79" s="719">
        <f>60*0.9</f>
        <v>54</v>
      </c>
      <c r="F79" s="1092">
        <v>0</v>
      </c>
      <c r="G79" s="1093">
        <f t="shared" si="3"/>
        <v>0</v>
      </c>
    </row>
    <row r="80" spans="1:25" ht="24">
      <c r="B80" s="191"/>
      <c r="C80" s="1157" t="s">
        <v>110</v>
      </c>
      <c r="D80" s="190" t="s">
        <v>57</v>
      </c>
      <c r="E80" s="719">
        <f>60*0.1</f>
        <v>6</v>
      </c>
      <c r="F80" s="1092">
        <v>0</v>
      </c>
      <c r="G80" s="1093">
        <f t="shared" si="3"/>
        <v>0</v>
      </c>
    </row>
    <row r="81" spans="2:7" ht="36">
      <c r="B81" s="2404" t="s">
        <v>111</v>
      </c>
      <c r="C81" s="193" t="s">
        <v>112</v>
      </c>
      <c r="D81" s="194"/>
      <c r="E81" s="719"/>
      <c r="F81" s="1092"/>
      <c r="G81" s="1093"/>
    </row>
    <row r="82" spans="2:7">
      <c r="B82" s="2405"/>
      <c r="C82" s="195" t="s">
        <v>113</v>
      </c>
      <c r="D82" s="194" t="s">
        <v>57</v>
      </c>
      <c r="E82" s="719">
        <v>22</v>
      </c>
      <c r="F82" s="1092">
        <v>0</v>
      </c>
      <c r="G82" s="1093">
        <f t="shared" si="3"/>
        <v>0</v>
      </c>
    </row>
    <row r="83" spans="2:7">
      <c r="B83" s="2405"/>
      <c r="C83" s="195" t="s">
        <v>274</v>
      </c>
      <c r="D83" s="194" t="s">
        <v>57</v>
      </c>
      <c r="E83" s="719">
        <v>20</v>
      </c>
      <c r="F83" s="1092">
        <v>0</v>
      </c>
      <c r="G83" s="1093">
        <f t="shared" si="3"/>
        <v>0</v>
      </c>
    </row>
    <row r="84" spans="2:7">
      <c r="B84" s="2413"/>
      <c r="C84" s="195" t="s">
        <v>275</v>
      </c>
      <c r="D84" s="194" t="s">
        <v>57</v>
      </c>
      <c r="E84" s="719">
        <v>10</v>
      </c>
      <c r="F84" s="1092">
        <v>0</v>
      </c>
      <c r="G84" s="1093">
        <f t="shared" si="3"/>
        <v>0</v>
      </c>
    </row>
    <row r="85" spans="2:7" ht="36">
      <c r="B85" s="196">
        <v>2</v>
      </c>
      <c r="C85" s="197" t="s">
        <v>114</v>
      </c>
      <c r="D85" s="145" t="s">
        <v>57</v>
      </c>
      <c r="E85" s="732">
        <f>SUM(E75:E80)</f>
        <v>348</v>
      </c>
      <c r="F85" s="1092">
        <v>0</v>
      </c>
      <c r="G85" s="1093">
        <f t="shared" si="3"/>
        <v>0</v>
      </c>
    </row>
    <row r="86" spans="2:7" ht="36">
      <c r="B86" s="199" t="s">
        <v>115</v>
      </c>
      <c r="C86" s="197" t="s">
        <v>116</v>
      </c>
      <c r="D86" s="145" t="s">
        <v>57</v>
      </c>
      <c r="E86" s="732">
        <f>E85</f>
        <v>348</v>
      </c>
      <c r="F86" s="1092">
        <v>0</v>
      </c>
      <c r="G86" s="1093">
        <f t="shared" si="3"/>
        <v>0</v>
      </c>
    </row>
    <row r="87" spans="2:7" ht="24">
      <c r="B87" s="199" t="s">
        <v>117</v>
      </c>
      <c r="C87" s="197" t="s">
        <v>118</v>
      </c>
      <c r="D87" s="145" t="s">
        <v>57</v>
      </c>
      <c r="E87" s="732">
        <f>E85</f>
        <v>348</v>
      </c>
      <c r="F87" s="1092">
        <v>0</v>
      </c>
      <c r="G87" s="1093">
        <f t="shared" si="3"/>
        <v>0</v>
      </c>
    </row>
    <row r="88" spans="2:7" ht="36">
      <c r="B88" s="199" t="s">
        <v>119</v>
      </c>
      <c r="C88" s="197" t="s">
        <v>120</v>
      </c>
      <c r="D88" s="145" t="s">
        <v>57</v>
      </c>
      <c r="E88" s="732">
        <f>E85</f>
        <v>348</v>
      </c>
      <c r="F88" s="1092">
        <v>0</v>
      </c>
      <c r="G88" s="1093">
        <f t="shared" si="3"/>
        <v>0</v>
      </c>
    </row>
    <row r="89" spans="2:7" ht="24">
      <c r="B89" s="188">
        <v>3</v>
      </c>
      <c r="C89" s="200" t="s">
        <v>121</v>
      </c>
      <c r="D89" s="140"/>
      <c r="E89" s="719"/>
      <c r="F89" s="719"/>
      <c r="G89" s="731"/>
    </row>
    <row r="90" spans="2:7">
      <c r="B90" s="201" t="s">
        <v>122</v>
      </c>
      <c r="C90" s="1158" t="s">
        <v>123</v>
      </c>
      <c r="D90" s="209"/>
      <c r="E90" s="204"/>
      <c r="F90" s="205"/>
      <c r="G90" s="206"/>
    </row>
    <row r="91" spans="2:7">
      <c r="B91" s="125"/>
      <c r="C91" s="1158" t="s">
        <v>124</v>
      </c>
      <c r="D91" s="209"/>
      <c r="E91" s="204"/>
      <c r="F91" s="205"/>
      <c r="G91" s="206"/>
    </row>
    <row r="92" spans="2:7">
      <c r="B92" s="207"/>
      <c r="C92" s="1159" t="s">
        <v>199</v>
      </c>
      <c r="D92" s="209" t="s">
        <v>66</v>
      </c>
      <c r="E92" s="204">
        <v>1</v>
      </c>
      <c r="F92" s="210">
        <v>0</v>
      </c>
      <c r="G92" s="211">
        <f t="shared" ref="G92" si="4">E92*F92</f>
        <v>0</v>
      </c>
    </row>
    <row r="93" spans="2:7">
      <c r="B93" s="125"/>
      <c r="C93" s="1158" t="s">
        <v>311</v>
      </c>
      <c r="D93" s="209"/>
      <c r="E93" s="204"/>
      <c r="F93" s="205"/>
      <c r="G93" s="206"/>
    </row>
    <row r="94" spans="2:7">
      <c r="B94" s="207"/>
      <c r="C94" s="1159" t="s">
        <v>313</v>
      </c>
      <c r="D94" s="209" t="s">
        <v>66</v>
      </c>
      <c r="E94" s="204">
        <v>1</v>
      </c>
      <c r="F94" s="210">
        <v>0</v>
      </c>
      <c r="G94" s="211">
        <f t="shared" ref="G94" si="5">E94*F94</f>
        <v>0</v>
      </c>
    </row>
    <row r="95" spans="2:7">
      <c r="B95" s="201" t="s">
        <v>126</v>
      </c>
      <c r="C95" s="212" t="s">
        <v>127</v>
      </c>
      <c r="D95" s="1228"/>
      <c r="E95" s="214"/>
      <c r="F95" s="215">
        <v>0</v>
      </c>
      <c r="G95" s="216"/>
    </row>
    <row r="96" spans="2:7">
      <c r="B96" s="218"/>
      <c r="C96" s="212" t="s">
        <v>128</v>
      </c>
      <c r="D96" s="2239"/>
      <c r="E96" s="736"/>
      <c r="F96" s="1601"/>
      <c r="G96" s="1121"/>
    </row>
    <row r="97" spans="2:7">
      <c r="B97" s="218"/>
      <c r="C97" s="219" t="s">
        <v>129</v>
      </c>
      <c r="D97" s="1228" t="s">
        <v>66</v>
      </c>
      <c r="E97" s="214">
        <v>1</v>
      </c>
      <c r="F97" s="1599">
        <v>0</v>
      </c>
      <c r="G97" s="221">
        <f t="shared" ref="G97:G115" si="6">E97*F97</f>
        <v>0</v>
      </c>
    </row>
    <row r="98" spans="2:7" ht="36">
      <c r="B98" s="218"/>
      <c r="C98" s="222" t="s">
        <v>130</v>
      </c>
      <c r="D98" s="1228" t="s">
        <v>66</v>
      </c>
      <c r="E98" s="214">
        <v>1</v>
      </c>
      <c r="F98" s="1599">
        <v>0</v>
      </c>
      <c r="G98" s="221">
        <f t="shared" si="6"/>
        <v>0</v>
      </c>
    </row>
    <row r="99" spans="2:7">
      <c r="B99" s="218"/>
      <c r="C99" s="222" t="s">
        <v>183</v>
      </c>
      <c r="D99" s="1228" t="s">
        <v>66</v>
      </c>
      <c r="E99" s="214">
        <v>1</v>
      </c>
      <c r="F99" s="1599">
        <v>0</v>
      </c>
      <c r="G99" s="221">
        <f t="shared" si="6"/>
        <v>0</v>
      </c>
    </row>
    <row r="100" spans="2:7">
      <c r="B100" s="218"/>
      <c r="C100" s="222" t="s">
        <v>131</v>
      </c>
      <c r="D100" s="1228" t="s">
        <v>66</v>
      </c>
      <c r="E100" s="214">
        <v>1</v>
      </c>
      <c r="F100" s="1599">
        <v>0</v>
      </c>
      <c r="G100" s="221">
        <f t="shared" si="6"/>
        <v>0</v>
      </c>
    </row>
    <row r="101" spans="2:7">
      <c r="B101" s="218"/>
      <c r="C101" s="222" t="s">
        <v>132</v>
      </c>
      <c r="D101" s="1228" t="s">
        <v>66</v>
      </c>
      <c r="E101" s="214">
        <v>2</v>
      </c>
      <c r="F101" s="1599">
        <v>0</v>
      </c>
      <c r="G101" s="221">
        <f t="shared" si="6"/>
        <v>0</v>
      </c>
    </row>
    <row r="102" spans="2:7">
      <c r="B102" s="218"/>
      <c r="C102" s="222" t="s">
        <v>133</v>
      </c>
      <c r="D102" s="1228" t="s">
        <v>66</v>
      </c>
      <c r="E102" s="214">
        <v>2</v>
      </c>
      <c r="F102" s="1599">
        <v>0</v>
      </c>
      <c r="G102" s="221">
        <f t="shared" si="6"/>
        <v>0</v>
      </c>
    </row>
    <row r="103" spans="2:7">
      <c r="B103" s="218"/>
      <c r="C103" s="222" t="s">
        <v>134</v>
      </c>
      <c r="D103" s="1228" t="s">
        <v>66</v>
      </c>
      <c r="E103" s="214">
        <v>1</v>
      </c>
      <c r="F103" s="1599">
        <v>0</v>
      </c>
      <c r="G103" s="221">
        <f t="shared" si="6"/>
        <v>0</v>
      </c>
    </row>
    <row r="104" spans="2:7">
      <c r="B104" s="218"/>
      <c r="C104" s="222" t="s">
        <v>135</v>
      </c>
      <c r="D104" s="1228" t="s">
        <v>66</v>
      </c>
      <c r="E104" s="214">
        <v>1</v>
      </c>
      <c r="F104" s="1599">
        <v>0</v>
      </c>
      <c r="G104" s="221">
        <f t="shared" si="6"/>
        <v>0</v>
      </c>
    </row>
    <row r="105" spans="2:7">
      <c r="B105" s="218"/>
      <c r="C105" s="212" t="s">
        <v>318</v>
      </c>
      <c r="D105" s="2239"/>
      <c r="E105" s="736"/>
      <c r="F105" s="1599"/>
      <c r="G105" s="221"/>
    </row>
    <row r="106" spans="2:7">
      <c r="B106" s="218"/>
      <c r="C106" s="219" t="s">
        <v>319</v>
      </c>
      <c r="D106" s="1228" t="s">
        <v>66</v>
      </c>
      <c r="E106" s="214">
        <v>1</v>
      </c>
      <c r="F106" s="1599">
        <v>0</v>
      </c>
      <c r="G106" s="221">
        <f t="shared" si="6"/>
        <v>0</v>
      </c>
    </row>
    <row r="107" spans="2:7" ht="36">
      <c r="B107" s="218"/>
      <c r="C107" s="222" t="s">
        <v>283</v>
      </c>
      <c r="D107" s="1228" t="s">
        <v>66</v>
      </c>
      <c r="E107" s="214">
        <v>1</v>
      </c>
      <c r="F107" s="1599">
        <v>0</v>
      </c>
      <c r="G107" s="221">
        <f t="shared" si="6"/>
        <v>0</v>
      </c>
    </row>
    <row r="108" spans="2:7">
      <c r="B108" s="218"/>
      <c r="C108" s="222" t="s">
        <v>183</v>
      </c>
      <c r="D108" s="1228" t="s">
        <v>66</v>
      </c>
      <c r="E108" s="214">
        <v>1</v>
      </c>
      <c r="F108" s="1599">
        <v>0</v>
      </c>
      <c r="G108" s="221">
        <f t="shared" si="6"/>
        <v>0</v>
      </c>
    </row>
    <row r="109" spans="2:7">
      <c r="B109" s="218"/>
      <c r="C109" s="222" t="s">
        <v>131</v>
      </c>
      <c r="D109" s="1228" t="s">
        <v>66</v>
      </c>
      <c r="E109" s="214">
        <v>1</v>
      </c>
      <c r="F109" s="1599">
        <v>0</v>
      </c>
      <c r="G109" s="221">
        <f t="shared" si="6"/>
        <v>0</v>
      </c>
    </row>
    <row r="110" spans="2:7">
      <c r="B110" s="218"/>
      <c r="C110" s="1133" t="s">
        <v>166</v>
      </c>
      <c r="D110" s="1228" t="s">
        <v>66</v>
      </c>
      <c r="E110" s="214">
        <v>2</v>
      </c>
      <c r="F110" s="1599">
        <v>0</v>
      </c>
      <c r="G110" s="221">
        <f t="shared" si="6"/>
        <v>0</v>
      </c>
    </row>
    <row r="111" spans="2:7">
      <c r="B111" s="218"/>
      <c r="C111" s="1133" t="s">
        <v>167</v>
      </c>
      <c r="D111" s="1228" t="s">
        <v>66</v>
      </c>
      <c r="E111" s="214">
        <v>2</v>
      </c>
      <c r="F111" s="1599">
        <v>0</v>
      </c>
      <c r="G111" s="221">
        <f t="shared" si="6"/>
        <v>0</v>
      </c>
    </row>
    <row r="112" spans="2:7">
      <c r="B112" s="218"/>
      <c r="C112" s="1133" t="s">
        <v>229</v>
      </c>
      <c r="D112" s="1228" t="s">
        <v>66</v>
      </c>
      <c r="E112" s="214">
        <v>2</v>
      </c>
      <c r="F112" s="1599">
        <v>0</v>
      </c>
      <c r="G112" s="221">
        <f t="shared" si="6"/>
        <v>0</v>
      </c>
    </row>
    <row r="113" spans="2:7">
      <c r="B113" s="218"/>
      <c r="C113" s="1133" t="s">
        <v>230</v>
      </c>
      <c r="D113" s="1228" t="s">
        <v>66</v>
      </c>
      <c r="E113" s="214">
        <v>2</v>
      </c>
      <c r="F113" s="1599">
        <v>0</v>
      </c>
      <c r="G113" s="221">
        <f t="shared" si="6"/>
        <v>0</v>
      </c>
    </row>
    <row r="114" spans="2:7">
      <c r="B114" s="218"/>
      <c r="C114" s="1133" t="s">
        <v>134</v>
      </c>
      <c r="D114" s="1228" t="s">
        <v>66</v>
      </c>
      <c r="E114" s="214">
        <v>1</v>
      </c>
      <c r="F114" s="1599">
        <v>0</v>
      </c>
      <c r="G114" s="221">
        <f t="shared" si="6"/>
        <v>0</v>
      </c>
    </row>
    <row r="115" spans="2:7">
      <c r="B115" s="218"/>
      <c r="C115" s="1134" t="s">
        <v>135</v>
      </c>
      <c r="D115" s="1228" t="s">
        <v>66</v>
      </c>
      <c r="E115" s="214">
        <v>1</v>
      </c>
      <c r="F115" s="1599">
        <v>0</v>
      </c>
      <c r="G115" s="221">
        <f t="shared" si="6"/>
        <v>0</v>
      </c>
    </row>
    <row r="116" spans="2:7">
      <c r="B116" s="201" t="s">
        <v>136</v>
      </c>
      <c r="C116" s="238" t="s">
        <v>320</v>
      </c>
      <c r="D116" s="260"/>
      <c r="E116" s="240"/>
      <c r="F116" s="241"/>
      <c r="G116" s="242"/>
    </row>
    <row r="117" spans="2:7">
      <c r="B117" s="218"/>
      <c r="C117" s="238" t="s">
        <v>326</v>
      </c>
      <c r="D117" s="185"/>
      <c r="E117" s="741"/>
      <c r="F117" s="1611"/>
      <c r="G117" s="263"/>
    </row>
    <row r="118" spans="2:7" ht="30.75" customHeight="1">
      <c r="B118" s="218"/>
      <c r="C118" s="1123" t="s">
        <v>322</v>
      </c>
      <c r="D118" s="260" t="s">
        <v>66</v>
      </c>
      <c r="E118" s="240">
        <v>1</v>
      </c>
      <c r="F118" s="1611">
        <v>0</v>
      </c>
      <c r="G118" s="263">
        <f t="shared" ref="G118:G120" si="7">E118*F118</f>
        <v>0</v>
      </c>
    </row>
    <row r="119" spans="2:7">
      <c r="B119" s="218"/>
      <c r="C119" s="1160" t="s">
        <v>325</v>
      </c>
      <c r="D119" s="260" t="s">
        <v>66</v>
      </c>
      <c r="E119" s="240">
        <v>1</v>
      </c>
      <c r="F119" s="1611">
        <v>0</v>
      </c>
      <c r="G119" s="263">
        <f t="shared" si="7"/>
        <v>0</v>
      </c>
    </row>
    <row r="120" spans="2:7">
      <c r="B120" s="218"/>
      <c r="C120" s="1161" t="s">
        <v>135</v>
      </c>
      <c r="D120" s="260" t="s">
        <v>66</v>
      </c>
      <c r="E120" s="240">
        <v>1</v>
      </c>
      <c r="F120" s="1611">
        <v>0</v>
      </c>
      <c r="G120" s="263">
        <f t="shared" si="7"/>
        <v>0</v>
      </c>
    </row>
    <row r="121" spans="2:7">
      <c r="B121" s="201" t="s">
        <v>151</v>
      </c>
      <c r="C121" s="223" t="s">
        <v>137</v>
      </c>
      <c r="D121" s="1232"/>
      <c r="E121" s="225"/>
      <c r="F121" s="226"/>
      <c r="G121" s="227"/>
    </row>
    <row r="122" spans="2:7">
      <c r="B122" s="218"/>
      <c r="C122" s="223" t="s">
        <v>138</v>
      </c>
      <c r="D122" s="2240"/>
      <c r="E122" s="738"/>
      <c r="F122" s="1605"/>
      <c r="G122" s="1125"/>
    </row>
    <row r="123" spans="2:7">
      <c r="B123" s="218"/>
      <c r="C123" s="228" t="s">
        <v>129</v>
      </c>
      <c r="D123" s="1232" t="s">
        <v>66</v>
      </c>
      <c r="E123" s="225">
        <v>1</v>
      </c>
      <c r="F123" s="1603">
        <v>0</v>
      </c>
      <c r="G123" s="230">
        <f t="shared" ref="G123:G138" si="8">E123*F123</f>
        <v>0</v>
      </c>
    </row>
    <row r="124" spans="2:7">
      <c r="B124" s="218"/>
      <c r="C124" s="228" t="s">
        <v>139</v>
      </c>
      <c r="D124" s="1232" t="s">
        <v>66</v>
      </c>
      <c r="E124" s="225">
        <v>2</v>
      </c>
      <c r="F124" s="1603">
        <v>0</v>
      </c>
      <c r="G124" s="230">
        <f t="shared" si="8"/>
        <v>0</v>
      </c>
    </row>
    <row r="125" spans="2:7">
      <c r="B125" s="218"/>
      <c r="C125" s="231" t="s">
        <v>140</v>
      </c>
      <c r="D125" s="1232" t="s">
        <v>66</v>
      </c>
      <c r="E125" s="225">
        <v>1</v>
      </c>
      <c r="F125" s="1603">
        <v>0</v>
      </c>
      <c r="G125" s="230">
        <f t="shared" si="8"/>
        <v>0</v>
      </c>
    </row>
    <row r="126" spans="2:7">
      <c r="B126" s="218"/>
      <c r="C126" s="231" t="s">
        <v>141</v>
      </c>
      <c r="D126" s="1232" t="s">
        <v>66</v>
      </c>
      <c r="E126" s="225">
        <v>1</v>
      </c>
      <c r="F126" s="1603">
        <v>0</v>
      </c>
      <c r="G126" s="230">
        <f t="shared" si="8"/>
        <v>0</v>
      </c>
    </row>
    <row r="127" spans="2:7">
      <c r="B127" s="218"/>
      <c r="C127" s="231" t="s">
        <v>142</v>
      </c>
      <c r="D127" s="1232" t="s">
        <v>66</v>
      </c>
      <c r="E127" s="225">
        <v>1</v>
      </c>
      <c r="F127" s="1603">
        <v>0</v>
      </c>
      <c r="G127" s="230">
        <f t="shared" si="8"/>
        <v>0</v>
      </c>
    </row>
    <row r="128" spans="2:7">
      <c r="B128" s="218"/>
      <c r="C128" s="231" t="s">
        <v>143</v>
      </c>
      <c r="D128" s="1232" t="s">
        <v>66</v>
      </c>
      <c r="E128" s="225">
        <v>1</v>
      </c>
      <c r="F128" s="1603">
        <v>0</v>
      </c>
      <c r="G128" s="230">
        <f t="shared" si="8"/>
        <v>0</v>
      </c>
    </row>
    <row r="129" spans="2:7">
      <c r="B129" s="218"/>
      <c r="C129" s="231" t="s">
        <v>2250</v>
      </c>
      <c r="D129" s="1232" t="s">
        <v>66</v>
      </c>
      <c r="E129" s="225">
        <v>1</v>
      </c>
      <c r="F129" s="1603">
        <v>0</v>
      </c>
      <c r="G129" s="230">
        <f t="shared" si="8"/>
        <v>0</v>
      </c>
    </row>
    <row r="130" spans="2:7">
      <c r="B130" s="218"/>
      <c r="C130" s="231" t="s">
        <v>145</v>
      </c>
      <c r="D130" s="1232" t="s">
        <v>66</v>
      </c>
      <c r="E130" s="225">
        <v>1</v>
      </c>
      <c r="F130" s="1603">
        <v>0</v>
      </c>
      <c r="G130" s="230">
        <f t="shared" si="8"/>
        <v>0</v>
      </c>
    </row>
    <row r="131" spans="2:7">
      <c r="B131" s="218"/>
      <c r="C131" s="231" t="s">
        <v>146</v>
      </c>
      <c r="D131" s="1232" t="s">
        <v>66</v>
      </c>
      <c r="E131" s="225">
        <v>1</v>
      </c>
      <c r="F131" s="1603">
        <v>0</v>
      </c>
      <c r="G131" s="230">
        <f t="shared" si="8"/>
        <v>0</v>
      </c>
    </row>
    <row r="132" spans="2:7">
      <c r="B132" s="218"/>
      <c r="C132" s="739" t="s">
        <v>147</v>
      </c>
      <c r="D132" s="1232" t="s">
        <v>66</v>
      </c>
      <c r="E132" s="225">
        <v>1</v>
      </c>
      <c r="F132" s="1603">
        <v>0</v>
      </c>
      <c r="G132" s="230">
        <f t="shared" si="8"/>
        <v>0</v>
      </c>
    </row>
    <row r="133" spans="2:7">
      <c r="B133" s="218"/>
      <c r="C133" s="739" t="s">
        <v>188</v>
      </c>
      <c r="D133" s="1232" t="s">
        <v>66</v>
      </c>
      <c r="E133" s="225">
        <v>1</v>
      </c>
      <c r="F133" s="1603">
        <v>0</v>
      </c>
      <c r="G133" s="230">
        <f t="shared" si="8"/>
        <v>0</v>
      </c>
    </row>
    <row r="134" spans="2:7">
      <c r="B134" s="218"/>
      <c r="C134" s="739" t="s">
        <v>132</v>
      </c>
      <c r="D134" s="1232" t="s">
        <v>66</v>
      </c>
      <c r="E134" s="225">
        <v>2</v>
      </c>
      <c r="F134" s="1603">
        <v>0</v>
      </c>
      <c r="G134" s="230">
        <f t="shared" si="8"/>
        <v>0</v>
      </c>
    </row>
    <row r="135" spans="2:7">
      <c r="B135" s="218"/>
      <c r="C135" s="739" t="s">
        <v>148</v>
      </c>
      <c r="D135" s="1232" t="s">
        <v>66</v>
      </c>
      <c r="E135" s="225">
        <v>2</v>
      </c>
      <c r="F135" s="1603">
        <v>0</v>
      </c>
      <c r="G135" s="230">
        <f t="shared" si="8"/>
        <v>0</v>
      </c>
    </row>
    <row r="136" spans="2:7">
      <c r="B136" s="218"/>
      <c r="C136" s="739" t="s">
        <v>149</v>
      </c>
      <c r="D136" s="1232" t="s">
        <v>66</v>
      </c>
      <c r="E136" s="225">
        <v>1</v>
      </c>
      <c r="F136" s="1603">
        <v>0</v>
      </c>
      <c r="G136" s="230">
        <f t="shared" si="8"/>
        <v>0</v>
      </c>
    </row>
    <row r="137" spans="2:7">
      <c r="B137" s="218"/>
      <c r="C137" s="739" t="s">
        <v>150</v>
      </c>
      <c r="D137" s="1232" t="s">
        <v>66</v>
      </c>
      <c r="E137" s="225">
        <v>3</v>
      </c>
      <c r="F137" s="1603">
        <v>0</v>
      </c>
      <c r="G137" s="230">
        <f t="shared" si="8"/>
        <v>0</v>
      </c>
    </row>
    <row r="138" spans="2:7">
      <c r="B138" s="218"/>
      <c r="C138" s="740" t="s">
        <v>135</v>
      </c>
      <c r="D138" s="1232" t="s">
        <v>66</v>
      </c>
      <c r="E138" s="225">
        <v>1</v>
      </c>
      <c r="F138" s="1603">
        <v>0</v>
      </c>
      <c r="G138" s="230">
        <f t="shared" si="8"/>
        <v>0</v>
      </c>
    </row>
    <row r="139" spans="2:7">
      <c r="B139" s="201" t="s">
        <v>159</v>
      </c>
      <c r="C139" s="212" t="s">
        <v>152</v>
      </c>
      <c r="D139" s="1228"/>
      <c r="E139" s="214"/>
      <c r="F139" s="215"/>
      <c r="G139" s="216"/>
    </row>
    <row r="140" spans="2:7">
      <c r="B140" s="218"/>
      <c r="C140" s="212" t="s">
        <v>153</v>
      </c>
      <c r="D140" s="2239"/>
      <c r="E140" s="736"/>
      <c r="F140" s="1601"/>
      <c r="G140" s="1121"/>
    </row>
    <row r="141" spans="2:7">
      <c r="B141" s="218"/>
      <c r="C141" s="219" t="s">
        <v>129</v>
      </c>
      <c r="D141" s="1228" t="s">
        <v>66</v>
      </c>
      <c r="E141" s="214">
        <v>1</v>
      </c>
      <c r="F141" s="1599">
        <v>0</v>
      </c>
      <c r="G141" s="221">
        <f t="shared" ref="G141:G151" si="9">E141*F141</f>
        <v>0</v>
      </c>
    </row>
    <row r="142" spans="2:7" ht="24">
      <c r="B142" s="218"/>
      <c r="C142" s="222" t="s">
        <v>154</v>
      </c>
      <c r="D142" s="1228" t="s">
        <v>66</v>
      </c>
      <c r="E142" s="214">
        <v>1</v>
      </c>
      <c r="F142" s="1599">
        <v>0</v>
      </c>
      <c r="G142" s="221">
        <f t="shared" si="9"/>
        <v>0</v>
      </c>
    </row>
    <row r="143" spans="2:7">
      <c r="B143" s="218"/>
      <c r="C143" s="222" t="s">
        <v>155</v>
      </c>
      <c r="D143" s="1228" t="s">
        <v>66</v>
      </c>
      <c r="E143" s="214">
        <v>1</v>
      </c>
      <c r="F143" s="1599">
        <v>0</v>
      </c>
      <c r="G143" s="221">
        <f t="shared" si="9"/>
        <v>0</v>
      </c>
    </row>
    <row r="144" spans="2:7">
      <c r="B144" s="218"/>
      <c r="C144" s="222" t="s">
        <v>330</v>
      </c>
      <c r="D144" s="1228" t="s">
        <v>66</v>
      </c>
      <c r="E144" s="214">
        <v>1</v>
      </c>
      <c r="F144" s="1599">
        <v>0</v>
      </c>
      <c r="G144" s="221">
        <f t="shared" si="9"/>
        <v>0</v>
      </c>
    </row>
    <row r="145" spans="2:7">
      <c r="B145" s="218"/>
      <c r="C145" s="222" t="s">
        <v>157</v>
      </c>
      <c r="D145" s="1228" t="s">
        <v>66</v>
      </c>
      <c r="E145" s="214">
        <v>1</v>
      </c>
      <c r="F145" s="1599">
        <v>0</v>
      </c>
      <c r="G145" s="221">
        <f t="shared" si="9"/>
        <v>0</v>
      </c>
    </row>
    <row r="146" spans="2:7">
      <c r="B146" s="218"/>
      <c r="C146" s="1162" t="s">
        <v>158</v>
      </c>
      <c r="D146" s="1228" t="s">
        <v>66</v>
      </c>
      <c r="E146" s="214">
        <v>1</v>
      </c>
      <c r="F146" s="1599">
        <v>0</v>
      </c>
      <c r="G146" s="221">
        <f t="shared" si="9"/>
        <v>0</v>
      </c>
    </row>
    <row r="147" spans="2:7">
      <c r="B147" s="218"/>
      <c r="C147" s="1162" t="s">
        <v>190</v>
      </c>
      <c r="D147" s="1228" t="s">
        <v>66</v>
      </c>
      <c r="E147" s="214">
        <v>1</v>
      </c>
      <c r="F147" s="1599">
        <v>0</v>
      </c>
      <c r="G147" s="221">
        <f t="shared" si="9"/>
        <v>0</v>
      </c>
    </row>
    <row r="148" spans="2:7">
      <c r="B148" s="218"/>
      <c r="C148" s="1162" t="s">
        <v>132</v>
      </c>
      <c r="D148" s="1228" t="s">
        <v>66</v>
      </c>
      <c r="E148" s="214">
        <v>2</v>
      </c>
      <c r="F148" s="1599">
        <v>0</v>
      </c>
      <c r="G148" s="221">
        <f t="shared" si="9"/>
        <v>0</v>
      </c>
    </row>
    <row r="149" spans="2:7">
      <c r="B149" s="218"/>
      <c r="C149" s="1162" t="s">
        <v>148</v>
      </c>
      <c r="D149" s="1228" t="s">
        <v>66</v>
      </c>
      <c r="E149" s="214">
        <v>2</v>
      </c>
      <c r="F149" s="1599">
        <v>0</v>
      </c>
      <c r="G149" s="221">
        <f t="shared" si="9"/>
        <v>0</v>
      </c>
    </row>
    <row r="150" spans="2:7">
      <c r="B150" s="218"/>
      <c r="C150" s="1162" t="s">
        <v>150</v>
      </c>
      <c r="D150" s="1228" t="s">
        <v>66</v>
      </c>
      <c r="E150" s="214">
        <v>1</v>
      </c>
      <c r="F150" s="1599">
        <v>0</v>
      </c>
      <c r="G150" s="221">
        <f t="shared" si="9"/>
        <v>0</v>
      </c>
    </row>
    <row r="151" spans="2:7">
      <c r="B151" s="218"/>
      <c r="C151" s="1163" t="s">
        <v>135</v>
      </c>
      <c r="D151" s="1228" t="s">
        <v>66</v>
      </c>
      <c r="E151" s="214">
        <v>1</v>
      </c>
      <c r="F151" s="1599">
        <v>0</v>
      </c>
      <c r="G151" s="221">
        <f t="shared" si="9"/>
        <v>0</v>
      </c>
    </row>
    <row r="152" spans="2:7" ht="24">
      <c r="B152" s="199" t="s">
        <v>331</v>
      </c>
      <c r="C152" s="212" t="s">
        <v>332</v>
      </c>
      <c r="D152" s="2239" t="s">
        <v>66</v>
      </c>
      <c r="E152" s="736">
        <v>1</v>
      </c>
      <c r="F152" s="220">
        <v>0</v>
      </c>
      <c r="G152" s="221">
        <f t="shared" ref="G152" si="10">E152*F152</f>
        <v>0</v>
      </c>
    </row>
    <row r="153" spans="2:7">
      <c r="B153" s="201" t="s">
        <v>168</v>
      </c>
      <c r="C153" s="223" t="s">
        <v>886</v>
      </c>
      <c r="D153" s="1232"/>
      <c r="E153" s="225"/>
      <c r="F153" s="226"/>
      <c r="G153" s="227"/>
    </row>
    <row r="154" spans="2:7">
      <c r="B154" s="218"/>
      <c r="C154" s="223" t="s">
        <v>196</v>
      </c>
      <c r="D154" s="2240"/>
      <c r="E154" s="738"/>
      <c r="F154" s="1605"/>
      <c r="G154" s="1128"/>
    </row>
    <row r="155" spans="2:7" ht="24">
      <c r="B155" s="218"/>
      <c r="C155" s="228" t="s">
        <v>2248</v>
      </c>
      <c r="D155" s="1232" t="s">
        <v>66</v>
      </c>
      <c r="E155" s="225">
        <v>1</v>
      </c>
      <c r="F155" s="1768">
        <v>0</v>
      </c>
      <c r="G155" s="1714">
        <f t="shared" ref="G155:G159" si="11">E155*F155</f>
        <v>0</v>
      </c>
    </row>
    <row r="156" spans="2:7">
      <c r="B156" s="218"/>
      <c r="C156" s="1164" t="s">
        <v>132</v>
      </c>
      <c r="D156" s="1232" t="s">
        <v>66</v>
      </c>
      <c r="E156" s="225">
        <v>3</v>
      </c>
      <c r="F156" s="1768">
        <v>0</v>
      </c>
      <c r="G156" s="1714">
        <f t="shared" si="11"/>
        <v>0</v>
      </c>
    </row>
    <row r="157" spans="2:7">
      <c r="B157" s="218"/>
      <c r="C157" s="1164" t="s">
        <v>148</v>
      </c>
      <c r="D157" s="1232" t="s">
        <v>66</v>
      </c>
      <c r="E157" s="225">
        <v>3</v>
      </c>
      <c r="F157" s="1768">
        <v>0</v>
      </c>
      <c r="G157" s="1714">
        <f t="shared" si="11"/>
        <v>0</v>
      </c>
    </row>
    <row r="158" spans="2:7">
      <c r="B158" s="218"/>
      <c r="C158" s="1164" t="s">
        <v>150</v>
      </c>
      <c r="D158" s="1232" t="s">
        <v>66</v>
      </c>
      <c r="E158" s="225">
        <v>1</v>
      </c>
      <c r="F158" s="1768">
        <v>0</v>
      </c>
      <c r="G158" s="1714">
        <f t="shared" si="11"/>
        <v>0</v>
      </c>
    </row>
    <row r="159" spans="2:7">
      <c r="B159" s="218"/>
      <c r="C159" s="1165" t="s">
        <v>135</v>
      </c>
      <c r="D159" s="1232" t="s">
        <v>66</v>
      </c>
      <c r="E159" s="225">
        <v>1</v>
      </c>
      <c r="F159" s="1768">
        <v>0</v>
      </c>
      <c r="G159" s="1714">
        <f t="shared" si="11"/>
        <v>0</v>
      </c>
    </row>
    <row r="160" spans="2:7">
      <c r="B160" s="218"/>
      <c r="C160" s="223" t="s">
        <v>1432</v>
      </c>
      <c r="D160" s="2240"/>
      <c r="E160" s="738"/>
      <c r="F160" s="1605"/>
      <c r="G160" s="1646"/>
    </row>
    <row r="161" spans="2:8" s="217" customFormat="1">
      <c r="B161" s="218"/>
      <c r="C161" s="1655" t="s">
        <v>148</v>
      </c>
      <c r="D161" s="1232" t="s">
        <v>66</v>
      </c>
      <c r="E161" s="225">
        <v>1</v>
      </c>
      <c r="F161" s="1768">
        <v>0</v>
      </c>
      <c r="G161" s="1714">
        <f t="shared" ref="G161:G163" si="12">E161*F161</f>
        <v>0</v>
      </c>
      <c r="H161" s="1703"/>
    </row>
    <row r="162" spans="2:8" s="217" customFormat="1">
      <c r="B162" s="218"/>
      <c r="C162" s="1655" t="s">
        <v>2257</v>
      </c>
      <c r="D162" s="1232" t="s">
        <v>66</v>
      </c>
      <c r="E162" s="225">
        <v>1</v>
      </c>
      <c r="F162" s="1768">
        <v>0</v>
      </c>
      <c r="G162" s="1714">
        <f t="shared" si="12"/>
        <v>0</v>
      </c>
      <c r="H162" s="1703"/>
    </row>
    <row r="163" spans="2:8" s="217" customFormat="1">
      <c r="B163" s="218"/>
      <c r="C163" s="1655" t="s">
        <v>230</v>
      </c>
      <c r="D163" s="1232" t="s">
        <v>66</v>
      </c>
      <c r="E163" s="225">
        <v>1</v>
      </c>
      <c r="F163" s="1768">
        <v>0</v>
      </c>
      <c r="G163" s="1714">
        <f t="shared" si="12"/>
        <v>0</v>
      </c>
      <c r="H163" s="1703"/>
    </row>
    <row r="164" spans="2:8">
      <c r="B164" s="201" t="s">
        <v>172</v>
      </c>
      <c r="C164" s="238" t="s">
        <v>169</v>
      </c>
      <c r="D164" s="260"/>
      <c r="E164" s="240"/>
      <c r="F164" s="241"/>
      <c r="G164" s="242"/>
    </row>
    <row r="165" spans="2:8">
      <c r="B165" s="218"/>
      <c r="C165" s="238" t="s">
        <v>170</v>
      </c>
      <c r="D165" s="185"/>
      <c r="E165" s="741"/>
      <c r="F165" s="1611"/>
      <c r="G165" s="263"/>
    </row>
    <row r="166" spans="2:8" ht="36">
      <c r="B166" s="218"/>
      <c r="C166" s="243" t="s">
        <v>2246</v>
      </c>
      <c r="D166" s="260" t="s">
        <v>66</v>
      </c>
      <c r="E166" s="240">
        <v>8</v>
      </c>
      <c r="F166" s="1609">
        <v>0</v>
      </c>
      <c r="G166" s="245">
        <f t="shared" ref="G166:G174" si="13">E166*F166</f>
        <v>0</v>
      </c>
    </row>
    <row r="167" spans="2:8">
      <c r="B167" s="218"/>
      <c r="C167" s="1129" t="s">
        <v>171</v>
      </c>
      <c r="D167" s="260" t="s">
        <v>66</v>
      </c>
      <c r="E167" s="240">
        <v>8</v>
      </c>
      <c r="F167" s="1609">
        <v>0</v>
      </c>
      <c r="G167" s="245">
        <f t="shared" si="13"/>
        <v>0</v>
      </c>
    </row>
    <row r="168" spans="2:8">
      <c r="B168" s="218"/>
      <c r="C168" s="1130" t="s">
        <v>135</v>
      </c>
      <c r="D168" s="260" t="s">
        <v>66</v>
      </c>
      <c r="E168" s="240">
        <v>8</v>
      </c>
      <c r="F168" s="1609">
        <v>0</v>
      </c>
      <c r="G168" s="245">
        <f t="shared" si="13"/>
        <v>0</v>
      </c>
    </row>
    <row r="169" spans="2:8">
      <c r="B169" s="218"/>
      <c r="C169" s="247" t="s">
        <v>891</v>
      </c>
      <c r="D169" s="260" t="s">
        <v>66</v>
      </c>
      <c r="E169" s="240">
        <v>8</v>
      </c>
      <c r="F169" s="1609">
        <v>0</v>
      </c>
      <c r="G169" s="245">
        <f t="shared" si="13"/>
        <v>0</v>
      </c>
    </row>
    <row r="170" spans="2:8">
      <c r="B170" s="218"/>
      <c r="C170" s="238" t="s">
        <v>234</v>
      </c>
      <c r="D170" s="185"/>
      <c r="E170" s="741"/>
      <c r="F170" s="1609"/>
      <c r="G170" s="245"/>
    </row>
    <row r="171" spans="2:8" ht="36">
      <c r="B171" s="218"/>
      <c r="C171" s="243" t="s">
        <v>2245</v>
      </c>
      <c r="D171" s="260" t="s">
        <v>66</v>
      </c>
      <c r="E171" s="240">
        <v>7</v>
      </c>
      <c r="F171" s="1609">
        <v>0</v>
      </c>
      <c r="G171" s="245">
        <f t="shared" si="13"/>
        <v>0</v>
      </c>
    </row>
    <row r="172" spans="2:8">
      <c r="B172" s="218"/>
      <c r="C172" s="1160" t="s">
        <v>171</v>
      </c>
      <c r="D172" s="260" t="s">
        <v>66</v>
      </c>
      <c r="E172" s="240">
        <v>7</v>
      </c>
      <c r="F172" s="1609">
        <v>0</v>
      </c>
      <c r="G172" s="245">
        <f t="shared" si="13"/>
        <v>0</v>
      </c>
    </row>
    <row r="173" spans="2:8">
      <c r="B173" s="218"/>
      <c r="C173" s="1161" t="s">
        <v>135</v>
      </c>
      <c r="D173" s="260" t="s">
        <v>66</v>
      </c>
      <c r="E173" s="240">
        <v>7</v>
      </c>
      <c r="F173" s="1609">
        <v>0</v>
      </c>
      <c r="G173" s="245">
        <f t="shared" si="13"/>
        <v>0</v>
      </c>
    </row>
    <row r="174" spans="2:8">
      <c r="B174" s="218"/>
      <c r="C174" s="247" t="s">
        <v>891</v>
      </c>
      <c r="D174" s="260" t="s">
        <v>66</v>
      </c>
      <c r="E174" s="240">
        <v>7</v>
      </c>
      <c r="F174" s="1609">
        <v>0</v>
      </c>
      <c r="G174" s="245">
        <f t="shared" si="13"/>
        <v>0</v>
      </c>
    </row>
    <row r="175" spans="2:8">
      <c r="B175" s="201" t="s">
        <v>340</v>
      </c>
      <c r="C175" s="248" t="s">
        <v>173</v>
      </c>
      <c r="D175" s="249"/>
      <c r="E175" s="250"/>
      <c r="F175" s="251"/>
      <c r="G175" s="252"/>
    </row>
    <row r="176" spans="2:8" ht="60">
      <c r="B176" s="218"/>
      <c r="C176" s="253" t="s">
        <v>174</v>
      </c>
      <c r="D176" s="249" t="s">
        <v>66</v>
      </c>
      <c r="E176" s="1143">
        <v>1</v>
      </c>
      <c r="F176" s="1144">
        <v>0</v>
      </c>
      <c r="G176" s="252">
        <f>E176*F176</f>
        <v>0</v>
      </c>
    </row>
    <row r="177" spans="2:7">
      <c r="B177" s="258" t="s">
        <v>1455</v>
      </c>
      <c r="C177" s="259" t="s">
        <v>1396</v>
      </c>
      <c r="D177" s="260"/>
      <c r="E177" s="261"/>
      <c r="F177" s="262"/>
      <c r="G177" s="263">
        <f>SUM(G74:G176)</f>
        <v>0</v>
      </c>
    </row>
  </sheetData>
  <mergeCells count="5">
    <mergeCell ref="B43:G43"/>
    <mergeCell ref="B70:G70"/>
    <mergeCell ref="B71:G71"/>
    <mergeCell ref="B72:G72"/>
    <mergeCell ref="B81:B84"/>
  </mergeCells>
  <pageMargins left="0.7" right="0.7" top="0.75" bottom="0.75" header="0.3" footer="0.3"/>
  <pageSetup paperSize="9" scale="84" orientation="portrait" r:id="rId1"/>
  <headerFooter alignWithMargins="0">
    <oddFooter>&amp;C&amp;8&amp;P/&amp;N</oddFooter>
  </headerFooter>
  <rowBreaks count="1" manualBreakCount="1">
    <brk id="1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93FFF-1DDF-4859-84CC-67D28515CE68}">
  <sheetPr>
    <tabColor rgb="FF00B0F0"/>
  </sheetPr>
  <dimension ref="A2:Y203"/>
  <sheetViews>
    <sheetView showZeros="0" topLeftCell="A27"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42578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1456</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1457</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1458</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G65</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G203</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941</v>
      </c>
      <c r="F26" s="1082">
        <v>0</v>
      </c>
      <c r="G26" s="1083">
        <f t="shared" ref="G26" si="0">E26*F26</f>
        <v>0</v>
      </c>
    </row>
    <row r="27" spans="2:25">
      <c r="B27" s="125">
        <v>2</v>
      </c>
      <c r="C27" s="144" t="s">
        <v>58</v>
      </c>
      <c r="D27" s="140" t="s">
        <v>57</v>
      </c>
      <c r="E27" s="1081">
        <f>E26</f>
        <v>941</v>
      </c>
      <c r="F27" s="1082">
        <v>0</v>
      </c>
      <c r="G27" s="1083">
        <f>E27*F27</f>
        <v>0</v>
      </c>
    </row>
    <row r="28" spans="2:25" ht="24">
      <c r="B28" s="125">
        <v>3</v>
      </c>
      <c r="C28" s="144" t="s">
        <v>1389</v>
      </c>
      <c r="D28" s="146" t="s">
        <v>60</v>
      </c>
      <c r="E28" s="1081">
        <v>4</v>
      </c>
      <c r="F28" s="1082">
        <v>0</v>
      </c>
      <c r="G28" s="1083">
        <f t="shared" ref="G28:G36" si="1">E28*F28</f>
        <v>0</v>
      </c>
    </row>
    <row r="29" spans="2:25" ht="27.75" customHeight="1">
      <c r="B29" s="125">
        <v>4</v>
      </c>
      <c r="C29" s="1084" t="s">
        <v>63</v>
      </c>
      <c r="D29" s="140" t="s">
        <v>57</v>
      </c>
      <c r="E29" s="1081">
        <f>E26</f>
        <v>941</v>
      </c>
      <c r="F29" s="1082">
        <v>0</v>
      </c>
      <c r="G29" s="1083">
        <f t="shared" si="1"/>
        <v>0</v>
      </c>
    </row>
    <row r="30" spans="2:25" ht="52.5" customHeight="1">
      <c r="B30" s="125">
        <v>5</v>
      </c>
      <c r="C30" s="1084" t="s">
        <v>64</v>
      </c>
      <c r="D30" s="146" t="s">
        <v>60</v>
      </c>
      <c r="E30" s="1081">
        <v>1</v>
      </c>
      <c r="F30" s="1082">
        <v>0</v>
      </c>
      <c r="G30" s="1083">
        <f t="shared" si="1"/>
        <v>0</v>
      </c>
    </row>
    <row r="31" spans="2:25" ht="54.75" customHeight="1">
      <c r="B31" s="125">
        <v>6</v>
      </c>
      <c r="C31" s="1080" t="s">
        <v>2292</v>
      </c>
      <c r="D31" s="146" t="s">
        <v>66</v>
      </c>
      <c r="E31" s="1081">
        <v>25</v>
      </c>
      <c r="F31" s="1082">
        <v>0</v>
      </c>
      <c r="G31" s="1083">
        <f t="shared" si="1"/>
        <v>0</v>
      </c>
    </row>
    <row r="32" spans="2:25" ht="36">
      <c r="B32" s="125">
        <v>7</v>
      </c>
      <c r="C32" s="1080" t="s">
        <v>2295</v>
      </c>
      <c r="D32" s="146" t="s">
        <v>57</v>
      </c>
      <c r="E32" s="1081">
        <f>E26+E83+E84</f>
        <v>1042</v>
      </c>
      <c r="F32" s="1082">
        <v>0</v>
      </c>
      <c r="G32" s="1083">
        <f t="shared" si="1"/>
        <v>0</v>
      </c>
    </row>
    <row r="33" spans="1:25" ht="24">
      <c r="B33" s="125">
        <v>8</v>
      </c>
      <c r="C33" s="1080" t="s">
        <v>2293</v>
      </c>
      <c r="D33" s="146" t="s">
        <v>57</v>
      </c>
      <c r="E33" s="1081">
        <f>E26+E83+E84</f>
        <v>1042</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20</v>
      </c>
      <c r="F44" s="1092">
        <v>0</v>
      </c>
      <c r="G44" s="1093">
        <f t="shared" ref="G44:G63"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254.07</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1439.73</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1411.5</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941</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1129.2</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564.6</v>
      </c>
      <c r="F50" s="1092">
        <v>0</v>
      </c>
      <c r="G50" s="1083">
        <f t="shared" si="2"/>
        <v>0</v>
      </c>
      <c r="I50" s="1"/>
      <c r="J50" s="1"/>
      <c r="K50" s="1"/>
      <c r="L50" s="1"/>
      <c r="M50" s="1"/>
      <c r="N50" s="1"/>
      <c r="O50" s="1"/>
      <c r="P50" s="1"/>
      <c r="Q50" s="1"/>
      <c r="R50" s="1"/>
      <c r="S50" s="1"/>
      <c r="T50" s="1"/>
      <c r="U50" s="1"/>
      <c r="V50" s="1"/>
      <c r="W50" s="1"/>
      <c r="X50" s="1"/>
      <c r="Y50" s="1"/>
    </row>
    <row r="51" spans="1:25" s="8" customFormat="1" ht="27" customHeight="1">
      <c r="A51" s="1"/>
      <c r="B51" s="717">
        <v>8</v>
      </c>
      <c r="C51" s="1095" t="s">
        <v>85</v>
      </c>
      <c r="D51" s="140" t="s">
        <v>57</v>
      </c>
      <c r="E51" s="1094">
        <v>20</v>
      </c>
      <c r="F51" s="1092">
        <v>0</v>
      </c>
      <c r="G51" s="1083">
        <f t="shared" si="2"/>
        <v>0</v>
      </c>
      <c r="I51" s="1"/>
      <c r="J51" s="1"/>
      <c r="K51" s="1"/>
      <c r="L51" s="1"/>
      <c r="M51" s="1"/>
      <c r="N51" s="1"/>
      <c r="O51" s="1"/>
      <c r="P51" s="1"/>
      <c r="Q51" s="1"/>
      <c r="R51" s="1"/>
      <c r="S51" s="1"/>
      <c r="T51" s="1"/>
      <c r="U51" s="1"/>
      <c r="V51" s="1"/>
      <c r="W51" s="1"/>
      <c r="X51" s="1"/>
      <c r="Y51" s="1"/>
    </row>
    <row r="52" spans="1:25" s="8" customFormat="1" ht="27" customHeight="1">
      <c r="A52" s="1"/>
      <c r="B52" s="167">
        <v>9</v>
      </c>
      <c r="C52" s="1095" t="s">
        <v>1391</v>
      </c>
      <c r="D52" s="140" t="s">
        <v>78</v>
      </c>
      <c r="E52" s="1094">
        <f>E26*1.2</f>
        <v>1129.2</v>
      </c>
      <c r="F52" s="1092">
        <v>0</v>
      </c>
      <c r="G52" s="1083">
        <f t="shared" si="2"/>
        <v>0</v>
      </c>
      <c r="I52" s="1"/>
      <c r="J52" s="1"/>
      <c r="K52" s="1"/>
      <c r="L52" s="1"/>
      <c r="M52" s="1"/>
      <c r="N52" s="1"/>
      <c r="O52" s="1"/>
      <c r="P52" s="1"/>
      <c r="Q52" s="1"/>
      <c r="R52" s="1"/>
      <c r="S52" s="1"/>
      <c r="T52" s="1"/>
      <c r="U52" s="1"/>
      <c r="V52" s="1"/>
      <c r="W52" s="1"/>
      <c r="X52" s="1"/>
      <c r="Y52" s="1"/>
    </row>
    <row r="53" spans="1:25" s="8" customFormat="1" ht="30" customHeight="1">
      <c r="A53" s="1"/>
      <c r="B53" s="717">
        <v>10</v>
      </c>
      <c r="C53" s="139" t="s">
        <v>878</v>
      </c>
      <c r="D53" s="140" t="s">
        <v>78</v>
      </c>
      <c r="E53" s="128">
        <f>706*1.8</f>
        <v>1270.8</v>
      </c>
      <c r="F53" s="1092">
        <v>0</v>
      </c>
      <c r="G53" s="711">
        <f t="shared" si="2"/>
        <v>0</v>
      </c>
      <c r="I53" s="1"/>
      <c r="J53" s="1"/>
      <c r="K53" s="1"/>
      <c r="L53" s="1"/>
      <c r="M53" s="1"/>
      <c r="N53" s="1"/>
      <c r="O53" s="1"/>
      <c r="P53" s="1"/>
      <c r="Q53" s="1"/>
      <c r="R53" s="1"/>
      <c r="S53" s="1"/>
      <c r="T53" s="1"/>
      <c r="U53" s="1"/>
      <c r="V53" s="1"/>
      <c r="W53" s="1"/>
      <c r="X53" s="1"/>
      <c r="Y53" s="1"/>
    </row>
    <row r="54" spans="1:25" s="8" customFormat="1" ht="63.75" customHeight="1">
      <c r="A54" s="1"/>
      <c r="B54" s="167">
        <v>11</v>
      </c>
      <c r="C54" s="397" t="s">
        <v>254</v>
      </c>
      <c r="D54" s="145" t="s">
        <v>78</v>
      </c>
      <c r="E54" s="1094">
        <v>10</v>
      </c>
      <c r="F54" s="1092">
        <v>0</v>
      </c>
      <c r="G54" s="1083">
        <f t="shared" si="2"/>
        <v>0</v>
      </c>
      <c r="I54" s="1"/>
      <c r="J54" s="1"/>
      <c r="K54" s="1"/>
      <c r="L54" s="1"/>
      <c r="M54" s="1"/>
      <c r="N54" s="1"/>
      <c r="O54" s="1"/>
      <c r="P54" s="1"/>
      <c r="Q54" s="1"/>
      <c r="R54" s="1"/>
      <c r="S54" s="1"/>
      <c r="T54" s="1"/>
      <c r="U54" s="1"/>
      <c r="V54" s="1"/>
      <c r="W54" s="1"/>
      <c r="X54" s="1"/>
      <c r="Y54" s="1"/>
    </row>
    <row r="55" spans="1:25" s="8" customFormat="1" ht="41.25" customHeight="1">
      <c r="A55" s="1"/>
      <c r="B55" s="717">
        <v>12</v>
      </c>
      <c r="C55" s="397" t="s">
        <v>1459</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65.25" customHeight="1">
      <c r="A56" s="1"/>
      <c r="B56" s="167">
        <v>13</v>
      </c>
      <c r="C56" s="139" t="s">
        <v>1460</v>
      </c>
      <c r="D56" s="145" t="s">
        <v>78</v>
      </c>
      <c r="E56" s="1094">
        <v>5</v>
      </c>
      <c r="F56" s="1092">
        <v>0</v>
      </c>
      <c r="G56" s="1083">
        <f t="shared" si="2"/>
        <v>0</v>
      </c>
      <c r="I56" s="1"/>
      <c r="J56" s="1"/>
      <c r="K56" s="1"/>
      <c r="L56" s="1"/>
      <c r="M56" s="1"/>
      <c r="N56" s="1"/>
      <c r="O56" s="1"/>
      <c r="P56" s="1"/>
      <c r="Q56" s="1"/>
      <c r="R56" s="1"/>
      <c r="S56" s="1"/>
      <c r="T56" s="1"/>
      <c r="U56" s="1"/>
      <c r="V56" s="1"/>
      <c r="W56" s="1"/>
      <c r="X56" s="1"/>
      <c r="Y56" s="1"/>
    </row>
    <row r="57" spans="1:25" s="8" customFormat="1" ht="14.25" customHeight="1">
      <c r="A57" s="1"/>
      <c r="B57" s="717">
        <v>14</v>
      </c>
      <c r="C57" s="139" t="s">
        <v>264</v>
      </c>
      <c r="D57" s="145" t="s">
        <v>74</v>
      </c>
      <c r="E57" s="128">
        <f>E45+E46+(E53*0.06)-E49</f>
        <v>640.84799999999996</v>
      </c>
      <c r="F57" s="1092">
        <v>0</v>
      </c>
      <c r="G57" s="142">
        <f t="shared" si="2"/>
        <v>0</v>
      </c>
      <c r="I57" s="1"/>
      <c r="J57" s="1"/>
      <c r="K57" s="1"/>
      <c r="L57" s="1"/>
      <c r="M57" s="1"/>
      <c r="N57" s="1"/>
      <c r="O57" s="1"/>
      <c r="P57" s="1"/>
      <c r="Q57" s="1"/>
      <c r="R57" s="1"/>
      <c r="S57" s="1"/>
      <c r="T57" s="1"/>
      <c r="U57" s="1"/>
      <c r="V57" s="1"/>
      <c r="W57" s="1"/>
      <c r="X57" s="1"/>
      <c r="Y57" s="1"/>
    </row>
    <row r="58" spans="1:25" s="8" customFormat="1">
      <c r="A58" s="1"/>
      <c r="B58" s="167">
        <v>15</v>
      </c>
      <c r="C58" s="139" t="s">
        <v>265</v>
      </c>
      <c r="D58" s="145" t="s">
        <v>74</v>
      </c>
      <c r="E58" s="128">
        <f>E57</f>
        <v>640.84799999999996</v>
      </c>
      <c r="F58" s="1092">
        <v>0</v>
      </c>
      <c r="G58" s="142">
        <f t="shared" si="2"/>
        <v>0</v>
      </c>
      <c r="I58" s="1"/>
      <c r="J58" s="1"/>
      <c r="K58" s="1"/>
      <c r="L58" s="1"/>
      <c r="M58" s="1"/>
      <c r="N58" s="1"/>
      <c r="O58" s="1"/>
      <c r="P58" s="1"/>
      <c r="Q58" s="1"/>
      <c r="R58" s="1"/>
      <c r="S58" s="1"/>
      <c r="T58" s="1"/>
      <c r="U58" s="1"/>
      <c r="V58" s="1"/>
      <c r="W58" s="1"/>
      <c r="X58" s="1"/>
      <c r="Y58" s="1"/>
    </row>
    <row r="59" spans="1:25" s="8" customFormat="1" ht="27.75" customHeight="1">
      <c r="A59" s="1"/>
      <c r="B59" s="717">
        <v>16</v>
      </c>
      <c r="C59" s="126" t="s">
        <v>95</v>
      </c>
      <c r="D59" s="140" t="s">
        <v>74</v>
      </c>
      <c r="E59" s="1094">
        <f>E26*0.75*0.1</f>
        <v>70.575000000000003</v>
      </c>
      <c r="F59" s="1092">
        <v>0</v>
      </c>
      <c r="G59" s="1083">
        <f t="shared" si="2"/>
        <v>0</v>
      </c>
      <c r="I59" s="1"/>
      <c r="J59" s="1"/>
      <c r="K59" s="1"/>
      <c r="L59" s="1"/>
      <c r="M59" s="1"/>
      <c r="N59" s="1"/>
      <c r="O59" s="1"/>
      <c r="P59" s="1"/>
      <c r="Q59" s="1"/>
      <c r="R59" s="1"/>
      <c r="S59" s="1"/>
      <c r="T59" s="1"/>
      <c r="U59" s="1"/>
      <c r="V59" s="1"/>
      <c r="W59" s="1"/>
      <c r="X59" s="1"/>
      <c r="Y59" s="1"/>
    </row>
    <row r="60" spans="1:25" s="8" customFormat="1" ht="40.5" customHeight="1">
      <c r="A60" s="1"/>
      <c r="B60" s="167">
        <v>17</v>
      </c>
      <c r="C60" s="1096" t="s">
        <v>1393</v>
      </c>
      <c r="D60" s="182" t="s">
        <v>74</v>
      </c>
      <c r="E60" s="1097">
        <v>16</v>
      </c>
      <c r="F60" s="1092">
        <v>0</v>
      </c>
      <c r="G60" s="1083">
        <f t="shared" si="2"/>
        <v>0</v>
      </c>
      <c r="I60" s="1"/>
      <c r="J60" s="1"/>
      <c r="K60" s="1"/>
      <c r="L60" s="1"/>
      <c r="M60" s="1"/>
      <c r="N60" s="1"/>
      <c r="O60" s="1"/>
      <c r="P60" s="1"/>
      <c r="Q60" s="1"/>
      <c r="R60" s="1"/>
      <c r="S60" s="1"/>
      <c r="T60" s="1"/>
      <c r="U60" s="1"/>
      <c r="V60" s="1"/>
      <c r="W60" s="1"/>
      <c r="X60" s="1"/>
      <c r="Y60" s="1"/>
    </row>
    <row r="61" spans="1:25" s="8" customFormat="1" ht="39" customHeight="1">
      <c r="A61" s="1"/>
      <c r="B61" s="717">
        <v>18</v>
      </c>
      <c r="C61" s="1096" t="s">
        <v>270</v>
      </c>
      <c r="D61" s="182" t="s">
        <v>66</v>
      </c>
      <c r="E61" s="1097">
        <v>73</v>
      </c>
      <c r="F61" s="1092">
        <v>0</v>
      </c>
      <c r="G61" s="1083">
        <f t="shared" si="2"/>
        <v>0</v>
      </c>
      <c r="I61" s="1"/>
      <c r="J61" s="1"/>
      <c r="K61" s="1"/>
      <c r="L61" s="1"/>
      <c r="M61" s="1"/>
      <c r="N61" s="1"/>
      <c r="O61" s="1"/>
      <c r="P61" s="1"/>
      <c r="Q61" s="1"/>
      <c r="R61" s="1"/>
      <c r="S61" s="1"/>
      <c r="T61" s="1"/>
      <c r="U61" s="1"/>
      <c r="V61" s="1"/>
      <c r="W61" s="1"/>
      <c r="X61" s="1"/>
      <c r="Y61" s="1"/>
    </row>
    <row r="62" spans="1:25" s="8" customFormat="1" ht="36">
      <c r="A62" s="1"/>
      <c r="B62" s="167">
        <v>19</v>
      </c>
      <c r="C62" s="1096" t="s">
        <v>99</v>
      </c>
      <c r="D62" s="182" t="s">
        <v>74</v>
      </c>
      <c r="E62" s="1097">
        <v>8</v>
      </c>
      <c r="F62" s="1092">
        <v>0</v>
      </c>
      <c r="G62" s="1083">
        <f t="shared" si="2"/>
        <v>0</v>
      </c>
      <c r="I62" s="1"/>
      <c r="J62" s="1"/>
      <c r="K62" s="1"/>
      <c r="L62" s="1"/>
      <c r="M62" s="1"/>
      <c r="N62" s="1"/>
      <c r="O62" s="1"/>
      <c r="P62" s="1"/>
      <c r="Q62" s="1"/>
      <c r="R62" s="1"/>
      <c r="S62" s="1"/>
      <c r="T62" s="1"/>
      <c r="U62" s="1"/>
      <c r="V62" s="1"/>
      <c r="W62" s="1"/>
      <c r="X62" s="1"/>
      <c r="Y62" s="1"/>
    </row>
    <row r="63" spans="1:25" s="8" customFormat="1" ht="27.75" customHeight="1">
      <c r="A63" s="1"/>
      <c r="B63" s="717">
        <v>20</v>
      </c>
      <c r="C63" s="1096" t="s">
        <v>100</v>
      </c>
      <c r="D63" s="182" t="s">
        <v>65</v>
      </c>
      <c r="E63" s="1097">
        <v>40</v>
      </c>
      <c r="F63" s="1092">
        <v>0</v>
      </c>
      <c r="G63" s="1083">
        <f t="shared" si="2"/>
        <v>0</v>
      </c>
      <c r="I63" s="1"/>
      <c r="J63" s="1"/>
      <c r="K63" s="1"/>
      <c r="L63" s="1"/>
      <c r="M63" s="1"/>
      <c r="N63" s="1"/>
      <c r="O63" s="1"/>
      <c r="P63" s="1"/>
      <c r="Q63" s="1"/>
      <c r="R63" s="1"/>
      <c r="S63" s="1"/>
      <c r="T63" s="1"/>
      <c r="U63" s="1"/>
      <c r="V63" s="1"/>
      <c r="W63" s="1"/>
      <c r="X63" s="1"/>
      <c r="Y63" s="1"/>
    </row>
    <row r="64" spans="1:25" s="8" customFormat="1">
      <c r="A64" s="1"/>
      <c r="B64" s="167"/>
      <c r="C64" s="1098"/>
      <c r="D64" s="1099"/>
      <c r="E64" s="1100"/>
      <c r="F64" s="1101"/>
      <c r="G64" s="1102"/>
      <c r="I64" s="1"/>
      <c r="J64" s="1"/>
      <c r="K64" s="1"/>
      <c r="L64" s="1"/>
      <c r="M64" s="1"/>
      <c r="N64" s="1"/>
      <c r="O64" s="1"/>
      <c r="P64" s="1"/>
      <c r="Q64" s="1"/>
      <c r="R64" s="1"/>
      <c r="S64" s="1"/>
      <c r="T64" s="1"/>
      <c r="U64" s="1"/>
      <c r="V64" s="1"/>
      <c r="W64" s="1"/>
      <c r="X64" s="1"/>
      <c r="Y64" s="1"/>
    </row>
    <row r="65" spans="1:25" s="8" customFormat="1">
      <c r="A65" s="1"/>
      <c r="B65" s="151" t="s">
        <v>45</v>
      </c>
      <c r="C65" s="1086" t="s">
        <v>101</v>
      </c>
      <c r="D65" s="1103"/>
      <c r="E65" s="1088"/>
      <c r="F65" s="1089"/>
      <c r="G65" s="263">
        <f>SUM(G44:G63)</f>
        <v>0</v>
      </c>
      <c r="I65" s="1"/>
      <c r="J65" s="1"/>
      <c r="K65" s="1"/>
      <c r="L65" s="1"/>
      <c r="M65" s="1"/>
      <c r="N65" s="1"/>
      <c r="O65" s="1"/>
      <c r="P65" s="1"/>
      <c r="Q65" s="1"/>
      <c r="R65" s="1"/>
      <c r="S65" s="1"/>
      <c r="T65" s="1"/>
      <c r="U65" s="1"/>
      <c r="V65" s="1"/>
      <c r="W65" s="1"/>
      <c r="X65" s="1"/>
      <c r="Y65" s="1"/>
    </row>
    <row r="66" spans="1:25" s="8" customFormat="1">
      <c r="A66" s="1"/>
      <c r="B66" s="67"/>
      <c r="C66" s="68"/>
      <c r="D66" s="1188"/>
      <c r="E66" s="1104"/>
      <c r="F66" s="1105"/>
      <c r="G66" s="1106"/>
      <c r="I66" s="1"/>
      <c r="J66" s="1"/>
      <c r="K66" s="1"/>
      <c r="L66" s="1"/>
      <c r="M66" s="1"/>
      <c r="N66" s="1"/>
      <c r="O66" s="1"/>
      <c r="P66" s="1"/>
      <c r="Q66" s="1"/>
      <c r="R66" s="1"/>
      <c r="S66" s="1"/>
      <c r="T66" s="1"/>
      <c r="U66" s="1"/>
      <c r="V66" s="1"/>
      <c r="W66" s="1"/>
      <c r="X66" s="1"/>
      <c r="Y66" s="1"/>
    </row>
    <row r="67" spans="1:25" s="8" customFormat="1" ht="24">
      <c r="A67" s="1"/>
      <c r="B67" s="119" t="s">
        <v>50</v>
      </c>
      <c r="C67" s="120" t="s">
        <v>51</v>
      </c>
      <c r="D67" s="120" t="s">
        <v>52</v>
      </c>
      <c r="E67" s="122" t="s">
        <v>53</v>
      </c>
      <c r="F67" s="123" t="s">
        <v>54</v>
      </c>
      <c r="G67" s="124" t="s">
        <v>55</v>
      </c>
      <c r="I67" s="1"/>
      <c r="J67" s="1"/>
      <c r="K67" s="1"/>
      <c r="L67" s="1"/>
      <c r="M67" s="1"/>
      <c r="N67" s="1"/>
      <c r="O67" s="1"/>
      <c r="P67" s="1"/>
      <c r="Q67" s="1"/>
      <c r="R67" s="1"/>
      <c r="S67" s="1"/>
      <c r="T67" s="1"/>
      <c r="U67" s="1"/>
      <c r="V67" s="1"/>
      <c r="W67" s="1"/>
      <c r="X67" s="1"/>
      <c r="Y67" s="1"/>
    </row>
    <row r="68" spans="1:25" s="8" customFormat="1">
      <c r="A68" s="1"/>
      <c r="B68" s="125"/>
      <c r="C68" s="126"/>
      <c r="D68" s="140"/>
      <c r="E68" s="719"/>
      <c r="F68" s="1107"/>
      <c r="G68" s="731"/>
      <c r="I68" s="1"/>
      <c r="J68" s="1"/>
      <c r="K68" s="1"/>
      <c r="L68" s="1"/>
      <c r="M68" s="1"/>
      <c r="N68" s="1"/>
      <c r="O68" s="1"/>
      <c r="P68" s="1"/>
      <c r="Q68" s="1"/>
      <c r="R68" s="1"/>
      <c r="S68" s="1"/>
      <c r="T68" s="1"/>
      <c r="U68" s="1"/>
      <c r="V68" s="1"/>
      <c r="W68" s="1"/>
      <c r="X68" s="1"/>
      <c r="Y68" s="1"/>
    </row>
    <row r="69" spans="1:25" s="8" customFormat="1" ht="20.25">
      <c r="A69" s="1"/>
      <c r="B69" s="186" t="s">
        <v>47</v>
      </c>
      <c r="C69" s="187" t="s">
        <v>48</v>
      </c>
      <c r="D69" s="165"/>
      <c r="E69" s="134"/>
      <c r="F69" s="135"/>
      <c r="G69" s="136"/>
      <c r="I69" s="1"/>
      <c r="J69" s="1"/>
      <c r="K69" s="1"/>
      <c r="L69" s="1"/>
      <c r="M69" s="1"/>
      <c r="N69" s="1"/>
      <c r="O69" s="1"/>
      <c r="P69" s="1"/>
      <c r="Q69" s="1"/>
      <c r="R69" s="1"/>
      <c r="S69" s="1"/>
      <c r="T69" s="1"/>
      <c r="U69" s="1"/>
      <c r="V69" s="1"/>
      <c r="W69" s="1"/>
      <c r="X69" s="1"/>
      <c r="Y69" s="1"/>
    </row>
    <row r="70" spans="1:25" s="8" customFormat="1">
      <c r="A70" s="1"/>
      <c r="B70" s="1108" t="s">
        <v>38</v>
      </c>
      <c r="C70" s="1109"/>
      <c r="D70" s="2235"/>
      <c r="E70" s="1109"/>
      <c r="F70" s="1109"/>
      <c r="G70" s="1110"/>
      <c r="I70" s="1"/>
      <c r="J70" s="1"/>
      <c r="K70" s="1"/>
      <c r="L70" s="1"/>
      <c r="M70" s="1"/>
      <c r="N70" s="1"/>
      <c r="O70" s="1"/>
      <c r="P70" s="1"/>
      <c r="Q70" s="1"/>
      <c r="R70" s="1"/>
      <c r="S70" s="1"/>
      <c r="T70" s="1"/>
      <c r="U70" s="1"/>
      <c r="V70" s="1"/>
      <c r="W70" s="1"/>
      <c r="X70" s="1"/>
      <c r="Y70" s="1"/>
    </row>
    <row r="71" spans="1:25" s="8" customFormat="1">
      <c r="A71" s="1"/>
      <c r="B71" s="1111" t="s">
        <v>39</v>
      </c>
      <c r="C71" s="1112"/>
      <c r="D71" s="2236"/>
      <c r="E71" s="1112"/>
      <c r="F71" s="1112"/>
      <c r="G71" s="1113"/>
      <c r="I71" s="1"/>
      <c r="J71" s="1"/>
      <c r="K71" s="1"/>
      <c r="L71" s="1"/>
      <c r="M71" s="1"/>
      <c r="N71" s="1"/>
      <c r="O71" s="1"/>
      <c r="P71" s="1"/>
      <c r="Q71" s="1"/>
      <c r="R71" s="1"/>
      <c r="S71" s="1"/>
      <c r="T71" s="1"/>
      <c r="U71" s="1"/>
      <c r="V71" s="1"/>
      <c r="W71" s="1"/>
      <c r="X71" s="1"/>
      <c r="Y71" s="1"/>
    </row>
    <row r="72" spans="1:25" s="8" customFormat="1">
      <c r="A72" s="1"/>
      <c r="B72" s="1108" t="s">
        <v>4</v>
      </c>
      <c r="C72" s="1109"/>
      <c r="D72" s="2237"/>
      <c r="E72" s="1109"/>
      <c r="F72" s="1109"/>
      <c r="G72" s="1110"/>
      <c r="I72" s="1"/>
      <c r="J72" s="1"/>
      <c r="K72" s="1"/>
      <c r="L72" s="1"/>
      <c r="M72" s="1"/>
      <c r="N72" s="1"/>
      <c r="O72" s="1"/>
      <c r="P72" s="1"/>
      <c r="Q72" s="1"/>
      <c r="R72" s="1"/>
      <c r="S72" s="1"/>
      <c r="T72" s="1"/>
      <c r="U72" s="1"/>
      <c r="V72" s="1"/>
      <c r="W72" s="1"/>
      <c r="X72" s="1"/>
      <c r="Y72" s="1"/>
    </row>
    <row r="73" spans="1:25" s="8" customFormat="1">
      <c r="A73" s="1"/>
      <c r="B73" s="1111" t="s">
        <v>5</v>
      </c>
      <c r="C73" s="1112"/>
      <c r="D73" s="2236"/>
      <c r="E73" s="1112"/>
      <c r="F73" s="1112"/>
      <c r="G73" s="1113"/>
      <c r="I73" s="1"/>
      <c r="J73" s="1"/>
      <c r="K73" s="1"/>
      <c r="L73" s="1"/>
      <c r="M73" s="1"/>
      <c r="N73" s="1"/>
      <c r="O73" s="1"/>
      <c r="P73" s="1"/>
      <c r="Q73" s="1"/>
      <c r="R73" s="1"/>
      <c r="S73" s="1"/>
      <c r="T73" s="1"/>
      <c r="U73" s="1"/>
      <c r="V73" s="1"/>
      <c r="W73" s="1"/>
      <c r="X73" s="1"/>
      <c r="Y73" s="1"/>
    </row>
    <row r="74" spans="1:25" s="8" customFormat="1">
      <c r="A74" s="1"/>
      <c r="B74" s="2399" t="s">
        <v>271</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2399" t="s">
        <v>104</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2399" t="s">
        <v>105</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1115"/>
      <c r="C77" s="1116"/>
      <c r="D77" s="2238"/>
      <c r="E77" s="1116"/>
      <c r="F77" s="1116"/>
      <c r="G77" s="1117"/>
      <c r="I77" s="1"/>
      <c r="J77" s="1"/>
      <c r="K77" s="1"/>
      <c r="L77" s="1"/>
      <c r="M77" s="1"/>
      <c r="N77" s="1"/>
      <c r="O77" s="1"/>
      <c r="P77" s="1"/>
      <c r="Q77" s="1"/>
      <c r="R77" s="1"/>
      <c r="S77" s="1"/>
      <c r="T77" s="1"/>
      <c r="U77" s="1"/>
      <c r="V77" s="1"/>
      <c r="W77" s="1"/>
      <c r="X77" s="1"/>
      <c r="Y77" s="1"/>
    </row>
    <row r="78" spans="1:25" ht="24">
      <c r="B78" s="188">
        <v>1</v>
      </c>
      <c r="C78" s="189" t="s">
        <v>106</v>
      </c>
      <c r="D78" s="190"/>
      <c r="E78" s="719"/>
      <c r="F78" s="1107"/>
      <c r="G78" s="731"/>
    </row>
    <row r="79" spans="1:25">
      <c r="B79" s="191"/>
      <c r="C79" s="192" t="s">
        <v>107</v>
      </c>
      <c r="D79" s="190" t="s">
        <v>57</v>
      </c>
      <c r="E79" s="719">
        <f>210*0.9</f>
        <v>189</v>
      </c>
      <c r="F79" s="1092">
        <v>0</v>
      </c>
      <c r="G79" s="1093">
        <f t="shared" ref="G79:G89" si="3">E79*F79</f>
        <v>0</v>
      </c>
    </row>
    <row r="80" spans="1:25" ht="24">
      <c r="B80" s="191"/>
      <c r="C80" s="192" t="s">
        <v>884</v>
      </c>
      <c r="D80" s="190" t="s">
        <v>57</v>
      </c>
      <c r="E80" s="719">
        <f>210*0.1</f>
        <v>21</v>
      </c>
      <c r="F80" s="1092">
        <v>0</v>
      </c>
      <c r="G80" s="1093">
        <f t="shared" si="3"/>
        <v>0</v>
      </c>
    </row>
    <row r="81" spans="2:7">
      <c r="B81" s="191"/>
      <c r="C81" s="192" t="s">
        <v>226</v>
      </c>
      <c r="D81" s="190" t="s">
        <v>57</v>
      </c>
      <c r="E81" s="719">
        <f>731*0.9</f>
        <v>657.9</v>
      </c>
      <c r="F81" s="1092">
        <v>0</v>
      </c>
      <c r="G81" s="1093">
        <f t="shared" si="3"/>
        <v>0</v>
      </c>
    </row>
    <row r="82" spans="2:7" ht="24">
      <c r="B82" s="191"/>
      <c r="C82" s="192" t="s">
        <v>227</v>
      </c>
      <c r="D82" s="190" t="s">
        <v>57</v>
      </c>
      <c r="E82" s="719">
        <f>731*0.1</f>
        <v>73.100000000000009</v>
      </c>
      <c r="F82" s="1092">
        <v>0</v>
      </c>
      <c r="G82" s="1093">
        <f t="shared" si="3"/>
        <v>0</v>
      </c>
    </row>
    <row r="83" spans="2:7">
      <c r="B83" s="191"/>
      <c r="C83" s="192" t="s">
        <v>109</v>
      </c>
      <c r="D83" s="190" t="s">
        <v>57</v>
      </c>
      <c r="E83" s="719">
        <f>101*0.9</f>
        <v>90.9</v>
      </c>
      <c r="F83" s="1092">
        <v>0</v>
      </c>
      <c r="G83" s="1093">
        <f t="shared" si="3"/>
        <v>0</v>
      </c>
    </row>
    <row r="84" spans="2:7" ht="24">
      <c r="B84" s="191"/>
      <c r="C84" s="192" t="s">
        <v>110</v>
      </c>
      <c r="D84" s="190" t="s">
        <v>57</v>
      </c>
      <c r="E84" s="719">
        <f>101*0.1</f>
        <v>10.100000000000001</v>
      </c>
      <c r="F84" s="1092">
        <v>0</v>
      </c>
      <c r="G84" s="1093">
        <f t="shared" si="3"/>
        <v>0</v>
      </c>
    </row>
    <row r="85" spans="2:7" ht="36">
      <c r="B85" s="2404" t="s">
        <v>111</v>
      </c>
      <c r="C85" s="193" t="s">
        <v>112</v>
      </c>
      <c r="D85" s="194"/>
      <c r="E85" s="719"/>
      <c r="F85" s="1092"/>
      <c r="G85" s="1093"/>
    </row>
    <row r="86" spans="2:7">
      <c r="B86" s="2405"/>
      <c r="C86" s="195" t="s">
        <v>113</v>
      </c>
      <c r="D86" s="194" t="s">
        <v>57</v>
      </c>
      <c r="E86" s="719">
        <v>90</v>
      </c>
      <c r="F86" s="1092">
        <v>0</v>
      </c>
      <c r="G86" s="1093">
        <f>E86*F86</f>
        <v>0</v>
      </c>
    </row>
    <row r="87" spans="2:7">
      <c r="B87" s="2405"/>
      <c r="C87" s="195" t="s">
        <v>274</v>
      </c>
      <c r="D87" s="194" t="s">
        <v>57</v>
      </c>
      <c r="E87" s="719">
        <v>48</v>
      </c>
      <c r="F87" s="1092">
        <v>0</v>
      </c>
      <c r="G87" s="1093">
        <f>E87*F87</f>
        <v>0</v>
      </c>
    </row>
    <row r="88" spans="2:7">
      <c r="B88" s="2413"/>
      <c r="C88" s="195" t="s">
        <v>275</v>
      </c>
      <c r="D88" s="194" t="s">
        <v>57</v>
      </c>
      <c r="E88" s="719">
        <v>30</v>
      </c>
      <c r="F88" s="1092">
        <v>0</v>
      </c>
      <c r="G88" s="1093">
        <f>E88*F88</f>
        <v>0</v>
      </c>
    </row>
    <row r="89" spans="2:7" ht="36">
      <c r="B89" s="196">
        <v>2</v>
      </c>
      <c r="C89" s="197" t="s">
        <v>114</v>
      </c>
      <c r="D89" s="145" t="s">
        <v>57</v>
      </c>
      <c r="E89" s="732">
        <f>SUM(E79:E84)</f>
        <v>1042</v>
      </c>
      <c r="F89" s="1092">
        <v>0</v>
      </c>
      <c r="G89" s="1093">
        <f t="shared" si="3"/>
        <v>0</v>
      </c>
    </row>
    <row r="90" spans="2:7" ht="36">
      <c r="B90" s="199" t="s">
        <v>115</v>
      </c>
      <c r="C90" s="197" t="s">
        <v>116</v>
      </c>
      <c r="D90" s="145" t="s">
        <v>57</v>
      </c>
      <c r="E90" s="732">
        <f>E89</f>
        <v>1042</v>
      </c>
      <c r="F90" s="1092">
        <v>0</v>
      </c>
      <c r="G90" s="1093">
        <f>E90*F90</f>
        <v>0</v>
      </c>
    </row>
    <row r="91" spans="2:7" ht="24">
      <c r="B91" s="199" t="s">
        <v>117</v>
      </c>
      <c r="C91" s="197" t="s">
        <v>118</v>
      </c>
      <c r="D91" s="145" t="s">
        <v>57</v>
      </c>
      <c r="E91" s="732">
        <f>E89</f>
        <v>1042</v>
      </c>
      <c r="F91" s="1092">
        <v>0</v>
      </c>
      <c r="G91" s="1093">
        <f>E91*F91</f>
        <v>0</v>
      </c>
    </row>
    <row r="92" spans="2:7" ht="36">
      <c r="B92" s="199" t="s">
        <v>119</v>
      </c>
      <c r="C92" s="197" t="s">
        <v>120</v>
      </c>
      <c r="D92" s="145" t="s">
        <v>57</v>
      </c>
      <c r="E92" s="732">
        <f>E89</f>
        <v>1042</v>
      </c>
      <c r="F92" s="1092">
        <v>0</v>
      </c>
      <c r="G92" s="1093">
        <f>E92*F92</f>
        <v>0</v>
      </c>
    </row>
    <row r="93" spans="2:7" ht="24">
      <c r="B93" s="188">
        <v>3</v>
      </c>
      <c r="C93" s="200" t="s">
        <v>121</v>
      </c>
      <c r="D93" s="140"/>
      <c r="E93" s="719"/>
      <c r="F93" s="1092">
        <v>0</v>
      </c>
      <c r="G93" s="731"/>
    </row>
    <row r="94" spans="2:7">
      <c r="B94" s="201" t="s">
        <v>122</v>
      </c>
      <c r="C94" s="202" t="s">
        <v>123</v>
      </c>
      <c r="D94" s="209"/>
      <c r="E94" s="204"/>
      <c r="F94" s="205"/>
      <c r="G94" s="206"/>
    </row>
    <row r="95" spans="2:7">
      <c r="B95" s="125"/>
      <c r="C95" s="202" t="s">
        <v>124</v>
      </c>
      <c r="D95" s="209"/>
      <c r="E95" s="204"/>
      <c r="F95" s="205"/>
      <c r="G95" s="206"/>
    </row>
    <row r="96" spans="2:7">
      <c r="B96" s="207"/>
      <c r="C96" s="208" t="s">
        <v>125</v>
      </c>
      <c r="D96" s="209" t="s">
        <v>66</v>
      </c>
      <c r="E96" s="204">
        <v>1</v>
      </c>
      <c r="F96" s="210">
        <v>0</v>
      </c>
      <c r="G96" s="211">
        <f>E96*F96</f>
        <v>0</v>
      </c>
    </row>
    <row r="97" spans="2:7">
      <c r="B97" s="201" t="s">
        <v>126</v>
      </c>
      <c r="C97" s="212" t="s">
        <v>127</v>
      </c>
      <c r="D97" s="1228"/>
      <c r="E97" s="214"/>
      <c r="F97" s="215">
        <v>0</v>
      </c>
      <c r="G97" s="216"/>
    </row>
    <row r="98" spans="2:7">
      <c r="B98" s="218"/>
      <c r="C98" s="212" t="s">
        <v>128</v>
      </c>
      <c r="D98" s="2239"/>
      <c r="E98" s="736"/>
      <c r="F98" s="1601"/>
      <c r="G98" s="1121"/>
    </row>
    <row r="99" spans="2:7">
      <c r="B99" s="218"/>
      <c r="C99" s="219" t="s">
        <v>129</v>
      </c>
      <c r="D99" s="1228" t="s">
        <v>66</v>
      </c>
      <c r="E99" s="214">
        <v>1</v>
      </c>
      <c r="F99" s="1599">
        <v>0</v>
      </c>
      <c r="G99" s="221">
        <f t="shared" ref="G99:G117" si="4">E99*F99</f>
        <v>0</v>
      </c>
    </row>
    <row r="100" spans="2:7" ht="36">
      <c r="B100" s="218"/>
      <c r="C100" s="222" t="s">
        <v>130</v>
      </c>
      <c r="D100" s="1228" t="s">
        <v>66</v>
      </c>
      <c r="E100" s="214">
        <v>1</v>
      </c>
      <c r="F100" s="1599">
        <v>0</v>
      </c>
      <c r="G100" s="221">
        <f t="shared" si="4"/>
        <v>0</v>
      </c>
    </row>
    <row r="101" spans="2:7">
      <c r="B101" s="218"/>
      <c r="C101" s="222" t="s">
        <v>183</v>
      </c>
      <c r="D101" s="1228" t="s">
        <v>66</v>
      </c>
      <c r="E101" s="214">
        <v>1</v>
      </c>
      <c r="F101" s="1599">
        <v>0</v>
      </c>
      <c r="G101" s="221">
        <f t="shared" si="4"/>
        <v>0</v>
      </c>
    </row>
    <row r="102" spans="2:7">
      <c r="B102" s="218"/>
      <c r="C102" s="222" t="s">
        <v>131</v>
      </c>
      <c r="D102" s="1228" t="s">
        <v>66</v>
      </c>
      <c r="E102" s="214">
        <v>1</v>
      </c>
      <c r="F102" s="1599">
        <v>0</v>
      </c>
      <c r="G102" s="221">
        <f t="shared" si="4"/>
        <v>0</v>
      </c>
    </row>
    <row r="103" spans="2:7">
      <c r="B103" s="218"/>
      <c r="C103" s="222" t="s">
        <v>132</v>
      </c>
      <c r="D103" s="1228" t="s">
        <v>66</v>
      </c>
      <c r="E103" s="214">
        <v>2</v>
      </c>
      <c r="F103" s="1599">
        <v>0</v>
      </c>
      <c r="G103" s="221">
        <f t="shared" si="4"/>
        <v>0</v>
      </c>
    </row>
    <row r="104" spans="2:7">
      <c r="B104" s="218"/>
      <c r="C104" s="222" t="s">
        <v>133</v>
      </c>
      <c r="D104" s="1228" t="s">
        <v>66</v>
      </c>
      <c r="E104" s="214">
        <v>2</v>
      </c>
      <c r="F104" s="1599">
        <v>0</v>
      </c>
      <c r="G104" s="221">
        <f t="shared" si="4"/>
        <v>0</v>
      </c>
    </row>
    <row r="105" spans="2:7">
      <c r="B105" s="218"/>
      <c r="C105" s="222" t="s">
        <v>134</v>
      </c>
      <c r="D105" s="1228" t="s">
        <v>66</v>
      </c>
      <c r="E105" s="214">
        <v>1</v>
      </c>
      <c r="F105" s="1599">
        <v>0</v>
      </c>
      <c r="G105" s="221">
        <f t="shared" si="4"/>
        <v>0</v>
      </c>
    </row>
    <row r="106" spans="2:7">
      <c r="B106" s="218"/>
      <c r="C106" s="222" t="s">
        <v>135</v>
      </c>
      <c r="D106" s="1228" t="s">
        <v>66</v>
      </c>
      <c r="E106" s="214">
        <v>1</v>
      </c>
      <c r="F106" s="1599">
        <v>0</v>
      </c>
      <c r="G106" s="221">
        <f t="shared" si="4"/>
        <v>0</v>
      </c>
    </row>
    <row r="107" spans="2:7">
      <c r="B107" s="218"/>
      <c r="C107" s="212" t="s">
        <v>318</v>
      </c>
      <c r="D107" s="2239"/>
      <c r="E107" s="736"/>
      <c r="F107" s="1599"/>
      <c r="G107" s="221"/>
    </row>
    <row r="108" spans="2:7">
      <c r="B108" s="218"/>
      <c r="C108" s="219" t="s">
        <v>319</v>
      </c>
      <c r="D108" s="1228" t="s">
        <v>66</v>
      </c>
      <c r="E108" s="214">
        <v>2</v>
      </c>
      <c r="F108" s="1599">
        <v>0</v>
      </c>
      <c r="G108" s="221">
        <f t="shared" si="4"/>
        <v>0</v>
      </c>
    </row>
    <row r="109" spans="2:7" ht="36">
      <c r="B109" s="218"/>
      <c r="C109" s="222" t="s">
        <v>283</v>
      </c>
      <c r="D109" s="1228" t="s">
        <v>66</v>
      </c>
      <c r="E109" s="214">
        <v>2</v>
      </c>
      <c r="F109" s="1599">
        <v>0</v>
      </c>
      <c r="G109" s="221">
        <f t="shared" si="4"/>
        <v>0</v>
      </c>
    </row>
    <row r="110" spans="2:7">
      <c r="B110" s="218"/>
      <c r="C110" s="222" t="s">
        <v>183</v>
      </c>
      <c r="D110" s="1228" t="s">
        <v>66</v>
      </c>
      <c r="E110" s="214">
        <v>2</v>
      </c>
      <c r="F110" s="1599">
        <v>0</v>
      </c>
      <c r="G110" s="221">
        <f t="shared" si="4"/>
        <v>0</v>
      </c>
    </row>
    <row r="111" spans="2:7">
      <c r="B111" s="218"/>
      <c r="C111" s="222" t="s">
        <v>131</v>
      </c>
      <c r="D111" s="1228" t="s">
        <v>66</v>
      </c>
      <c r="E111" s="214">
        <v>2</v>
      </c>
      <c r="F111" s="1599">
        <v>0</v>
      </c>
      <c r="G111" s="221">
        <f t="shared" si="4"/>
        <v>0</v>
      </c>
    </row>
    <row r="112" spans="2:7">
      <c r="B112" s="218"/>
      <c r="C112" s="1133" t="s">
        <v>166</v>
      </c>
      <c r="D112" s="1228" t="s">
        <v>66</v>
      </c>
      <c r="E112" s="214">
        <v>4</v>
      </c>
      <c r="F112" s="1599">
        <v>0</v>
      </c>
      <c r="G112" s="221">
        <f t="shared" si="4"/>
        <v>0</v>
      </c>
    </row>
    <row r="113" spans="2:7">
      <c r="B113" s="218"/>
      <c r="C113" s="1133" t="s">
        <v>167</v>
      </c>
      <c r="D113" s="1228" t="s">
        <v>66</v>
      </c>
      <c r="E113" s="214">
        <v>4</v>
      </c>
      <c r="F113" s="1599">
        <v>0</v>
      </c>
      <c r="G113" s="221">
        <f t="shared" si="4"/>
        <v>0</v>
      </c>
    </row>
    <row r="114" spans="2:7">
      <c r="B114" s="218"/>
      <c r="C114" s="1133" t="s">
        <v>229</v>
      </c>
      <c r="D114" s="1228" t="s">
        <v>66</v>
      </c>
      <c r="E114" s="214">
        <v>4</v>
      </c>
      <c r="F114" s="1599">
        <v>0</v>
      </c>
      <c r="G114" s="221">
        <f t="shared" si="4"/>
        <v>0</v>
      </c>
    </row>
    <row r="115" spans="2:7">
      <c r="B115" s="218"/>
      <c r="C115" s="1133" t="s">
        <v>230</v>
      </c>
      <c r="D115" s="1228" t="s">
        <v>66</v>
      </c>
      <c r="E115" s="214">
        <v>4</v>
      </c>
      <c r="F115" s="1599">
        <v>0</v>
      </c>
      <c r="G115" s="221">
        <f t="shared" si="4"/>
        <v>0</v>
      </c>
    </row>
    <row r="116" spans="2:7">
      <c r="B116" s="218"/>
      <c r="C116" s="1133" t="s">
        <v>134</v>
      </c>
      <c r="D116" s="1228" t="s">
        <v>66</v>
      </c>
      <c r="E116" s="214">
        <v>2</v>
      </c>
      <c r="F116" s="1599">
        <v>0</v>
      </c>
      <c r="G116" s="221">
        <f t="shared" si="4"/>
        <v>0</v>
      </c>
    </row>
    <row r="117" spans="2:7">
      <c r="B117" s="218"/>
      <c r="C117" s="1134" t="s">
        <v>135</v>
      </c>
      <c r="D117" s="1228" t="s">
        <v>66</v>
      </c>
      <c r="E117" s="214">
        <v>2</v>
      </c>
      <c r="F117" s="1599">
        <v>0</v>
      </c>
      <c r="G117" s="221">
        <f t="shared" si="4"/>
        <v>0</v>
      </c>
    </row>
    <row r="118" spans="2:7">
      <c r="B118" s="201" t="s">
        <v>136</v>
      </c>
      <c r="C118" s="238" t="s">
        <v>320</v>
      </c>
      <c r="D118" s="260"/>
      <c r="E118" s="240"/>
      <c r="F118" s="241"/>
      <c r="G118" s="242"/>
    </row>
    <row r="119" spans="2:7">
      <c r="B119" s="218"/>
      <c r="C119" s="238" t="s">
        <v>326</v>
      </c>
      <c r="D119" s="185"/>
      <c r="E119" s="741"/>
      <c r="F119" s="1611"/>
      <c r="G119" s="263"/>
    </row>
    <row r="120" spans="2:7" ht="30" customHeight="1">
      <c r="B120" s="218"/>
      <c r="C120" s="1123" t="s">
        <v>322</v>
      </c>
      <c r="D120" s="260" t="s">
        <v>66</v>
      </c>
      <c r="E120" s="240">
        <v>2</v>
      </c>
      <c r="F120" s="1609">
        <v>0</v>
      </c>
      <c r="G120" s="245">
        <f t="shared" ref="G120:G122" si="5">E120*F120</f>
        <v>0</v>
      </c>
    </row>
    <row r="121" spans="2:7">
      <c r="B121" s="218"/>
      <c r="C121" s="246" t="s">
        <v>325</v>
      </c>
      <c r="D121" s="260" t="s">
        <v>66</v>
      </c>
      <c r="E121" s="240">
        <v>2</v>
      </c>
      <c r="F121" s="1609">
        <v>0</v>
      </c>
      <c r="G121" s="245">
        <f t="shared" si="5"/>
        <v>0</v>
      </c>
    </row>
    <row r="122" spans="2:7">
      <c r="B122" s="218"/>
      <c r="C122" s="247" t="s">
        <v>135</v>
      </c>
      <c r="D122" s="260" t="s">
        <v>66</v>
      </c>
      <c r="E122" s="240">
        <v>2</v>
      </c>
      <c r="F122" s="1609">
        <v>0</v>
      </c>
      <c r="G122" s="245">
        <f t="shared" si="5"/>
        <v>0</v>
      </c>
    </row>
    <row r="123" spans="2:7">
      <c r="B123" s="201" t="s">
        <v>151</v>
      </c>
      <c r="C123" s="223" t="s">
        <v>137</v>
      </c>
      <c r="D123" s="1232"/>
      <c r="E123" s="225"/>
      <c r="F123" s="226"/>
      <c r="G123" s="227"/>
    </row>
    <row r="124" spans="2:7">
      <c r="B124" s="218"/>
      <c r="C124" s="223" t="s">
        <v>138</v>
      </c>
      <c r="D124" s="2240"/>
      <c r="E124" s="738"/>
      <c r="F124" s="1605"/>
      <c r="G124" s="1125"/>
    </row>
    <row r="125" spans="2:7">
      <c r="B125" s="218"/>
      <c r="C125" s="228" t="s">
        <v>129</v>
      </c>
      <c r="D125" s="1232" t="s">
        <v>66</v>
      </c>
      <c r="E125" s="225">
        <v>1</v>
      </c>
      <c r="F125" s="1603">
        <v>0</v>
      </c>
      <c r="G125" s="230">
        <f t="shared" ref="G125:G140" si="6">E125*F125</f>
        <v>0</v>
      </c>
    </row>
    <row r="126" spans="2:7">
      <c r="B126" s="218"/>
      <c r="C126" s="228" t="s">
        <v>139</v>
      </c>
      <c r="D126" s="1232" t="s">
        <v>66</v>
      </c>
      <c r="E126" s="225">
        <v>2</v>
      </c>
      <c r="F126" s="1603">
        <v>0</v>
      </c>
      <c r="G126" s="230">
        <f t="shared" si="6"/>
        <v>0</v>
      </c>
    </row>
    <row r="127" spans="2:7">
      <c r="B127" s="218"/>
      <c r="C127" s="231" t="s">
        <v>140</v>
      </c>
      <c r="D127" s="1232" t="s">
        <v>66</v>
      </c>
      <c r="E127" s="225">
        <v>1</v>
      </c>
      <c r="F127" s="1603">
        <v>0</v>
      </c>
      <c r="G127" s="230">
        <f t="shared" si="6"/>
        <v>0</v>
      </c>
    </row>
    <row r="128" spans="2:7">
      <c r="B128" s="218"/>
      <c r="C128" s="231" t="s">
        <v>141</v>
      </c>
      <c r="D128" s="1232" t="s">
        <v>66</v>
      </c>
      <c r="E128" s="225">
        <v>1</v>
      </c>
      <c r="F128" s="1603">
        <v>0</v>
      </c>
      <c r="G128" s="230">
        <f t="shared" si="6"/>
        <v>0</v>
      </c>
    </row>
    <row r="129" spans="2:7">
      <c r="B129" s="218"/>
      <c r="C129" s="231" t="s">
        <v>142</v>
      </c>
      <c r="D129" s="1232" t="s">
        <v>66</v>
      </c>
      <c r="E129" s="225">
        <v>1</v>
      </c>
      <c r="F129" s="1603">
        <v>0</v>
      </c>
      <c r="G129" s="230">
        <f t="shared" si="6"/>
        <v>0</v>
      </c>
    </row>
    <row r="130" spans="2:7">
      <c r="B130" s="218"/>
      <c r="C130" s="231" t="s">
        <v>143</v>
      </c>
      <c r="D130" s="1232" t="s">
        <v>66</v>
      </c>
      <c r="E130" s="225">
        <v>1</v>
      </c>
      <c r="F130" s="1603">
        <v>0</v>
      </c>
      <c r="G130" s="230">
        <f t="shared" si="6"/>
        <v>0</v>
      </c>
    </row>
    <row r="131" spans="2:7">
      <c r="B131" s="218"/>
      <c r="C131" s="231" t="s">
        <v>2250</v>
      </c>
      <c r="D131" s="1232" t="s">
        <v>66</v>
      </c>
      <c r="E131" s="225">
        <v>1</v>
      </c>
      <c r="F131" s="1603">
        <v>0</v>
      </c>
      <c r="G131" s="230">
        <f t="shared" si="6"/>
        <v>0</v>
      </c>
    </row>
    <row r="132" spans="2:7">
      <c r="B132" s="218"/>
      <c r="C132" s="231" t="s">
        <v>145</v>
      </c>
      <c r="D132" s="1232" t="s">
        <v>66</v>
      </c>
      <c r="E132" s="225">
        <v>1</v>
      </c>
      <c r="F132" s="1603">
        <v>0</v>
      </c>
      <c r="G132" s="230">
        <f t="shared" si="6"/>
        <v>0</v>
      </c>
    </row>
    <row r="133" spans="2:7">
      <c r="B133" s="218"/>
      <c r="C133" s="231" t="s">
        <v>146</v>
      </c>
      <c r="D133" s="1232" t="s">
        <v>66</v>
      </c>
      <c r="E133" s="225">
        <v>1</v>
      </c>
      <c r="F133" s="1603">
        <v>0</v>
      </c>
      <c r="G133" s="230">
        <f t="shared" si="6"/>
        <v>0</v>
      </c>
    </row>
    <row r="134" spans="2:7">
      <c r="B134" s="218"/>
      <c r="C134" s="739" t="s">
        <v>147</v>
      </c>
      <c r="D134" s="1232" t="s">
        <v>66</v>
      </c>
      <c r="E134" s="225">
        <v>1</v>
      </c>
      <c r="F134" s="1603">
        <v>0</v>
      </c>
      <c r="G134" s="230">
        <f t="shared" si="6"/>
        <v>0</v>
      </c>
    </row>
    <row r="135" spans="2:7">
      <c r="B135" s="218"/>
      <c r="C135" s="739" t="s">
        <v>188</v>
      </c>
      <c r="D135" s="1232" t="s">
        <v>66</v>
      </c>
      <c r="E135" s="225">
        <v>1</v>
      </c>
      <c r="F135" s="1603">
        <v>0</v>
      </c>
      <c r="G135" s="230">
        <f t="shared" si="6"/>
        <v>0</v>
      </c>
    </row>
    <row r="136" spans="2:7">
      <c r="B136" s="218"/>
      <c r="C136" s="739" t="s">
        <v>132</v>
      </c>
      <c r="D136" s="1232" t="s">
        <v>66</v>
      </c>
      <c r="E136" s="225">
        <v>2</v>
      </c>
      <c r="F136" s="1603">
        <v>0</v>
      </c>
      <c r="G136" s="230">
        <f t="shared" si="6"/>
        <v>0</v>
      </c>
    </row>
    <row r="137" spans="2:7">
      <c r="B137" s="218"/>
      <c r="C137" s="739" t="s">
        <v>148</v>
      </c>
      <c r="D137" s="1232" t="s">
        <v>66</v>
      </c>
      <c r="E137" s="225">
        <v>2</v>
      </c>
      <c r="F137" s="1603">
        <v>0</v>
      </c>
      <c r="G137" s="230">
        <f t="shared" si="6"/>
        <v>0</v>
      </c>
    </row>
    <row r="138" spans="2:7">
      <c r="B138" s="218"/>
      <c r="C138" s="739" t="s">
        <v>149</v>
      </c>
      <c r="D138" s="1232" t="s">
        <v>66</v>
      </c>
      <c r="E138" s="225">
        <v>1</v>
      </c>
      <c r="F138" s="1603">
        <v>0</v>
      </c>
      <c r="G138" s="230">
        <f t="shared" si="6"/>
        <v>0</v>
      </c>
    </row>
    <row r="139" spans="2:7">
      <c r="B139" s="218"/>
      <c r="C139" s="739" t="s">
        <v>150</v>
      </c>
      <c r="D139" s="1232" t="s">
        <v>66</v>
      </c>
      <c r="E139" s="225">
        <v>3</v>
      </c>
      <c r="F139" s="1603">
        <v>0</v>
      </c>
      <c r="G139" s="230">
        <f t="shared" si="6"/>
        <v>0</v>
      </c>
    </row>
    <row r="140" spans="2:7">
      <c r="B140" s="218"/>
      <c r="C140" s="740" t="s">
        <v>135</v>
      </c>
      <c r="D140" s="1232" t="s">
        <v>66</v>
      </c>
      <c r="E140" s="225">
        <v>1</v>
      </c>
      <c r="F140" s="1603">
        <v>0</v>
      </c>
      <c r="G140" s="230">
        <f t="shared" si="6"/>
        <v>0</v>
      </c>
    </row>
    <row r="141" spans="2:7">
      <c r="B141" s="201" t="s">
        <v>159</v>
      </c>
      <c r="C141" s="212" t="s">
        <v>152</v>
      </c>
      <c r="D141" s="1228"/>
      <c r="E141" s="214"/>
      <c r="F141" s="215"/>
      <c r="G141" s="216"/>
    </row>
    <row r="142" spans="2:7">
      <c r="B142" s="218"/>
      <c r="C142" s="212" t="s">
        <v>153</v>
      </c>
      <c r="D142" s="2239"/>
      <c r="E142" s="736"/>
      <c r="F142" s="1601"/>
      <c r="G142" s="1121"/>
    </row>
    <row r="143" spans="2:7">
      <c r="B143" s="218"/>
      <c r="C143" s="219" t="s">
        <v>129</v>
      </c>
      <c r="D143" s="1228" t="s">
        <v>66</v>
      </c>
      <c r="E143" s="214">
        <v>2</v>
      </c>
      <c r="F143" s="1599">
        <v>0</v>
      </c>
      <c r="G143" s="221">
        <f t="shared" ref="G143:G153" si="7">E143*F143</f>
        <v>0</v>
      </c>
    </row>
    <row r="144" spans="2:7" ht="24">
      <c r="B144" s="218"/>
      <c r="C144" s="222" t="s">
        <v>154</v>
      </c>
      <c r="D144" s="1228" t="s">
        <v>66</v>
      </c>
      <c r="E144" s="214">
        <v>2</v>
      </c>
      <c r="F144" s="1599">
        <v>0</v>
      </c>
      <c r="G144" s="221">
        <f t="shared" si="7"/>
        <v>0</v>
      </c>
    </row>
    <row r="145" spans="2:7">
      <c r="B145" s="218"/>
      <c r="C145" s="222" t="s">
        <v>155</v>
      </c>
      <c r="D145" s="1228" t="s">
        <v>66</v>
      </c>
      <c r="E145" s="214">
        <v>2</v>
      </c>
      <c r="F145" s="1599">
        <v>0</v>
      </c>
      <c r="G145" s="221">
        <f t="shared" si="7"/>
        <v>0</v>
      </c>
    </row>
    <row r="146" spans="2:7">
      <c r="B146" s="218"/>
      <c r="C146" s="222" t="s">
        <v>330</v>
      </c>
      <c r="D146" s="1228" t="s">
        <v>66</v>
      </c>
      <c r="E146" s="214">
        <v>2</v>
      </c>
      <c r="F146" s="1599">
        <v>0</v>
      </c>
      <c r="G146" s="221">
        <f t="shared" si="7"/>
        <v>0</v>
      </c>
    </row>
    <row r="147" spans="2:7">
      <c r="B147" s="218"/>
      <c r="C147" s="222" t="s">
        <v>157</v>
      </c>
      <c r="D147" s="1228" t="s">
        <v>66</v>
      </c>
      <c r="E147" s="214">
        <v>2</v>
      </c>
      <c r="F147" s="1599">
        <v>0</v>
      </c>
      <c r="G147" s="221">
        <f t="shared" si="7"/>
        <v>0</v>
      </c>
    </row>
    <row r="148" spans="2:7">
      <c r="B148" s="218"/>
      <c r="C148" s="234" t="s">
        <v>158</v>
      </c>
      <c r="D148" s="1228" t="s">
        <v>66</v>
      </c>
      <c r="E148" s="214">
        <v>2</v>
      </c>
      <c r="F148" s="1599">
        <v>0</v>
      </c>
      <c r="G148" s="221">
        <f t="shared" si="7"/>
        <v>0</v>
      </c>
    </row>
    <row r="149" spans="2:7">
      <c r="B149" s="218"/>
      <c r="C149" s="234" t="s">
        <v>190</v>
      </c>
      <c r="D149" s="1228" t="s">
        <v>66</v>
      </c>
      <c r="E149" s="214">
        <v>2</v>
      </c>
      <c r="F149" s="1599">
        <v>0</v>
      </c>
      <c r="G149" s="221">
        <f t="shared" si="7"/>
        <v>0</v>
      </c>
    </row>
    <row r="150" spans="2:7">
      <c r="B150" s="218"/>
      <c r="C150" s="234" t="s">
        <v>132</v>
      </c>
      <c r="D150" s="1228" t="s">
        <v>66</v>
      </c>
      <c r="E150" s="214">
        <v>4</v>
      </c>
      <c r="F150" s="1599">
        <v>0</v>
      </c>
      <c r="G150" s="221">
        <f t="shared" si="7"/>
        <v>0</v>
      </c>
    </row>
    <row r="151" spans="2:7">
      <c r="B151" s="218"/>
      <c r="C151" s="234" t="s">
        <v>148</v>
      </c>
      <c r="D151" s="1228" t="s">
        <v>66</v>
      </c>
      <c r="E151" s="214">
        <v>4</v>
      </c>
      <c r="F151" s="1599">
        <v>0</v>
      </c>
      <c r="G151" s="221">
        <f t="shared" si="7"/>
        <v>0</v>
      </c>
    </row>
    <row r="152" spans="2:7">
      <c r="B152" s="218"/>
      <c r="C152" s="234" t="s">
        <v>150</v>
      </c>
      <c r="D152" s="1228" t="s">
        <v>66</v>
      </c>
      <c r="E152" s="214">
        <v>2</v>
      </c>
      <c r="F152" s="1599">
        <v>0</v>
      </c>
      <c r="G152" s="221">
        <f t="shared" si="7"/>
        <v>0</v>
      </c>
    </row>
    <row r="153" spans="2:7">
      <c r="B153" s="218"/>
      <c r="C153" s="235" t="s">
        <v>135</v>
      </c>
      <c r="D153" s="1228" t="s">
        <v>66</v>
      </c>
      <c r="E153" s="214">
        <v>2</v>
      </c>
      <c r="F153" s="1599">
        <v>0</v>
      </c>
      <c r="G153" s="221">
        <f t="shared" si="7"/>
        <v>0</v>
      </c>
    </row>
    <row r="154" spans="2:7" ht="24">
      <c r="B154" s="199" t="s">
        <v>331</v>
      </c>
      <c r="C154" s="212" t="s">
        <v>332</v>
      </c>
      <c r="D154" s="2239" t="s">
        <v>66</v>
      </c>
      <c r="E154" s="736">
        <v>2</v>
      </c>
      <c r="F154" s="1126">
        <v>0</v>
      </c>
      <c r="G154" s="1121">
        <f>E154*F154</f>
        <v>0</v>
      </c>
    </row>
    <row r="155" spans="2:7">
      <c r="B155" s="201" t="s">
        <v>168</v>
      </c>
      <c r="C155" s="223" t="s">
        <v>886</v>
      </c>
      <c r="D155" s="1232"/>
      <c r="E155" s="225"/>
      <c r="F155" s="226"/>
      <c r="G155" s="227"/>
    </row>
    <row r="156" spans="2:7">
      <c r="B156" s="218"/>
      <c r="C156" s="223" t="s">
        <v>220</v>
      </c>
      <c r="D156" s="2240"/>
      <c r="E156" s="738"/>
      <c r="F156" s="1605"/>
      <c r="G156" s="1608"/>
    </row>
    <row r="157" spans="2:7" ht="24">
      <c r="B157" s="218"/>
      <c r="C157" s="228" t="s">
        <v>2249</v>
      </c>
      <c r="D157" s="1232" t="s">
        <v>66</v>
      </c>
      <c r="E157" s="225">
        <v>1</v>
      </c>
      <c r="F157" s="1768">
        <v>0</v>
      </c>
      <c r="G157" s="1714">
        <f t="shared" ref="G157:G186" si="8">E157*F157</f>
        <v>0</v>
      </c>
    </row>
    <row r="158" spans="2:7">
      <c r="B158" s="218"/>
      <c r="C158" s="739" t="s">
        <v>184</v>
      </c>
      <c r="D158" s="1232" t="s">
        <v>66</v>
      </c>
      <c r="E158" s="225">
        <v>2</v>
      </c>
      <c r="F158" s="1768">
        <v>0</v>
      </c>
      <c r="G158" s="1714">
        <f t="shared" si="8"/>
        <v>0</v>
      </c>
    </row>
    <row r="159" spans="2:7">
      <c r="B159" s="218"/>
      <c r="C159" s="739" t="s">
        <v>132</v>
      </c>
      <c r="D159" s="1232" t="s">
        <v>66</v>
      </c>
      <c r="E159" s="225">
        <v>1</v>
      </c>
      <c r="F159" s="1768">
        <v>0</v>
      </c>
      <c r="G159" s="1714">
        <f t="shared" si="8"/>
        <v>0</v>
      </c>
    </row>
    <row r="160" spans="2:7">
      <c r="B160" s="218"/>
      <c r="C160" s="739" t="s">
        <v>150</v>
      </c>
      <c r="D160" s="1232" t="s">
        <v>66</v>
      </c>
      <c r="E160" s="225">
        <v>1</v>
      </c>
      <c r="F160" s="1768">
        <v>0</v>
      </c>
      <c r="G160" s="1714">
        <f t="shared" si="8"/>
        <v>0</v>
      </c>
    </row>
    <row r="161" spans="2:7">
      <c r="B161" s="218"/>
      <c r="C161" s="740" t="s">
        <v>135</v>
      </c>
      <c r="D161" s="1232" t="s">
        <v>66</v>
      </c>
      <c r="E161" s="225">
        <v>1</v>
      </c>
      <c r="F161" s="1768">
        <v>0</v>
      </c>
      <c r="G161" s="1714">
        <f t="shared" si="8"/>
        <v>0</v>
      </c>
    </row>
    <row r="162" spans="2:7">
      <c r="B162" s="218"/>
      <c r="C162" s="223" t="s">
        <v>888</v>
      </c>
      <c r="D162" s="2240"/>
      <c r="E162" s="738"/>
      <c r="F162" s="1768"/>
      <c r="G162" s="1714"/>
    </row>
    <row r="163" spans="2:7" ht="24">
      <c r="B163" s="218"/>
      <c r="C163" s="228" t="s">
        <v>2251</v>
      </c>
      <c r="D163" s="1232" t="s">
        <v>66</v>
      </c>
      <c r="E163" s="225">
        <v>1</v>
      </c>
      <c r="F163" s="1768">
        <v>0</v>
      </c>
      <c r="G163" s="1714">
        <f t="shared" si="8"/>
        <v>0</v>
      </c>
    </row>
    <row r="164" spans="2:7">
      <c r="B164" s="218"/>
      <c r="C164" s="232" t="s">
        <v>184</v>
      </c>
      <c r="D164" s="1232" t="s">
        <v>66</v>
      </c>
      <c r="E164" s="225">
        <v>2</v>
      </c>
      <c r="F164" s="1768">
        <v>0</v>
      </c>
      <c r="G164" s="1714">
        <f t="shared" si="8"/>
        <v>0</v>
      </c>
    </row>
    <row r="165" spans="2:7">
      <c r="B165" s="218"/>
      <c r="C165" s="232" t="s">
        <v>166</v>
      </c>
      <c r="D165" s="1232" t="s">
        <v>66</v>
      </c>
      <c r="E165" s="225">
        <v>1</v>
      </c>
      <c r="F165" s="1768">
        <v>0</v>
      </c>
      <c r="G165" s="1714">
        <f t="shared" si="8"/>
        <v>0</v>
      </c>
    </row>
    <row r="166" spans="2:7">
      <c r="B166" s="218"/>
      <c r="C166" s="232" t="s">
        <v>167</v>
      </c>
      <c r="D166" s="1232" t="s">
        <v>66</v>
      </c>
      <c r="E166" s="225">
        <v>1</v>
      </c>
      <c r="F166" s="1768">
        <v>0</v>
      </c>
      <c r="G166" s="1714">
        <f t="shared" si="8"/>
        <v>0</v>
      </c>
    </row>
    <row r="167" spans="2:7">
      <c r="B167" s="218"/>
      <c r="C167" s="232" t="s">
        <v>229</v>
      </c>
      <c r="D167" s="1232" t="s">
        <v>66</v>
      </c>
      <c r="E167" s="225">
        <v>1</v>
      </c>
      <c r="F167" s="1768">
        <v>0</v>
      </c>
      <c r="G167" s="1714">
        <f t="shared" si="8"/>
        <v>0</v>
      </c>
    </row>
    <row r="168" spans="2:7">
      <c r="B168" s="218"/>
      <c r="C168" s="232" t="s">
        <v>230</v>
      </c>
      <c r="D168" s="1232" t="s">
        <v>66</v>
      </c>
      <c r="E168" s="225">
        <v>1</v>
      </c>
      <c r="F168" s="1768">
        <v>0</v>
      </c>
      <c r="G168" s="1714">
        <f t="shared" si="8"/>
        <v>0</v>
      </c>
    </row>
    <row r="169" spans="2:7">
      <c r="B169" s="218"/>
      <c r="C169" s="232" t="s">
        <v>150</v>
      </c>
      <c r="D169" s="1232" t="s">
        <v>66</v>
      </c>
      <c r="E169" s="225">
        <v>1</v>
      </c>
      <c r="F169" s="1768">
        <v>0</v>
      </c>
      <c r="G169" s="1714">
        <f t="shared" si="8"/>
        <v>0</v>
      </c>
    </row>
    <row r="170" spans="2:7">
      <c r="B170" s="218"/>
      <c r="C170" s="233" t="s">
        <v>135</v>
      </c>
      <c r="D170" s="1232" t="s">
        <v>66</v>
      </c>
      <c r="E170" s="225">
        <v>1</v>
      </c>
      <c r="F170" s="1768">
        <v>0</v>
      </c>
      <c r="G170" s="1714">
        <f t="shared" si="8"/>
        <v>0</v>
      </c>
    </row>
    <row r="171" spans="2:7">
      <c r="B171" s="218"/>
      <c r="C171" s="223" t="s">
        <v>196</v>
      </c>
      <c r="D171" s="2240"/>
      <c r="E171" s="738"/>
      <c r="F171" s="1768"/>
      <c r="G171" s="1714"/>
    </row>
    <row r="172" spans="2:7" ht="24">
      <c r="B172" s="218"/>
      <c r="C172" s="228" t="s">
        <v>2248</v>
      </c>
      <c r="D172" s="1232" t="s">
        <v>66</v>
      </c>
      <c r="E172" s="225">
        <v>3</v>
      </c>
      <c r="F172" s="1768">
        <v>0</v>
      </c>
      <c r="G172" s="1714">
        <f t="shared" si="8"/>
        <v>0</v>
      </c>
    </row>
    <row r="173" spans="2:7">
      <c r="B173" s="218"/>
      <c r="C173" s="232" t="s">
        <v>132</v>
      </c>
      <c r="D173" s="1232" t="s">
        <v>66</v>
      </c>
      <c r="E173" s="225">
        <v>9</v>
      </c>
      <c r="F173" s="1768">
        <v>0</v>
      </c>
      <c r="G173" s="1714">
        <f t="shared" si="8"/>
        <v>0</v>
      </c>
    </row>
    <row r="174" spans="2:7">
      <c r="B174" s="218"/>
      <c r="C174" s="232" t="s">
        <v>148</v>
      </c>
      <c r="D174" s="1232" t="s">
        <v>66</v>
      </c>
      <c r="E174" s="225">
        <v>9</v>
      </c>
      <c r="F174" s="1768">
        <v>0</v>
      </c>
      <c r="G174" s="1714">
        <f t="shared" si="8"/>
        <v>0</v>
      </c>
    </row>
    <row r="175" spans="2:7">
      <c r="B175" s="218"/>
      <c r="C175" s="232" t="s">
        <v>150</v>
      </c>
      <c r="D175" s="1232" t="s">
        <v>66</v>
      </c>
      <c r="E175" s="225">
        <v>3</v>
      </c>
      <c r="F175" s="1768">
        <v>0</v>
      </c>
      <c r="G175" s="1714">
        <f t="shared" si="8"/>
        <v>0</v>
      </c>
    </row>
    <row r="176" spans="2:7">
      <c r="B176" s="218"/>
      <c r="C176" s="233" t="s">
        <v>135</v>
      </c>
      <c r="D176" s="1232" t="s">
        <v>66</v>
      </c>
      <c r="E176" s="225">
        <v>3</v>
      </c>
      <c r="F176" s="1768">
        <v>0</v>
      </c>
      <c r="G176" s="1714">
        <f t="shared" si="8"/>
        <v>0</v>
      </c>
    </row>
    <row r="177" spans="2:8">
      <c r="B177" s="218"/>
      <c r="C177" s="223" t="s">
        <v>228</v>
      </c>
      <c r="D177" s="2240"/>
      <c r="E177" s="738"/>
      <c r="F177" s="1768"/>
      <c r="G177" s="1714"/>
    </row>
    <row r="178" spans="2:8" ht="24">
      <c r="B178" s="218"/>
      <c r="C178" s="228" t="s">
        <v>2247</v>
      </c>
      <c r="D178" s="1232" t="s">
        <v>66</v>
      </c>
      <c r="E178" s="225">
        <v>1</v>
      </c>
      <c r="F178" s="1768">
        <v>0</v>
      </c>
      <c r="G178" s="1714">
        <f t="shared" si="8"/>
        <v>0</v>
      </c>
    </row>
    <row r="179" spans="2:8">
      <c r="B179" s="218"/>
      <c r="C179" s="739" t="s">
        <v>132</v>
      </c>
      <c r="D179" s="1232" t="s">
        <v>66</v>
      </c>
      <c r="E179" s="225">
        <v>2</v>
      </c>
      <c r="F179" s="1768">
        <v>0</v>
      </c>
      <c r="G179" s="1714">
        <f t="shared" si="8"/>
        <v>0</v>
      </c>
    </row>
    <row r="180" spans="2:8">
      <c r="B180" s="218"/>
      <c r="C180" s="739" t="s">
        <v>166</v>
      </c>
      <c r="D180" s="1232" t="s">
        <v>66</v>
      </c>
      <c r="E180" s="225">
        <v>1</v>
      </c>
      <c r="F180" s="1768">
        <v>0</v>
      </c>
      <c r="G180" s="1714">
        <f t="shared" si="8"/>
        <v>0</v>
      </c>
    </row>
    <row r="181" spans="2:8">
      <c r="B181" s="218"/>
      <c r="C181" s="739" t="s">
        <v>148</v>
      </c>
      <c r="D181" s="1232" t="s">
        <v>66</v>
      </c>
      <c r="E181" s="225">
        <v>2</v>
      </c>
      <c r="F181" s="1768">
        <v>0</v>
      </c>
      <c r="G181" s="1714">
        <f t="shared" si="8"/>
        <v>0</v>
      </c>
    </row>
    <row r="182" spans="2:8">
      <c r="B182" s="218"/>
      <c r="C182" s="739" t="s">
        <v>167</v>
      </c>
      <c r="D182" s="1232" t="s">
        <v>66</v>
      </c>
      <c r="E182" s="225">
        <v>1</v>
      </c>
      <c r="F182" s="1768">
        <v>0</v>
      </c>
      <c r="G182" s="1714">
        <f t="shared" si="8"/>
        <v>0</v>
      </c>
    </row>
    <row r="183" spans="2:8">
      <c r="B183" s="218"/>
      <c r="C183" s="739" t="s">
        <v>229</v>
      </c>
      <c r="D183" s="1232" t="s">
        <v>66</v>
      </c>
      <c r="E183" s="225">
        <v>1</v>
      </c>
      <c r="F183" s="1768">
        <v>0</v>
      </c>
      <c r="G183" s="1714">
        <f t="shared" si="8"/>
        <v>0</v>
      </c>
    </row>
    <row r="184" spans="2:8">
      <c r="B184" s="218"/>
      <c r="C184" s="739" t="s">
        <v>230</v>
      </c>
      <c r="D184" s="1232" t="s">
        <v>66</v>
      </c>
      <c r="E184" s="225">
        <v>1</v>
      </c>
      <c r="F184" s="1768">
        <v>0</v>
      </c>
      <c r="G184" s="1714">
        <f t="shared" si="8"/>
        <v>0</v>
      </c>
    </row>
    <row r="185" spans="2:8">
      <c r="B185" s="218"/>
      <c r="C185" s="739" t="s">
        <v>150</v>
      </c>
      <c r="D185" s="1232" t="s">
        <v>66</v>
      </c>
      <c r="E185" s="225">
        <v>1</v>
      </c>
      <c r="F185" s="1768">
        <v>0</v>
      </c>
      <c r="G185" s="1714">
        <f t="shared" si="8"/>
        <v>0</v>
      </c>
    </row>
    <row r="186" spans="2:8">
      <c r="B186" s="218"/>
      <c r="C186" s="740" t="s">
        <v>135</v>
      </c>
      <c r="D186" s="1232" t="s">
        <v>66</v>
      </c>
      <c r="E186" s="225">
        <v>1</v>
      </c>
      <c r="F186" s="1768">
        <v>0</v>
      </c>
      <c r="G186" s="1714">
        <f t="shared" si="8"/>
        <v>0</v>
      </c>
    </row>
    <row r="187" spans="2:8">
      <c r="B187" s="218"/>
      <c r="C187" s="223" t="s">
        <v>1395</v>
      </c>
      <c r="D187" s="2240"/>
      <c r="E187" s="738"/>
      <c r="F187" s="1605"/>
      <c r="G187" s="1646"/>
    </row>
    <row r="188" spans="2:8" s="217" customFormat="1">
      <c r="B188" s="218"/>
      <c r="C188" s="1655" t="s">
        <v>230</v>
      </c>
      <c r="D188" s="1232" t="s">
        <v>66</v>
      </c>
      <c r="E188" s="225">
        <v>1</v>
      </c>
      <c r="F188" s="1768">
        <v>0</v>
      </c>
      <c r="G188" s="1714">
        <f t="shared" ref="G188:G190" si="9">E188*F188</f>
        <v>0</v>
      </c>
      <c r="H188" s="1703"/>
    </row>
    <row r="189" spans="2:8" s="217" customFormat="1">
      <c r="B189" s="218"/>
      <c r="C189" s="1655" t="s">
        <v>2255</v>
      </c>
      <c r="D189" s="1232" t="s">
        <v>66</v>
      </c>
      <c r="E189" s="225">
        <v>1</v>
      </c>
      <c r="F189" s="1768">
        <v>0</v>
      </c>
      <c r="G189" s="1714">
        <f t="shared" si="9"/>
        <v>0</v>
      </c>
      <c r="H189" s="1703"/>
    </row>
    <row r="190" spans="2:8" s="217" customFormat="1">
      <c r="B190" s="218"/>
      <c r="C190" s="1655" t="s">
        <v>1444</v>
      </c>
      <c r="D190" s="1232" t="s">
        <v>66</v>
      </c>
      <c r="E190" s="225">
        <v>1</v>
      </c>
      <c r="F190" s="1768">
        <v>0</v>
      </c>
      <c r="G190" s="1714">
        <f t="shared" si="9"/>
        <v>0</v>
      </c>
      <c r="H190" s="1703"/>
    </row>
    <row r="191" spans="2:8">
      <c r="B191" s="201" t="s">
        <v>172</v>
      </c>
      <c r="C191" s="238" t="s">
        <v>169</v>
      </c>
      <c r="D191" s="260"/>
      <c r="E191" s="240"/>
      <c r="F191" s="241"/>
      <c r="G191" s="242"/>
    </row>
    <row r="192" spans="2:8">
      <c r="B192" s="218"/>
      <c r="C192" s="238" t="s">
        <v>170</v>
      </c>
      <c r="D192" s="185"/>
      <c r="E192" s="741"/>
      <c r="F192" s="1611"/>
      <c r="G192" s="263"/>
    </row>
    <row r="193" spans="2:7" ht="36">
      <c r="B193" s="218"/>
      <c r="C193" s="243" t="s">
        <v>2246</v>
      </c>
      <c r="D193" s="260" t="s">
        <v>66</v>
      </c>
      <c r="E193" s="240">
        <v>8</v>
      </c>
      <c r="F193" s="1609">
        <v>0</v>
      </c>
      <c r="G193" s="245">
        <f t="shared" ref="G193:G200" si="10">E193*F193</f>
        <v>0</v>
      </c>
    </row>
    <row r="194" spans="2:7">
      <c r="B194" s="218"/>
      <c r="C194" s="1129" t="s">
        <v>171</v>
      </c>
      <c r="D194" s="260" t="s">
        <v>66</v>
      </c>
      <c r="E194" s="240">
        <v>8</v>
      </c>
      <c r="F194" s="1609">
        <v>0</v>
      </c>
      <c r="G194" s="245">
        <f t="shared" si="10"/>
        <v>0</v>
      </c>
    </row>
    <row r="195" spans="2:7">
      <c r="B195" s="218"/>
      <c r="C195" s="1130" t="s">
        <v>135</v>
      </c>
      <c r="D195" s="260" t="s">
        <v>66</v>
      </c>
      <c r="E195" s="240">
        <v>8</v>
      </c>
      <c r="F195" s="1609">
        <v>0</v>
      </c>
      <c r="G195" s="245">
        <f t="shared" si="10"/>
        <v>0</v>
      </c>
    </row>
    <row r="196" spans="2:7">
      <c r="B196" s="218"/>
      <c r="C196" s="238" t="s">
        <v>234</v>
      </c>
      <c r="D196" s="185"/>
      <c r="E196" s="741"/>
      <c r="F196" s="1609"/>
      <c r="G196" s="245"/>
    </row>
    <row r="197" spans="2:7" ht="36">
      <c r="B197" s="218"/>
      <c r="C197" s="243" t="s">
        <v>2245</v>
      </c>
      <c r="D197" s="260" t="s">
        <v>66</v>
      </c>
      <c r="E197" s="240">
        <v>18</v>
      </c>
      <c r="F197" s="1609">
        <v>0</v>
      </c>
      <c r="G197" s="245">
        <f t="shared" si="10"/>
        <v>0</v>
      </c>
    </row>
    <row r="198" spans="2:7">
      <c r="B198" s="218"/>
      <c r="C198" s="246" t="s">
        <v>171</v>
      </c>
      <c r="D198" s="260" t="s">
        <v>66</v>
      </c>
      <c r="E198" s="240">
        <v>18</v>
      </c>
      <c r="F198" s="1609">
        <v>0</v>
      </c>
      <c r="G198" s="245">
        <f t="shared" si="10"/>
        <v>0</v>
      </c>
    </row>
    <row r="199" spans="2:7">
      <c r="B199" s="218"/>
      <c r="C199" s="247" t="s">
        <v>135</v>
      </c>
      <c r="D199" s="260" t="s">
        <v>66</v>
      </c>
      <c r="E199" s="240">
        <v>18</v>
      </c>
      <c r="F199" s="1609">
        <v>0</v>
      </c>
      <c r="G199" s="245">
        <f t="shared" si="10"/>
        <v>0</v>
      </c>
    </row>
    <row r="200" spans="2:7">
      <c r="B200" s="218"/>
      <c r="C200" s="247" t="s">
        <v>891</v>
      </c>
      <c r="D200" s="260" t="s">
        <v>66</v>
      </c>
      <c r="E200" s="240">
        <v>18</v>
      </c>
      <c r="F200" s="1609">
        <v>0</v>
      </c>
      <c r="G200" s="245">
        <f t="shared" si="10"/>
        <v>0</v>
      </c>
    </row>
    <row r="201" spans="2:7">
      <c r="B201" s="201" t="s">
        <v>340</v>
      </c>
      <c r="C201" s="248" t="s">
        <v>173</v>
      </c>
      <c r="D201" s="249"/>
      <c r="E201" s="250"/>
      <c r="F201" s="251"/>
      <c r="G201" s="252"/>
    </row>
    <row r="202" spans="2:7" ht="60">
      <c r="B202" s="218"/>
      <c r="C202" s="253" t="s">
        <v>174</v>
      </c>
      <c r="D202" s="249" t="s">
        <v>66</v>
      </c>
      <c r="E202" s="1143">
        <v>1</v>
      </c>
      <c r="F202" s="1144">
        <v>0</v>
      </c>
      <c r="G202" s="252">
        <f>F202*E202</f>
        <v>0</v>
      </c>
    </row>
    <row r="203" spans="2:7">
      <c r="B203" s="258" t="s">
        <v>47</v>
      </c>
      <c r="C203" s="259" t="s">
        <v>1396</v>
      </c>
      <c r="D203" s="260"/>
      <c r="E203" s="261"/>
      <c r="F203" s="262"/>
      <c r="G203" s="263">
        <f>SUM(G79:G202)</f>
        <v>0</v>
      </c>
    </row>
  </sheetData>
  <mergeCells count="5">
    <mergeCell ref="B43:G43"/>
    <mergeCell ref="B74:G74"/>
    <mergeCell ref="B75:G75"/>
    <mergeCell ref="B76:G76"/>
    <mergeCell ref="B85:B8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B6CCE-8EE4-478B-9231-B2F277F5449B}">
  <sheetPr>
    <tabColor rgb="FF00B0F0"/>
  </sheetPr>
  <dimension ref="A2:Y201"/>
  <sheetViews>
    <sheetView showZeros="0" topLeftCell="A28" zoomScale="110" zoomScaleNormal="110" zoomScaleSheetLayoutView="115" workbookViewId="0">
      <selection activeCell="B30" sqref="B30:B38"/>
    </sheetView>
  </sheetViews>
  <sheetFormatPr defaultColWidth="10.42578125" defaultRowHeight="12.75"/>
  <cols>
    <col min="1" max="1" width="4.42578125" style="1" customWidth="1"/>
    <col min="2" max="2" width="9.5703125" style="67" customWidth="1"/>
    <col min="3" max="3" width="42.1406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1461</v>
      </c>
      <c r="D4" s="76"/>
      <c r="E4" s="77"/>
      <c r="F4" s="674"/>
      <c r="G4" s="79"/>
      <c r="H4" s="37"/>
    </row>
    <row r="5" spans="1:25" s="73" customFormat="1" ht="12" customHeight="1">
      <c r="B5" s="80"/>
      <c r="C5" s="81"/>
      <c r="D5" s="82"/>
      <c r="E5" s="83"/>
      <c r="F5" s="675"/>
      <c r="G5" s="85"/>
      <c r="H5" s="37"/>
    </row>
    <row r="6" spans="1:25" s="86" customFormat="1" ht="21" customHeight="1">
      <c r="B6" s="676" t="s">
        <v>37</v>
      </c>
      <c r="C6" s="677" t="s">
        <v>1462</v>
      </c>
      <c r="D6" s="678"/>
      <c r="E6" s="679"/>
      <c r="F6" s="680"/>
      <c r="G6" s="681"/>
      <c r="H6" s="27"/>
    </row>
    <row r="7" spans="1:25" s="86" customFormat="1" ht="21" customHeight="1">
      <c r="B7" s="1146"/>
      <c r="C7" s="1147"/>
      <c r="D7" s="1148"/>
      <c r="E7" s="1149"/>
      <c r="F7" s="1150"/>
      <c r="G7" s="1151"/>
      <c r="H7" s="27"/>
    </row>
    <row r="8" spans="1:25" s="86" customFormat="1" ht="14.25">
      <c r="B8" s="682" t="s">
        <v>551</v>
      </c>
      <c r="C8" s="683" t="s">
        <v>1463</v>
      </c>
      <c r="D8" s="684"/>
      <c r="E8" s="685"/>
      <c r="F8" s="686"/>
      <c r="G8" s="687"/>
      <c r="H8" s="27"/>
    </row>
    <row r="9" spans="1:25" s="86" customFormat="1" ht="14.25">
      <c r="B9" s="80"/>
      <c r="C9" s="81"/>
      <c r="D9" s="82"/>
      <c r="E9" s="83"/>
      <c r="F9" s="675"/>
      <c r="G9" s="88"/>
      <c r="H9" s="27"/>
    </row>
    <row r="10" spans="1:25" s="14" customFormat="1" ht="18" customHeight="1">
      <c r="A10" s="9"/>
      <c r="B10" s="10" t="s">
        <v>38</v>
      </c>
      <c r="C10" s="11"/>
      <c r="D10" s="13"/>
      <c r="E10" s="12"/>
      <c r="F10" s="688"/>
      <c r="G10" s="13"/>
    </row>
    <row r="11" spans="1:25" s="14" customFormat="1" ht="18" customHeight="1">
      <c r="A11" s="15"/>
      <c r="B11" s="16" t="s">
        <v>39</v>
      </c>
      <c r="C11" s="17"/>
      <c r="D11" s="18"/>
      <c r="E11" s="19"/>
      <c r="F11" s="689"/>
      <c r="G11" s="18"/>
    </row>
    <row r="12" spans="1:25" s="14" customFormat="1" ht="18" customHeight="1">
      <c r="A12" s="9"/>
      <c r="B12" s="10" t="s">
        <v>4</v>
      </c>
      <c r="C12" s="11"/>
      <c r="D12" s="12"/>
      <c r="E12" s="12"/>
      <c r="F12" s="688"/>
      <c r="G12" s="13"/>
    </row>
    <row r="13" spans="1:25" s="14" customFormat="1" ht="18" customHeight="1">
      <c r="A13" s="15"/>
      <c r="B13" s="16" t="s">
        <v>5</v>
      </c>
      <c r="C13" s="17"/>
      <c r="D13" s="19"/>
      <c r="E13" s="19"/>
      <c r="F13" s="689"/>
      <c r="G13" s="18"/>
    </row>
    <row r="14" spans="1:25" s="86" customFormat="1" ht="14.25">
      <c r="B14" s="89"/>
      <c r="C14" s="90"/>
      <c r="D14" s="91"/>
      <c r="E14" s="92"/>
      <c r="F14" s="690"/>
      <c r="G14" s="94"/>
      <c r="H14" s="27"/>
    </row>
    <row r="15" spans="1:25" s="86" customFormat="1" ht="18.75" customHeight="1">
      <c r="B15" s="95"/>
      <c r="C15" s="96" t="s">
        <v>40</v>
      </c>
      <c r="D15" s="97"/>
      <c r="E15" s="98"/>
      <c r="F15" s="691"/>
      <c r="G15" s="100"/>
      <c r="H15" s="27"/>
    </row>
    <row r="16" spans="1:25" s="101" customFormat="1" ht="18.75" customHeight="1">
      <c r="B16" s="95" t="s">
        <v>41</v>
      </c>
      <c r="C16" s="96" t="s">
        <v>42</v>
      </c>
      <c r="D16" s="10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09"/>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09"/>
      <c r="E18" s="110"/>
      <c r="F18" s="695"/>
      <c r="G18" s="1408">
        <f>G64</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09"/>
      <c r="E19" s="110"/>
      <c r="F19" s="695"/>
      <c r="G19" s="1408">
        <f>G201</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5"/>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1" t="s">
        <v>52</v>
      </c>
      <c r="E23" s="122" t="s">
        <v>53</v>
      </c>
      <c r="F23" s="756" t="s">
        <v>54</v>
      </c>
      <c r="G23" s="124" t="s">
        <v>55</v>
      </c>
    </row>
    <row r="24" spans="2:25">
      <c r="B24" s="125"/>
      <c r="C24" s="126"/>
      <c r="D24" s="127"/>
      <c r="E24" s="128"/>
      <c r="F24" s="708"/>
      <c r="G24" s="130"/>
    </row>
    <row r="25" spans="2:25" s="138" customFormat="1" ht="20.25">
      <c r="B25" s="131" t="s">
        <v>43</v>
      </c>
      <c r="C25" s="132" t="s">
        <v>44</v>
      </c>
      <c r="D25" s="133"/>
      <c r="E25" s="134"/>
      <c r="F25" s="709"/>
      <c r="G25" s="136"/>
      <c r="H25" s="137"/>
    </row>
    <row r="26" spans="2:25" ht="24">
      <c r="B26" s="125">
        <v>1</v>
      </c>
      <c r="C26" s="144" t="s">
        <v>56</v>
      </c>
      <c r="D26" s="140" t="s">
        <v>57</v>
      </c>
      <c r="E26" s="1081">
        <v>1040</v>
      </c>
      <c r="F26" s="1082">
        <v>0</v>
      </c>
      <c r="G26" s="1083">
        <f t="shared" ref="G26" si="0">E26*F26</f>
        <v>0</v>
      </c>
    </row>
    <row r="27" spans="2:25">
      <c r="B27" s="125">
        <v>2</v>
      </c>
      <c r="C27" s="144" t="s">
        <v>58</v>
      </c>
      <c r="D27" s="140" t="s">
        <v>57</v>
      </c>
      <c r="E27" s="1081">
        <f>E26</f>
        <v>1040</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2</v>
      </c>
      <c r="F30" s="1082">
        <v>0</v>
      </c>
      <c r="G30" s="1083">
        <f t="shared" si="1"/>
        <v>0</v>
      </c>
    </row>
    <row r="31" spans="2:25" ht="27.75" customHeight="1">
      <c r="B31" s="125">
        <v>6</v>
      </c>
      <c r="C31" s="1084" t="s">
        <v>63</v>
      </c>
      <c r="D31" s="140" t="s">
        <v>57</v>
      </c>
      <c r="E31" s="1081">
        <f>E26</f>
        <v>1040</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2292</v>
      </c>
      <c r="D33" s="146" t="s">
        <v>66</v>
      </c>
      <c r="E33" s="1081">
        <v>27</v>
      </c>
      <c r="F33" s="1082">
        <v>0</v>
      </c>
      <c r="G33" s="1083">
        <f t="shared" si="1"/>
        <v>0</v>
      </c>
    </row>
    <row r="34" spans="1:25" ht="36">
      <c r="B34" s="125">
        <v>9</v>
      </c>
      <c r="C34" s="1080" t="s">
        <v>2295</v>
      </c>
      <c r="D34" s="146" t="s">
        <v>57</v>
      </c>
      <c r="E34" s="1081">
        <f>E26+E82+E83</f>
        <v>1231</v>
      </c>
      <c r="F34" s="1082">
        <v>0</v>
      </c>
      <c r="G34" s="1083">
        <f t="shared" si="1"/>
        <v>0</v>
      </c>
    </row>
    <row r="35" spans="1:25" ht="24">
      <c r="B35" s="125">
        <v>10</v>
      </c>
      <c r="C35" s="1080" t="s">
        <v>2293</v>
      </c>
      <c r="D35" s="146" t="s">
        <v>57</v>
      </c>
      <c r="E35" s="1081">
        <f>E26+E82+E83</f>
        <v>1231</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087"/>
      <c r="E40" s="1088"/>
      <c r="F40" s="1089"/>
      <c r="G40" s="263">
        <f>SUM(G26:G38)</f>
        <v>0</v>
      </c>
    </row>
    <row r="41" spans="1:25" s="8" customFormat="1">
      <c r="A41" s="1"/>
      <c r="B41" s="125"/>
      <c r="C41" s="126"/>
      <c r="D41" s="127"/>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9"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20</v>
      </c>
      <c r="F46" s="1092">
        <v>0</v>
      </c>
      <c r="G46" s="1093">
        <f t="shared" ref="G46:G62"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280.8</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1591.2</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1560</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1040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1248</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624</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14</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1391</v>
      </c>
      <c r="D54" s="140" t="s">
        <v>78</v>
      </c>
      <c r="E54" s="1094">
        <f>E26*1.2</f>
        <v>1248</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254</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E47+E48+(E54*0.06)-E51</f>
        <v>698.88000000000011</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698.88000000000011</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78</v>
      </c>
      <c r="F58" s="1092">
        <v>0</v>
      </c>
      <c r="G58" s="1083">
        <f t="shared" si="2"/>
        <v>0</v>
      </c>
      <c r="I58" s="1"/>
      <c r="J58" s="1"/>
      <c r="K58" s="1"/>
      <c r="L58" s="1"/>
      <c r="M58" s="1"/>
      <c r="N58" s="1"/>
      <c r="O58" s="1"/>
      <c r="P58" s="1"/>
      <c r="Q58" s="1"/>
      <c r="R58" s="1"/>
      <c r="S58" s="1"/>
      <c r="T58" s="1"/>
      <c r="U58" s="1"/>
      <c r="V58" s="1"/>
      <c r="W58" s="1"/>
      <c r="X58" s="1"/>
      <c r="Y58" s="1"/>
    </row>
    <row r="59" spans="1:25" s="8" customFormat="1" ht="40.5" customHeight="1">
      <c r="A59" s="1"/>
      <c r="B59" s="717">
        <v>14</v>
      </c>
      <c r="C59" s="1096" t="s">
        <v>1393</v>
      </c>
      <c r="D59" s="182" t="s">
        <v>74</v>
      </c>
      <c r="E59" s="1097">
        <v>10</v>
      </c>
      <c r="F59" s="109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167">
        <v>15</v>
      </c>
      <c r="C60" s="1096" t="s">
        <v>270</v>
      </c>
      <c r="D60" s="182" t="s">
        <v>66</v>
      </c>
      <c r="E60" s="1097">
        <v>60</v>
      </c>
      <c r="F60" s="1092">
        <v>0</v>
      </c>
      <c r="G60" s="1083">
        <f t="shared" si="2"/>
        <v>0</v>
      </c>
      <c r="I60" s="1"/>
      <c r="J60" s="1"/>
      <c r="K60" s="1"/>
      <c r="L60" s="1"/>
      <c r="M60" s="1"/>
      <c r="N60" s="1"/>
      <c r="O60" s="1"/>
      <c r="P60" s="1"/>
      <c r="Q60" s="1"/>
      <c r="R60" s="1"/>
      <c r="S60" s="1"/>
      <c r="T60" s="1"/>
      <c r="U60" s="1"/>
      <c r="V60" s="1"/>
      <c r="W60" s="1"/>
      <c r="X60" s="1"/>
      <c r="Y60" s="1"/>
    </row>
    <row r="61" spans="1:25" s="8" customFormat="1" ht="36">
      <c r="A61" s="1"/>
      <c r="B61" s="717">
        <v>16</v>
      </c>
      <c r="C61" s="1096" t="s">
        <v>99</v>
      </c>
      <c r="D61" s="182" t="s">
        <v>74</v>
      </c>
      <c r="E61" s="1097">
        <v>5</v>
      </c>
      <c r="F61" s="109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167">
        <v>17</v>
      </c>
      <c r="C62" s="1096" t="s">
        <v>100</v>
      </c>
      <c r="D62" s="182" t="s">
        <v>65</v>
      </c>
      <c r="E62" s="1097">
        <v>24</v>
      </c>
      <c r="F62" s="1092">
        <v>0</v>
      </c>
      <c r="G62" s="1083">
        <f t="shared" si="2"/>
        <v>0</v>
      </c>
      <c r="I62" s="1"/>
      <c r="J62" s="1"/>
      <c r="K62" s="1"/>
      <c r="L62" s="1"/>
      <c r="M62" s="1"/>
      <c r="N62" s="1"/>
      <c r="O62" s="1"/>
      <c r="P62" s="1"/>
      <c r="Q62" s="1"/>
      <c r="R62" s="1"/>
      <c r="S62" s="1"/>
      <c r="T62" s="1"/>
      <c r="U62" s="1"/>
      <c r="V62" s="1"/>
      <c r="W62" s="1"/>
      <c r="X62" s="1"/>
      <c r="Y62" s="1"/>
    </row>
    <row r="63" spans="1:25" s="8" customFormat="1">
      <c r="A63" s="1"/>
      <c r="B63" s="167"/>
      <c r="C63" s="1098"/>
      <c r="D63" s="1099"/>
      <c r="E63" s="1100"/>
      <c r="F63" s="1101"/>
      <c r="G63" s="1102"/>
      <c r="I63" s="1"/>
      <c r="J63" s="1"/>
      <c r="K63" s="1"/>
      <c r="L63" s="1"/>
      <c r="M63" s="1"/>
      <c r="N63" s="1"/>
      <c r="O63" s="1"/>
      <c r="P63" s="1"/>
      <c r="Q63" s="1"/>
      <c r="R63" s="1"/>
      <c r="S63" s="1"/>
      <c r="T63" s="1"/>
      <c r="U63" s="1"/>
      <c r="V63" s="1"/>
      <c r="W63" s="1"/>
      <c r="X63" s="1"/>
      <c r="Y63" s="1"/>
    </row>
    <row r="64" spans="1:25" s="8" customFormat="1">
      <c r="A64" s="1"/>
      <c r="B64" s="151" t="s">
        <v>45</v>
      </c>
      <c r="C64" s="1086" t="s">
        <v>101</v>
      </c>
      <c r="D64" s="1103"/>
      <c r="E64" s="1088"/>
      <c r="F64" s="1089"/>
      <c r="G64" s="263">
        <f>SUM(G46:G62)</f>
        <v>0</v>
      </c>
      <c r="I64" s="1"/>
      <c r="J64" s="1"/>
      <c r="K64" s="1"/>
      <c r="L64" s="1"/>
      <c r="M64" s="1"/>
      <c r="N64" s="1"/>
      <c r="O64" s="1"/>
      <c r="P64" s="1"/>
      <c r="Q64" s="1"/>
      <c r="R64" s="1"/>
      <c r="S64" s="1"/>
      <c r="T64" s="1"/>
      <c r="U64" s="1"/>
      <c r="V64" s="1"/>
      <c r="W64" s="1"/>
      <c r="X64" s="1"/>
      <c r="Y64" s="1"/>
    </row>
    <row r="65" spans="1:25" s="8" customFormat="1">
      <c r="A65" s="1"/>
      <c r="B65" s="67"/>
      <c r="C65" s="68"/>
      <c r="D65" s="69"/>
      <c r="E65" s="1104"/>
      <c r="F65" s="1105"/>
      <c r="G65" s="1106"/>
      <c r="I65" s="1"/>
      <c r="J65" s="1"/>
      <c r="K65" s="1"/>
      <c r="L65" s="1"/>
      <c r="M65" s="1"/>
      <c r="N65" s="1"/>
      <c r="O65" s="1"/>
      <c r="P65" s="1"/>
      <c r="Q65" s="1"/>
      <c r="R65" s="1"/>
      <c r="S65" s="1"/>
      <c r="T65" s="1"/>
      <c r="U65" s="1"/>
      <c r="V65" s="1"/>
      <c r="W65" s="1"/>
      <c r="X65" s="1"/>
      <c r="Y65" s="1"/>
    </row>
    <row r="66" spans="1:25" s="8" customFormat="1" ht="24">
      <c r="A66" s="1"/>
      <c r="B66" s="119" t="s">
        <v>50</v>
      </c>
      <c r="C66" s="120" t="s">
        <v>51</v>
      </c>
      <c r="D66" s="121" t="s">
        <v>52</v>
      </c>
      <c r="E66" s="122" t="s">
        <v>53</v>
      </c>
      <c r="F66" s="123" t="s">
        <v>54</v>
      </c>
      <c r="G66" s="124" t="s">
        <v>55</v>
      </c>
      <c r="I66" s="1"/>
      <c r="J66" s="1"/>
      <c r="K66" s="1"/>
      <c r="L66" s="1"/>
      <c r="M66" s="1"/>
      <c r="N66" s="1"/>
      <c r="O66" s="1"/>
      <c r="P66" s="1"/>
      <c r="Q66" s="1"/>
      <c r="R66" s="1"/>
      <c r="S66" s="1"/>
      <c r="T66" s="1"/>
      <c r="U66" s="1"/>
      <c r="V66" s="1"/>
      <c r="W66" s="1"/>
      <c r="X66" s="1"/>
      <c r="Y66" s="1"/>
    </row>
    <row r="67" spans="1:25" s="8" customFormat="1">
      <c r="A67" s="1"/>
      <c r="B67" s="125"/>
      <c r="C67" s="126"/>
      <c r="D67" s="127"/>
      <c r="E67" s="719"/>
      <c r="F67" s="1107"/>
      <c r="G67" s="731"/>
      <c r="I67" s="1"/>
      <c r="J67" s="1"/>
      <c r="K67" s="1"/>
      <c r="L67" s="1"/>
      <c r="M67" s="1"/>
      <c r="N67" s="1"/>
      <c r="O67" s="1"/>
      <c r="P67" s="1"/>
      <c r="Q67" s="1"/>
      <c r="R67" s="1"/>
      <c r="S67" s="1"/>
      <c r="T67" s="1"/>
      <c r="U67" s="1"/>
      <c r="V67" s="1"/>
      <c r="W67" s="1"/>
      <c r="X67" s="1"/>
      <c r="Y67" s="1"/>
    </row>
    <row r="68" spans="1:25"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row>
    <row r="69" spans="1:25" s="8" customFormat="1">
      <c r="A69" s="1"/>
      <c r="B69" s="1108" t="s">
        <v>38</v>
      </c>
      <c r="C69" s="1109"/>
      <c r="D69" s="1110"/>
      <c r="E69" s="1109"/>
      <c r="F69" s="1109"/>
      <c r="G69" s="1110"/>
      <c r="I69" s="1"/>
      <c r="J69" s="1"/>
      <c r="K69" s="1"/>
      <c r="L69" s="1"/>
      <c r="M69" s="1"/>
      <c r="N69" s="1"/>
      <c r="O69" s="1"/>
      <c r="P69" s="1"/>
      <c r="Q69" s="1"/>
      <c r="R69" s="1"/>
      <c r="S69" s="1"/>
      <c r="T69" s="1"/>
      <c r="U69" s="1"/>
      <c r="V69" s="1"/>
      <c r="W69" s="1"/>
      <c r="X69" s="1"/>
      <c r="Y69" s="1"/>
    </row>
    <row r="70" spans="1:25" s="8" customFormat="1">
      <c r="A70" s="1"/>
      <c r="B70" s="1111" t="s">
        <v>39</v>
      </c>
      <c r="C70" s="1112"/>
      <c r="D70" s="1112"/>
      <c r="E70" s="1112"/>
      <c r="F70" s="1112"/>
      <c r="G70" s="1113"/>
      <c r="I70" s="1"/>
      <c r="J70" s="1"/>
      <c r="K70" s="1"/>
      <c r="L70" s="1"/>
      <c r="M70" s="1"/>
      <c r="N70" s="1"/>
      <c r="O70" s="1"/>
      <c r="P70" s="1"/>
      <c r="Q70" s="1"/>
      <c r="R70" s="1"/>
      <c r="S70" s="1"/>
      <c r="T70" s="1"/>
      <c r="U70" s="1"/>
      <c r="V70" s="1"/>
      <c r="W70" s="1"/>
      <c r="X70" s="1"/>
      <c r="Y70" s="1"/>
    </row>
    <row r="71" spans="1:25" s="8" customFormat="1">
      <c r="A71" s="1"/>
      <c r="B71" s="1108" t="s">
        <v>4</v>
      </c>
      <c r="C71" s="1109"/>
      <c r="D71" s="1114"/>
      <c r="E71" s="1109"/>
      <c r="F71" s="1109"/>
      <c r="G71" s="1110"/>
      <c r="I71" s="1"/>
      <c r="J71" s="1"/>
      <c r="K71" s="1"/>
      <c r="L71" s="1"/>
      <c r="M71" s="1"/>
      <c r="N71" s="1"/>
      <c r="O71" s="1"/>
      <c r="P71" s="1"/>
      <c r="Q71" s="1"/>
      <c r="R71" s="1"/>
      <c r="S71" s="1"/>
      <c r="T71" s="1"/>
      <c r="U71" s="1"/>
      <c r="V71" s="1"/>
      <c r="W71" s="1"/>
      <c r="X71" s="1"/>
      <c r="Y71" s="1"/>
    </row>
    <row r="72" spans="1:25" s="8" customFormat="1">
      <c r="A72" s="1"/>
      <c r="B72" s="1111" t="s">
        <v>5</v>
      </c>
      <c r="C72" s="1112"/>
      <c r="D72" s="1112"/>
      <c r="E72" s="1112"/>
      <c r="F72" s="1112"/>
      <c r="G72" s="1113"/>
      <c r="I72" s="1"/>
      <c r="J72" s="1"/>
      <c r="K72" s="1"/>
      <c r="L72" s="1"/>
      <c r="M72" s="1"/>
      <c r="N72" s="1"/>
      <c r="O72" s="1"/>
      <c r="P72" s="1"/>
      <c r="Q72" s="1"/>
      <c r="R72" s="1"/>
      <c r="S72" s="1"/>
      <c r="T72" s="1"/>
      <c r="U72" s="1"/>
      <c r="V72" s="1"/>
      <c r="W72" s="1"/>
      <c r="X72" s="1"/>
      <c r="Y72" s="1"/>
    </row>
    <row r="73" spans="1:25" s="8" customFormat="1">
      <c r="A73" s="1"/>
      <c r="B73" s="2399" t="s">
        <v>271</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2399" t="s">
        <v>104</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2399" t="s">
        <v>105</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1115"/>
      <c r="C76" s="1116"/>
      <c r="D76" s="1116"/>
      <c r="E76" s="1116"/>
      <c r="F76" s="1116"/>
      <c r="G76" s="1117"/>
      <c r="I76" s="1"/>
      <c r="J76" s="1"/>
      <c r="K76" s="1"/>
      <c r="L76" s="1"/>
      <c r="M76" s="1"/>
      <c r="N76" s="1"/>
      <c r="O76" s="1"/>
      <c r="P76" s="1"/>
      <c r="Q76" s="1"/>
      <c r="R76" s="1"/>
      <c r="S76" s="1"/>
      <c r="T76" s="1"/>
      <c r="U76" s="1"/>
      <c r="V76" s="1"/>
      <c r="W76" s="1"/>
      <c r="X76" s="1"/>
      <c r="Y76" s="1"/>
    </row>
    <row r="77" spans="1:25" ht="24">
      <c r="B77" s="188">
        <v>1</v>
      </c>
      <c r="C77" s="189" t="s">
        <v>106</v>
      </c>
      <c r="D77" s="190"/>
      <c r="E77" s="719"/>
      <c r="F77" s="1107"/>
      <c r="G77" s="731"/>
    </row>
    <row r="78" spans="1:25">
      <c r="B78" s="191"/>
      <c r="C78" s="192" t="s">
        <v>107</v>
      </c>
      <c r="D78" s="190" t="s">
        <v>57</v>
      </c>
      <c r="E78" s="719">
        <f>782*0.9</f>
        <v>703.80000000000007</v>
      </c>
      <c r="F78" s="1092">
        <v>0</v>
      </c>
      <c r="G78" s="1093">
        <f t="shared" ref="G78:G88" si="3">E78*F78</f>
        <v>0</v>
      </c>
    </row>
    <row r="79" spans="1:25" ht="24">
      <c r="B79" s="191"/>
      <c r="C79" s="192" t="s">
        <v>884</v>
      </c>
      <c r="D79" s="190" t="s">
        <v>57</v>
      </c>
      <c r="E79" s="719">
        <f>782*0.1</f>
        <v>78.2</v>
      </c>
      <c r="F79" s="1092">
        <v>0</v>
      </c>
      <c r="G79" s="1093">
        <f t="shared" si="3"/>
        <v>0</v>
      </c>
    </row>
    <row r="80" spans="1:25">
      <c r="B80" s="191"/>
      <c r="C80" s="192" t="s">
        <v>226</v>
      </c>
      <c r="D80" s="190" t="s">
        <v>57</v>
      </c>
      <c r="E80" s="719">
        <f>258*0.9</f>
        <v>232.20000000000002</v>
      </c>
      <c r="F80" s="1092">
        <v>0</v>
      </c>
      <c r="G80" s="1093">
        <f t="shared" si="3"/>
        <v>0</v>
      </c>
    </row>
    <row r="81" spans="2:7" ht="24">
      <c r="B81" s="191"/>
      <c r="C81" s="192" t="s">
        <v>227</v>
      </c>
      <c r="D81" s="190" t="s">
        <v>57</v>
      </c>
      <c r="E81" s="719">
        <f>258*0.1</f>
        <v>25.8</v>
      </c>
      <c r="F81" s="1092">
        <v>0</v>
      </c>
      <c r="G81" s="1093">
        <f t="shared" si="3"/>
        <v>0</v>
      </c>
    </row>
    <row r="82" spans="2:7">
      <c r="B82" s="191"/>
      <c r="C82" s="192" t="s">
        <v>109</v>
      </c>
      <c r="D82" s="190" t="s">
        <v>57</v>
      </c>
      <c r="E82" s="719">
        <f>191*0.9</f>
        <v>171.9</v>
      </c>
      <c r="F82" s="1092">
        <v>0</v>
      </c>
      <c r="G82" s="1093">
        <f t="shared" si="3"/>
        <v>0</v>
      </c>
    </row>
    <row r="83" spans="2:7" ht="24">
      <c r="B83" s="191"/>
      <c r="C83" s="192" t="s">
        <v>110</v>
      </c>
      <c r="D83" s="190" t="s">
        <v>57</v>
      </c>
      <c r="E83" s="719">
        <f>191*0.1</f>
        <v>19.100000000000001</v>
      </c>
      <c r="F83" s="1092">
        <v>0</v>
      </c>
      <c r="G83" s="1093">
        <f t="shared" si="3"/>
        <v>0</v>
      </c>
    </row>
    <row r="84" spans="2:7" ht="36">
      <c r="B84" s="2404" t="s">
        <v>111</v>
      </c>
      <c r="C84" s="193" t="s">
        <v>112</v>
      </c>
      <c r="D84" s="194"/>
      <c r="E84" s="719"/>
      <c r="F84" s="1092"/>
      <c r="G84" s="1093"/>
    </row>
    <row r="85" spans="2:7">
      <c r="B85" s="2405"/>
      <c r="C85" s="195" t="s">
        <v>113</v>
      </c>
      <c r="D85" s="194" t="s">
        <v>57</v>
      </c>
      <c r="E85" s="719">
        <v>118</v>
      </c>
      <c r="F85" s="1092">
        <v>0</v>
      </c>
      <c r="G85" s="1093">
        <f>E85*F85</f>
        <v>0</v>
      </c>
    </row>
    <row r="86" spans="2:7">
      <c r="B86" s="2405"/>
      <c r="C86" s="195" t="s">
        <v>274</v>
      </c>
      <c r="D86" s="194" t="s">
        <v>57</v>
      </c>
      <c r="E86" s="719">
        <v>38</v>
      </c>
      <c r="F86" s="1092">
        <v>0</v>
      </c>
      <c r="G86" s="1093">
        <f>E86*F86</f>
        <v>0</v>
      </c>
    </row>
    <row r="87" spans="2:7">
      <c r="B87" s="2413"/>
      <c r="C87" s="195" t="s">
        <v>275</v>
      </c>
      <c r="D87" s="194" t="s">
        <v>57</v>
      </c>
      <c r="E87" s="719">
        <v>30</v>
      </c>
      <c r="F87" s="1092">
        <v>0</v>
      </c>
      <c r="G87" s="1093">
        <f>E87*F87</f>
        <v>0</v>
      </c>
    </row>
    <row r="88" spans="2:7" ht="36">
      <c r="B88" s="196">
        <v>2</v>
      </c>
      <c r="C88" s="197" t="s">
        <v>114</v>
      </c>
      <c r="D88" s="145" t="s">
        <v>57</v>
      </c>
      <c r="E88" s="732">
        <f>SUM(E78:E83)</f>
        <v>1231.0000000000002</v>
      </c>
      <c r="F88" s="1092">
        <v>0</v>
      </c>
      <c r="G88" s="1093">
        <f t="shared" si="3"/>
        <v>0</v>
      </c>
    </row>
    <row r="89" spans="2:7" ht="36">
      <c r="B89" s="199" t="s">
        <v>115</v>
      </c>
      <c r="C89" s="197" t="s">
        <v>116</v>
      </c>
      <c r="D89" s="145" t="s">
        <v>57</v>
      </c>
      <c r="E89" s="732">
        <f>E88</f>
        <v>1231.0000000000002</v>
      </c>
      <c r="F89" s="1092">
        <v>0</v>
      </c>
      <c r="G89" s="1093">
        <f>E89*F89</f>
        <v>0</v>
      </c>
    </row>
    <row r="90" spans="2:7" ht="24">
      <c r="B90" s="199" t="s">
        <v>117</v>
      </c>
      <c r="C90" s="197" t="s">
        <v>118</v>
      </c>
      <c r="D90" s="145" t="s">
        <v>57</v>
      </c>
      <c r="E90" s="732">
        <f>E88</f>
        <v>1231.0000000000002</v>
      </c>
      <c r="F90" s="1092">
        <v>0</v>
      </c>
      <c r="G90" s="1093">
        <f>E90*F90</f>
        <v>0</v>
      </c>
    </row>
    <row r="91" spans="2:7" ht="36">
      <c r="B91" s="199" t="s">
        <v>119</v>
      </c>
      <c r="C91" s="197" t="s">
        <v>120</v>
      </c>
      <c r="D91" s="145" t="s">
        <v>57</v>
      </c>
      <c r="E91" s="732">
        <f>E88</f>
        <v>1231.0000000000002</v>
      </c>
      <c r="F91" s="1092">
        <v>0</v>
      </c>
      <c r="G91" s="1093">
        <f>E91*F91</f>
        <v>0</v>
      </c>
    </row>
    <row r="92" spans="2:7" ht="24">
      <c r="B92" s="188">
        <v>3</v>
      </c>
      <c r="C92" s="200" t="s">
        <v>121</v>
      </c>
      <c r="D92" s="127"/>
      <c r="E92" s="719"/>
      <c r="F92" s="719"/>
      <c r="G92" s="731"/>
    </row>
    <row r="93" spans="2:7">
      <c r="B93" s="201" t="s">
        <v>122</v>
      </c>
      <c r="C93" s="202" t="s">
        <v>123</v>
      </c>
      <c r="D93" s="203"/>
      <c r="E93" s="204"/>
      <c r="F93" s="205"/>
      <c r="G93" s="206"/>
    </row>
    <row r="94" spans="2:7">
      <c r="B94" s="125"/>
      <c r="C94" s="202" t="s">
        <v>124</v>
      </c>
      <c r="D94" s="203"/>
      <c r="E94" s="204"/>
      <c r="F94" s="205"/>
      <c r="G94" s="206"/>
    </row>
    <row r="95" spans="2:7">
      <c r="B95" s="207"/>
      <c r="C95" s="208" t="s">
        <v>125</v>
      </c>
      <c r="D95" s="209" t="s">
        <v>66</v>
      </c>
      <c r="E95" s="204">
        <v>2</v>
      </c>
      <c r="F95" s="210">
        <v>0</v>
      </c>
      <c r="G95" s="211">
        <f>E95*F95</f>
        <v>0</v>
      </c>
    </row>
    <row r="96" spans="2:7">
      <c r="B96" s="207"/>
      <c r="C96" s="208" t="s">
        <v>1464</v>
      </c>
      <c r="D96" s="209" t="s">
        <v>66</v>
      </c>
      <c r="E96" s="204">
        <v>2</v>
      </c>
      <c r="F96" s="210">
        <v>0</v>
      </c>
      <c r="G96" s="211">
        <f>E96*F96</f>
        <v>0</v>
      </c>
    </row>
    <row r="97" spans="2:7">
      <c r="B97" s="201" t="s">
        <v>126</v>
      </c>
      <c r="C97" s="212" t="s">
        <v>127</v>
      </c>
      <c r="D97" s="213"/>
      <c r="E97" s="214"/>
      <c r="F97" s="215">
        <v>0</v>
      </c>
      <c r="G97" s="216"/>
    </row>
    <row r="98" spans="2:7">
      <c r="B98" s="218"/>
      <c r="C98" s="212" t="s">
        <v>128</v>
      </c>
      <c r="D98" s="735"/>
      <c r="E98" s="736"/>
      <c r="F98" s="1601"/>
      <c r="G98" s="1121"/>
    </row>
    <row r="99" spans="2:7">
      <c r="B99" s="218"/>
      <c r="C99" s="219" t="s">
        <v>129</v>
      </c>
      <c r="D99" s="213" t="s">
        <v>66</v>
      </c>
      <c r="E99" s="214">
        <v>2</v>
      </c>
      <c r="F99" s="1599">
        <v>0</v>
      </c>
      <c r="G99" s="221">
        <f t="shared" ref="G99:G117" si="4">E99*F99</f>
        <v>0</v>
      </c>
    </row>
    <row r="100" spans="2:7" ht="36">
      <c r="B100" s="218"/>
      <c r="C100" s="222" t="s">
        <v>130</v>
      </c>
      <c r="D100" s="213" t="s">
        <v>66</v>
      </c>
      <c r="E100" s="214">
        <v>2</v>
      </c>
      <c r="F100" s="1599">
        <v>0</v>
      </c>
      <c r="G100" s="221">
        <f t="shared" si="4"/>
        <v>0</v>
      </c>
    </row>
    <row r="101" spans="2:7">
      <c r="B101" s="218"/>
      <c r="C101" s="222" t="s">
        <v>183</v>
      </c>
      <c r="D101" s="213" t="s">
        <v>66</v>
      </c>
      <c r="E101" s="214">
        <v>2</v>
      </c>
      <c r="F101" s="1599">
        <v>0</v>
      </c>
      <c r="G101" s="221">
        <f t="shared" si="4"/>
        <v>0</v>
      </c>
    </row>
    <row r="102" spans="2:7">
      <c r="B102" s="218"/>
      <c r="C102" s="222" t="s">
        <v>131</v>
      </c>
      <c r="D102" s="213" t="s">
        <v>66</v>
      </c>
      <c r="E102" s="214">
        <v>2</v>
      </c>
      <c r="F102" s="1599">
        <v>0</v>
      </c>
      <c r="G102" s="221">
        <f t="shared" si="4"/>
        <v>0</v>
      </c>
    </row>
    <row r="103" spans="2:7">
      <c r="B103" s="218"/>
      <c r="C103" s="222" t="s">
        <v>132</v>
      </c>
      <c r="D103" s="213" t="s">
        <v>66</v>
      </c>
      <c r="E103" s="214">
        <v>4</v>
      </c>
      <c r="F103" s="1599">
        <v>0</v>
      </c>
      <c r="G103" s="221">
        <f t="shared" si="4"/>
        <v>0</v>
      </c>
    </row>
    <row r="104" spans="2:7">
      <c r="B104" s="218"/>
      <c r="C104" s="222" t="s">
        <v>133</v>
      </c>
      <c r="D104" s="213" t="s">
        <v>66</v>
      </c>
      <c r="E104" s="214">
        <v>4</v>
      </c>
      <c r="F104" s="1599">
        <v>0</v>
      </c>
      <c r="G104" s="221">
        <f t="shared" si="4"/>
        <v>0</v>
      </c>
    </row>
    <row r="105" spans="2:7">
      <c r="B105" s="218"/>
      <c r="C105" s="222" t="s">
        <v>134</v>
      </c>
      <c r="D105" s="213" t="s">
        <v>66</v>
      </c>
      <c r="E105" s="214">
        <v>2</v>
      </c>
      <c r="F105" s="1599">
        <v>0</v>
      </c>
      <c r="G105" s="221">
        <f t="shared" si="4"/>
        <v>0</v>
      </c>
    </row>
    <row r="106" spans="2:7">
      <c r="B106" s="218"/>
      <c r="C106" s="222" t="s">
        <v>135</v>
      </c>
      <c r="D106" s="213" t="s">
        <v>66</v>
      </c>
      <c r="E106" s="214">
        <v>2</v>
      </c>
      <c r="F106" s="1599">
        <v>0</v>
      </c>
      <c r="G106" s="221">
        <f t="shared" si="4"/>
        <v>0</v>
      </c>
    </row>
    <row r="107" spans="2:7">
      <c r="B107" s="218"/>
      <c r="C107" s="212" t="s">
        <v>318</v>
      </c>
      <c r="D107" s="735"/>
      <c r="E107" s="736"/>
      <c r="F107" s="1599"/>
      <c r="G107" s="221"/>
    </row>
    <row r="108" spans="2:7">
      <c r="B108" s="218"/>
      <c r="C108" s="219" t="s">
        <v>319</v>
      </c>
      <c r="D108" s="213" t="s">
        <v>66</v>
      </c>
      <c r="E108" s="214">
        <v>2</v>
      </c>
      <c r="F108" s="1599">
        <v>0</v>
      </c>
      <c r="G108" s="221">
        <f t="shared" si="4"/>
        <v>0</v>
      </c>
    </row>
    <row r="109" spans="2:7" ht="36">
      <c r="B109" s="218"/>
      <c r="C109" s="222" t="s">
        <v>283</v>
      </c>
      <c r="D109" s="213" t="s">
        <v>66</v>
      </c>
      <c r="E109" s="214">
        <v>2</v>
      </c>
      <c r="F109" s="1599">
        <v>0</v>
      </c>
      <c r="G109" s="221">
        <f t="shared" si="4"/>
        <v>0</v>
      </c>
    </row>
    <row r="110" spans="2:7">
      <c r="B110" s="218"/>
      <c r="C110" s="222" t="s">
        <v>183</v>
      </c>
      <c r="D110" s="213" t="s">
        <v>66</v>
      </c>
      <c r="E110" s="214">
        <v>2</v>
      </c>
      <c r="F110" s="1599">
        <v>0</v>
      </c>
      <c r="G110" s="221">
        <f t="shared" si="4"/>
        <v>0</v>
      </c>
    </row>
    <row r="111" spans="2:7">
      <c r="B111" s="218"/>
      <c r="C111" s="222" t="s">
        <v>131</v>
      </c>
      <c r="D111" s="213" t="s">
        <v>66</v>
      </c>
      <c r="E111" s="214">
        <v>2</v>
      </c>
      <c r="F111" s="1599">
        <v>0</v>
      </c>
      <c r="G111" s="221">
        <f t="shared" si="4"/>
        <v>0</v>
      </c>
    </row>
    <row r="112" spans="2:7">
      <c r="B112" s="218"/>
      <c r="C112" s="1133" t="s">
        <v>166</v>
      </c>
      <c r="D112" s="213" t="s">
        <v>66</v>
      </c>
      <c r="E112" s="214">
        <v>4</v>
      </c>
      <c r="F112" s="1599">
        <v>0</v>
      </c>
      <c r="G112" s="221">
        <f t="shared" si="4"/>
        <v>0</v>
      </c>
    </row>
    <row r="113" spans="2:7">
      <c r="B113" s="218"/>
      <c r="C113" s="1133" t="s">
        <v>167</v>
      </c>
      <c r="D113" s="213" t="s">
        <v>66</v>
      </c>
      <c r="E113" s="214">
        <v>4</v>
      </c>
      <c r="F113" s="1599">
        <v>0</v>
      </c>
      <c r="G113" s="221">
        <f t="shared" si="4"/>
        <v>0</v>
      </c>
    </row>
    <row r="114" spans="2:7">
      <c r="B114" s="218"/>
      <c r="C114" s="1133" t="s">
        <v>229</v>
      </c>
      <c r="D114" s="213" t="s">
        <v>66</v>
      </c>
      <c r="E114" s="214">
        <v>4</v>
      </c>
      <c r="F114" s="1599">
        <v>0</v>
      </c>
      <c r="G114" s="221">
        <f t="shared" si="4"/>
        <v>0</v>
      </c>
    </row>
    <row r="115" spans="2:7">
      <c r="B115" s="218"/>
      <c r="C115" s="1133" t="s">
        <v>230</v>
      </c>
      <c r="D115" s="213" t="s">
        <v>66</v>
      </c>
      <c r="E115" s="214">
        <v>4</v>
      </c>
      <c r="F115" s="1599">
        <v>0</v>
      </c>
      <c r="G115" s="221">
        <f t="shared" si="4"/>
        <v>0</v>
      </c>
    </row>
    <row r="116" spans="2:7">
      <c r="B116" s="218"/>
      <c r="C116" s="1133" t="s">
        <v>134</v>
      </c>
      <c r="D116" s="213" t="s">
        <v>66</v>
      </c>
      <c r="E116" s="214">
        <v>2</v>
      </c>
      <c r="F116" s="1599">
        <v>0</v>
      </c>
      <c r="G116" s="221">
        <f t="shared" si="4"/>
        <v>0</v>
      </c>
    </row>
    <row r="117" spans="2:7">
      <c r="B117" s="218"/>
      <c r="C117" s="1134" t="s">
        <v>135</v>
      </c>
      <c r="D117" s="213" t="s">
        <v>66</v>
      </c>
      <c r="E117" s="214">
        <v>2</v>
      </c>
      <c r="F117" s="1599">
        <v>0</v>
      </c>
      <c r="G117" s="221">
        <f t="shared" si="4"/>
        <v>0</v>
      </c>
    </row>
    <row r="118" spans="2:7">
      <c r="B118" s="201" t="s">
        <v>136</v>
      </c>
      <c r="C118" s="238" t="s">
        <v>320</v>
      </c>
      <c r="D118" s="239"/>
      <c r="E118" s="240"/>
      <c r="F118" s="241"/>
      <c r="G118" s="242"/>
    </row>
    <row r="119" spans="2:7">
      <c r="B119" s="218"/>
      <c r="C119" s="238" t="s">
        <v>326</v>
      </c>
      <c r="D119" s="153"/>
      <c r="E119" s="741"/>
      <c r="F119" s="1611"/>
      <c r="G119" s="263"/>
    </row>
    <row r="120" spans="2:7" ht="28.5" customHeight="1">
      <c r="B120" s="218"/>
      <c r="C120" s="1123" t="s">
        <v>322</v>
      </c>
      <c r="D120" s="239" t="s">
        <v>66</v>
      </c>
      <c r="E120" s="240">
        <v>2</v>
      </c>
      <c r="F120" s="1609">
        <v>0</v>
      </c>
      <c r="G120" s="245">
        <f t="shared" ref="G120:G122" si="5">E120*F120</f>
        <v>0</v>
      </c>
    </row>
    <row r="121" spans="2:7">
      <c r="B121" s="218"/>
      <c r="C121" s="246" t="s">
        <v>325</v>
      </c>
      <c r="D121" s="239" t="s">
        <v>66</v>
      </c>
      <c r="E121" s="240">
        <v>2</v>
      </c>
      <c r="F121" s="1609">
        <v>0</v>
      </c>
      <c r="G121" s="245">
        <f t="shared" si="5"/>
        <v>0</v>
      </c>
    </row>
    <row r="122" spans="2:7">
      <c r="B122" s="218"/>
      <c r="C122" s="247" t="s">
        <v>135</v>
      </c>
      <c r="D122" s="239" t="s">
        <v>66</v>
      </c>
      <c r="E122" s="240">
        <v>2</v>
      </c>
      <c r="F122" s="1609">
        <v>0</v>
      </c>
      <c r="G122" s="245">
        <f t="shared" si="5"/>
        <v>0</v>
      </c>
    </row>
    <row r="123" spans="2:7">
      <c r="B123" s="201" t="s">
        <v>151</v>
      </c>
      <c r="C123" s="223" t="s">
        <v>137</v>
      </c>
      <c r="D123" s="224"/>
      <c r="E123" s="225"/>
      <c r="F123" s="226"/>
      <c r="G123" s="227"/>
    </row>
    <row r="124" spans="2:7">
      <c r="B124" s="218"/>
      <c r="C124" s="223" t="s">
        <v>138</v>
      </c>
      <c r="D124" s="737"/>
      <c r="E124" s="738"/>
      <c r="F124" s="1605"/>
      <c r="G124" s="1125"/>
    </row>
    <row r="125" spans="2:7">
      <c r="B125" s="218"/>
      <c r="C125" s="228" t="s">
        <v>129</v>
      </c>
      <c r="D125" s="224" t="s">
        <v>66</v>
      </c>
      <c r="E125" s="225">
        <v>2</v>
      </c>
      <c r="F125" s="1603">
        <v>0</v>
      </c>
      <c r="G125" s="230">
        <f t="shared" ref="G125:G140" si="6">E125*F125</f>
        <v>0</v>
      </c>
    </row>
    <row r="126" spans="2:7">
      <c r="B126" s="218"/>
      <c r="C126" s="228" t="s">
        <v>139</v>
      </c>
      <c r="D126" s="224" t="s">
        <v>66</v>
      </c>
      <c r="E126" s="225">
        <v>4</v>
      </c>
      <c r="F126" s="1603">
        <v>0</v>
      </c>
      <c r="G126" s="230">
        <f t="shared" si="6"/>
        <v>0</v>
      </c>
    </row>
    <row r="127" spans="2:7">
      <c r="B127" s="218"/>
      <c r="C127" s="231" t="s">
        <v>140</v>
      </c>
      <c r="D127" s="224" t="s">
        <v>66</v>
      </c>
      <c r="E127" s="225">
        <v>2</v>
      </c>
      <c r="F127" s="1603">
        <v>0</v>
      </c>
      <c r="G127" s="230">
        <f t="shared" si="6"/>
        <v>0</v>
      </c>
    </row>
    <row r="128" spans="2:7">
      <c r="B128" s="218"/>
      <c r="C128" s="231" t="s">
        <v>141</v>
      </c>
      <c r="D128" s="224" t="s">
        <v>66</v>
      </c>
      <c r="E128" s="225">
        <v>2</v>
      </c>
      <c r="F128" s="1603">
        <v>0</v>
      </c>
      <c r="G128" s="230">
        <f t="shared" si="6"/>
        <v>0</v>
      </c>
    </row>
    <row r="129" spans="2:7">
      <c r="B129" s="218"/>
      <c r="C129" s="231" t="s">
        <v>142</v>
      </c>
      <c r="D129" s="224" t="s">
        <v>66</v>
      </c>
      <c r="E129" s="225">
        <v>2</v>
      </c>
      <c r="F129" s="1603">
        <v>0</v>
      </c>
      <c r="G129" s="230">
        <f t="shared" si="6"/>
        <v>0</v>
      </c>
    </row>
    <row r="130" spans="2:7">
      <c r="B130" s="218"/>
      <c r="C130" s="231" t="s">
        <v>143</v>
      </c>
      <c r="D130" s="224" t="s">
        <v>66</v>
      </c>
      <c r="E130" s="225">
        <v>2</v>
      </c>
      <c r="F130" s="1603">
        <v>0</v>
      </c>
      <c r="G130" s="230">
        <f t="shared" si="6"/>
        <v>0</v>
      </c>
    </row>
    <row r="131" spans="2:7">
      <c r="B131" s="218"/>
      <c r="C131" s="231" t="s">
        <v>2250</v>
      </c>
      <c r="D131" s="224" t="s">
        <v>66</v>
      </c>
      <c r="E131" s="225">
        <v>2</v>
      </c>
      <c r="F131" s="1603">
        <v>0</v>
      </c>
      <c r="G131" s="230">
        <f t="shared" si="6"/>
        <v>0</v>
      </c>
    </row>
    <row r="132" spans="2:7">
      <c r="B132" s="218"/>
      <c r="C132" s="231" t="s">
        <v>145</v>
      </c>
      <c r="D132" s="224" t="s">
        <v>66</v>
      </c>
      <c r="E132" s="225">
        <v>2</v>
      </c>
      <c r="F132" s="1603">
        <v>0</v>
      </c>
      <c r="G132" s="230">
        <f t="shared" si="6"/>
        <v>0</v>
      </c>
    </row>
    <row r="133" spans="2:7">
      <c r="B133" s="218"/>
      <c r="C133" s="231" t="s">
        <v>146</v>
      </c>
      <c r="D133" s="224" t="s">
        <v>66</v>
      </c>
      <c r="E133" s="225">
        <v>2</v>
      </c>
      <c r="F133" s="1603">
        <v>0</v>
      </c>
      <c r="G133" s="230">
        <f t="shared" si="6"/>
        <v>0</v>
      </c>
    </row>
    <row r="134" spans="2:7">
      <c r="B134" s="218"/>
      <c r="C134" s="739" t="s">
        <v>147</v>
      </c>
      <c r="D134" s="224" t="s">
        <v>66</v>
      </c>
      <c r="E134" s="225">
        <v>2</v>
      </c>
      <c r="F134" s="1603">
        <v>0</v>
      </c>
      <c r="G134" s="230">
        <f t="shared" si="6"/>
        <v>0</v>
      </c>
    </row>
    <row r="135" spans="2:7">
      <c r="B135" s="218"/>
      <c r="C135" s="739" t="s">
        <v>188</v>
      </c>
      <c r="D135" s="224" t="s">
        <v>66</v>
      </c>
      <c r="E135" s="225">
        <v>2</v>
      </c>
      <c r="F135" s="1603">
        <v>0</v>
      </c>
      <c r="G135" s="230">
        <f t="shared" si="6"/>
        <v>0</v>
      </c>
    </row>
    <row r="136" spans="2:7">
      <c r="B136" s="218"/>
      <c r="C136" s="739" t="s">
        <v>132</v>
      </c>
      <c r="D136" s="224" t="s">
        <v>66</v>
      </c>
      <c r="E136" s="225">
        <v>4</v>
      </c>
      <c r="F136" s="1603">
        <v>0</v>
      </c>
      <c r="G136" s="230">
        <f t="shared" si="6"/>
        <v>0</v>
      </c>
    </row>
    <row r="137" spans="2:7">
      <c r="B137" s="218"/>
      <c r="C137" s="739" t="s">
        <v>148</v>
      </c>
      <c r="D137" s="224" t="s">
        <v>66</v>
      </c>
      <c r="E137" s="225">
        <v>4</v>
      </c>
      <c r="F137" s="1603">
        <v>0</v>
      </c>
      <c r="G137" s="230">
        <f t="shared" si="6"/>
        <v>0</v>
      </c>
    </row>
    <row r="138" spans="2:7">
      <c r="B138" s="218"/>
      <c r="C138" s="739" t="s">
        <v>149</v>
      </c>
      <c r="D138" s="224" t="s">
        <v>66</v>
      </c>
      <c r="E138" s="225">
        <v>2</v>
      </c>
      <c r="F138" s="1603">
        <v>0</v>
      </c>
      <c r="G138" s="230">
        <f t="shared" si="6"/>
        <v>0</v>
      </c>
    </row>
    <row r="139" spans="2:7">
      <c r="B139" s="218"/>
      <c r="C139" s="739" t="s">
        <v>150</v>
      </c>
      <c r="D139" s="224" t="s">
        <v>66</v>
      </c>
      <c r="E139" s="225">
        <v>6</v>
      </c>
      <c r="F139" s="1603">
        <v>0</v>
      </c>
      <c r="G139" s="230">
        <f t="shared" si="6"/>
        <v>0</v>
      </c>
    </row>
    <row r="140" spans="2:7">
      <c r="B140" s="218"/>
      <c r="C140" s="740" t="s">
        <v>135</v>
      </c>
      <c r="D140" s="224" t="s">
        <v>66</v>
      </c>
      <c r="E140" s="225">
        <v>2</v>
      </c>
      <c r="F140" s="1603">
        <v>0</v>
      </c>
      <c r="G140" s="230">
        <f t="shared" si="6"/>
        <v>0</v>
      </c>
    </row>
    <row r="141" spans="2:7">
      <c r="B141" s="201" t="s">
        <v>159</v>
      </c>
      <c r="C141" s="212" t="s">
        <v>152</v>
      </c>
      <c r="D141" s="213"/>
      <c r="E141" s="214"/>
      <c r="F141" s="215"/>
      <c r="G141" s="216"/>
    </row>
    <row r="142" spans="2:7">
      <c r="B142" s="218"/>
      <c r="C142" s="212" t="s">
        <v>153</v>
      </c>
      <c r="D142" s="735"/>
      <c r="E142" s="736"/>
      <c r="F142" s="1601"/>
      <c r="G142" s="1121"/>
    </row>
    <row r="143" spans="2:7">
      <c r="B143" s="218"/>
      <c r="C143" s="219" t="s">
        <v>129</v>
      </c>
      <c r="D143" s="213" t="s">
        <v>66</v>
      </c>
      <c r="E143" s="214">
        <v>6</v>
      </c>
      <c r="F143" s="1599">
        <v>0</v>
      </c>
      <c r="G143" s="221">
        <f t="shared" ref="G143:G153" si="7">E143*F143</f>
        <v>0</v>
      </c>
    </row>
    <row r="144" spans="2:7" ht="24">
      <c r="B144" s="218"/>
      <c r="C144" s="222" t="s">
        <v>154</v>
      </c>
      <c r="D144" s="213" t="s">
        <v>66</v>
      </c>
      <c r="E144" s="214">
        <v>6</v>
      </c>
      <c r="F144" s="1599">
        <v>0</v>
      </c>
      <c r="G144" s="221">
        <f t="shared" si="7"/>
        <v>0</v>
      </c>
    </row>
    <row r="145" spans="2:7">
      <c r="B145" s="218"/>
      <c r="C145" s="222" t="s">
        <v>155</v>
      </c>
      <c r="D145" s="213" t="s">
        <v>66</v>
      </c>
      <c r="E145" s="214">
        <v>6</v>
      </c>
      <c r="F145" s="1599">
        <v>0</v>
      </c>
      <c r="G145" s="221">
        <f t="shared" si="7"/>
        <v>0</v>
      </c>
    </row>
    <row r="146" spans="2:7">
      <c r="B146" s="218"/>
      <c r="C146" s="222" t="s">
        <v>330</v>
      </c>
      <c r="D146" s="213" t="s">
        <v>66</v>
      </c>
      <c r="E146" s="214">
        <v>6</v>
      </c>
      <c r="F146" s="1599">
        <v>0</v>
      </c>
      <c r="G146" s="221">
        <f t="shared" si="7"/>
        <v>0</v>
      </c>
    </row>
    <row r="147" spans="2:7">
      <c r="B147" s="218"/>
      <c r="C147" s="222" t="s">
        <v>157</v>
      </c>
      <c r="D147" s="213" t="s">
        <v>66</v>
      </c>
      <c r="E147" s="214">
        <v>6</v>
      </c>
      <c r="F147" s="1599">
        <v>0</v>
      </c>
      <c r="G147" s="221">
        <f t="shared" si="7"/>
        <v>0</v>
      </c>
    </row>
    <row r="148" spans="2:7">
      <c r="B148" s="218"/>
      <c r="C148" s="234" t="s">
        <v>158</v>
      </c>
      <c r="D148" s="213" t="s">
        <v>66</v>
      </c>
      <c r="E148" s="214">
        <v>6</v>
      </c>
      <c r="F148" s="1599">
        <v>0</v>
      </c>
      <c r="G148" s="221">
        <f t="shared" si="7"/>
        <v>0</v>
      </c>
    </row>
    <row r="149" spans="2:7">
      <c r="B149" s="218"/>
      <c r="C149" s="234" t="s">
        <v>190</v>
      </c>
      <c r="D149" s="213" t="s">
        <v>66</v>
      </c>
      <c r="E149" s="214">
        <v>6</v>
      </c>
      <c r="F149" s="1599">
        <v>0</v>
      </c>
      <c r="G149" s="221">
        <f t="shared" si="7"/>
        <v>0</v>
      </c>
    </row>
    <row r="150" spans="2:7">
      <c r="B150" s="218"/>
      <c r="C150" s="234" t="s">
        <v>132</v>
      </c>
      <c r="D150" s="213" t="s">
        <v>66</v>
      </c>
      <c r="E150" s="214">
        <v>12</v>
      </c>
      <c r="F150" s="1599">
        <v>0</v>
      </c>
      <c r="G150" s="221">
        <f t="shared" si="7"/>
        <v>0</v>
      </c>
    </row>
    <row r="151" spans="2:7">
      <c r="B151" s="218"/>
      <c r="C151" s="234" t="s">
        <v>148</v>
      </c>
      <c r="D151" s="213" t="s">
        <v>66</v>
      </c>
      <c r="E151" s="214">
        <v>12</v>
      </c>
      <c r="F151" s="1599">
        <v>0</v>
      </c>
      <c r="G151" s="221">
        <f t="shared" si="7"/>
        <v>0</v>
      </c>
    </row>
    <row r="152" spans="2:7">
      <c r="B152" s="218"/>
      <c r="C152" s="234" t="s">
        <v>150</v>
      </c>
      <c r="D152" s="213" t="s">
        <v>66</v>
      </c>
      <c r="E152" s="214">
        <v>6</v>
      </c>
      <c r="F152" s="1599">
        <v>0</v>
      </c>
      <c r="G152" s="221">
        <f t="shared" si="7"/>
        <v>0</v>
      </c>
    </row>
    <row r="153" spans="2:7">
      <c r="B153" s="218"/>
      <c r="C153" s="235" t="s">
        <v>135</v>
      </c>
      <c r="D153" s="213" t="s">
        <v>66</v>
      </c>
      <c r="E153" s="214">
        <v>6</v>
      </c>
      <c r="F153" s="1599">
        <v>0</v>
      </c>
      <c r="G153" s="221">
        <f t="shared" si="7"/>
        <v>0</v>
      </c>
    </row>
    <row r="154" spans="2:7" ht="24">
      <c r="B154" s="199" t="s">
        <v>331</v>
      </c>
      <c r="C154" s="212" t="s">
        <v>332</v>
      </c>
      <c r="D154" s="735" t="s">
        <v>66</v>
      </c>
      <c r="E154" s="736">
        <v>6</v>
      </c>
      <c r="F154" s="1126">
        <v>0</v>
      </c>
      <c r="G154" s="1121">
        <f>E154*F154</f>
        <v>0</v>
      </c>
    </row>
    <row r="155" spans="2:7">
      <c r="B155" s="201" t="s">
        <v>168</v>
      </c>
      <c r="C155" s="223" t="s">
        <v>886</v>
      </c>
      <c r="D155" s="224"/>
      <c r="E155" s="225"/>
      <c r="F155" s="226"/>
      <c r="G155" s="227"/>
    </row>
    <row r="156" spans="2:7">
      <c r="B156" s="218"/>
      <c r="C156" s="223" t="s">
        <v>220</v>
      </c>
      <c r="D156" s="737"/>
      <c r="E156" s="738"/>
      <c r="F156" s="1605"/>
      <c r="G156" s="1608"/>
    </row>
    <row r="157" spans="2:7" ht="24">
      <c r="B157" s="218"/>
      <c r="C157" s="228" t="s">
        <v>2249</v>
      </c>
      <c r="D157" s="224" t="s">
        <v>66</v>
      </c>
      <c r="E157" s="225">
        <v>2</v>
      </c>
      <c r="F157" s="1768">
        <v>0</v>
      </c>
      <c r="G157" s="1714">
        <f t="shared" ref="G157:G177" si="8">E157*F157</f>
        <v>0</v>
      </c>
    </row>
    <row r="158" spans="2:7">
      <c r="B158" s="218"/>
      <c r="C158" s="739" t="s">
        <v>184</v>
      </c>
      <c r="D158" s="224" t="s">
        <v>66</v>
      </c>
      <c r="E158" s="225">
        <v>4</v>
      </c>
      <c r="F158" s="1768">
        <v>0</v>
      </c>
      <c r="G158" s="1714">
        <f t="shared" si="8"/>
        <v>0</v>
      </c>
    </row>
    <row r="159" spans="2:7">
      <c r="B159" s="218"/>
      <c r="C159" s="739" t="s">
        <v>132</v>
      </c>
      <c r="D159" s="224" t="s">
        <v>66</v>
      </c>
      <c r="E159" s="225">
        <v>2</v>
      </c>
      <c r="F159" s="1768">
        <v>0</v>
      </c>
      <c r="G159" s="1714">
        <f t="shared" si="8"/>
        <v>0</v>
      </c>
    </row>
    <row r="160" spans="2:7">
      <c r="B160" s="218"/>
      <c r="C160" s="739" t="s">
        <v>150</v>
      </c>
      <c r="D160" s="224" t="s">
        <v>66</v>
      </c>
      <c r="E160" s="225">
        <v>2</v>
      </c>
      <c r="F160" s="1768">
        <v>0</v>
      </c>
      <c r="G160" s="1714">
        <f t="shared" si="8"/>
        <v>0</v>
      </c>
    </row>
    <row r="161" spans="2:7">
      <c r="B161" s="218"/>
      <c r="C161" s="740" t="s">
        <v>135</v>
      </c>
      <c r="D161" s="224" t="s">
        <v>66</v>
      </c>
      <c r="E161" s="225">
        <v>2</v>
      </c>
      <c r="F161" s="1768">
        <v>0</v>
      </c>
      <c r="G161" s="1714">
        <f t="shared" si="8"/>
        <v>0</v>
      </c>
    </row>
    <row r="162" spans="2:7">
      <c r="B162" s="218"/>
      <c r="C162" s="223" t="s">
        <v>196</v>
      </c>
      <c r="D162" s="737"/>
      <c r="E162" s="738"/>
      <c r="F162" s="1768"/>
      <c r="G162" s="1714"/>
    </row>
    <row r="163" spans="2:7" ht="24">
      <c r="B163" s="218"/>
      <c r="C163" s="228" t="s">
        <v>2248</v>
      </c>
      <c r="D163" s="224" t="s">
        <v>66</v>
      </c>
      <c r="E163" s="225">
        <v>1</v>
      </c>
      <c r="F163" s="1768">
        <v>0</v>
      </c>
      <c r="G163" s="1714">
        <f t="shared" si="8"/>
        <v>0</v>
      </c>
    </row>
    <row r="164" spans="2:7">
      <c r="B164" s="218"/>
      <c r="C164" s="232" t="s">
        <v>132</v>
      </c>
      <c r="D164" s="224" t="s">
        <v>66</v>
      </c>
      <c r="E164" s="225">
        <v>3</v>
      </c>
      <c r="F164" s="1768">
        <v>0</v>
      </c>
      <c r="G164" s="1714">
        <f t="shared" si="8"/>
        <v>0</v>
      </c>
    </row>
    <row r="165" spans="2:7">
      <c r="B165" s="218"/>
      <c r="C165" s="232" t="s">
        <v>148</v>
      </c>
      <c r="D165" s="224" t="s">
        <v>66</v>
      </c>
      <c r="E165" s="225">
        <v>3</v>
      </c>
      <c r="F165" s="1768">
        <v>0</v>
      </c>
      <c r="G165" s="1714">
        <f t="shared" si="8"/>
        <v>0</v>
      </c>
    </row>
    <row r="166" spans="2:7">
      <c r="B166" s="218"/>
      <c r="C166" s="232" t="s">
        <v>150</v>
      </c>
      <c r="D166" s="224" t="s">
        <v>66</v>
      </c>
      <c r="E166" s="225">
        <v>1</v>
      </c>
      <c r="F166" s="1768">
        <v>0</v>
      </c>
      <c r="G166" s="1714">
        <f t="shared" si="8"/>
        <v>0</v>
      </c>
    </row>
    <row r="167" spans="2:7">
      <c r="B167" s="218"/>
      <c r="C167" s="233" t="s">
        <v>135</v>
      </c>
      <c r="D167" s="224" t="s">
        <v>66</v>
      </c>
      <c r="E167" s="225">
        <v>1</v>
      </c>
      <c r="F167" s="1768">
        <v>0</v>
      </c>
      <c r="G167" s="1714">
        <f t="shared" si="8"/>
        <v>0</v>
      </c>
    </row>
    <row r="168" spans="2:7">
      <c r="B168" s="218"/>
      <c r="C168" s="223" t="s">
        <v>228</v>
      </c>
      <c r="D168" s="737"/>
      <c r="E168" s="738"/>
      <c r="F168" s="1768"/>
      <c r="G168" s="1714"/>
    </row>
    <row r="169" spans="2:7" ht="24">
      <c r="B169" s="218"/>
      <c r="C169" s="228" t="s">
        <v>2247</v>
      </c>
      <c r="D169" s="224" t="s">
        <v>66</v>
      </c>
      <c r="E169" s="225">
        <v>2</v>
      </c>
      <c r="F169" s="1768">
        <v>0</v>
      </c>
      <c r="G169" s="1714">
        <f t="shared" si="8"/>
        <v>0</v>
      </c>
    </row>
    <row r="170" spans="2:7">
      <c r="B170" s="218"/>
      <c r="C170" s="739" t="s">
        <v>132</v>
      </c>
      <c r="D170" s="224" t="s">
        <v>66</v>
      </c>
      <c r="E170" s="225">
        <v>4</v>
      </c>
      <c r="F170" s="1768">
        <v>0</v>
      </c>
      <c r="G170" s="1714">
        <f t="shared" si="8"/>
        <v>0</v>
      </c>
    </row>
    <row r="171" spans="2:7">
      <c r="B171" s="218"/>
      <c r="C171" s="739" t="s">
        <v>166</v>
      </c>
      <c r="D171" s="224" t="s">
        <v>66</v>
      </c>
      <c r="E171" s="225">
        <v>2</v>
      </c>
      <c r="F171" s="1768">
        <v>0</v>
      </c>
      <c r="G171" s="1714">
        <f t="shared" si="8"/>
        <v>0</v>
      </c>
    </row>
    <row r="172" spans="2:7">
      <c r="B172" s="218"/>
      <c r="C172" s="739" t="s">
        <v>148</v>
      </c>
      <c r="D172" s="224" t="s">
        <v>66</v>
      </c>
      <c r="E172" s="225">
        <v>4</v>
      </c>
      <c r="F172" s="1768">
        <v>0</v>
      </c>
      <c r="G172" s="1714">
        <f t="shared" si="8"/>
        <v>0</v>
      </c>
    </row>
    <row r="173" spans="2:7">
      <c r="B173" s="218"/>
      <c r="C173" s="739" t="s">
        <v>167</v>
      </c>
      <c r="D173" s="224" t="s">
        <v>66</v>
      </c>
      <c r="E173" s="225">
        <v>2</v>
      </c>
      <c r="F173" s="1768">
        <v>0</v>
      </c>
      <c r="G173" s="1714">
        <f t="shared" si="8"/>
        <v>0</v>
      </c>
    </row>
    <row r="174" spans="2:7">
      <c r="B174" s="218"/>
      <c r="C174" s="739" t="s">
        <v>229</v>
      </c>
      <c r="D174" s="224" t="s">
        <v>66</v>
      </c>
      <c r="E174" s="225">
        <v>2</v>
      </c>
      <c r="F174" s="1768">
        <v>0</v>
      </c>
      <c r="G174" s="1714">
        <f t="shared" si="8"/>
        <v>0</v>
      </c>
    </row>
    <row r="175" spans="2:7">
      <c r="B175" s="218"/>
      <c r="C175" s="739" t="s">
        <v>230</v>
      </c>
      <c r="D175" s="224" t="s">
        <v>66</v>
      </c>
      <c r="E175" s="225">
        <v>2</v>
      </c>
      <c r="F175" s="1768">
        <v>0</v>
      </c>
      <c r="G175" s="1714">
        <f t="shared" si="8"/>
        <v>0</v>
      </c>
    </row>
    <row r="176" spans="2:7">
      <c r="B176" s="218"/>
      <c r="C176" s="739" t="s">
        <v>150</v>
      </c>
      <c r="D176" s="224" t="s">
        <v>66</v>
      </c>
      <c r="E176" s="225">
        <v>2</v>
      </c>
      <c r="F176" s="1768">
        <v>0</v>
      </c>
      <c r="G176" s="1714">
        <f t="shared" si="8"/>
        <v>0</v>
      </c>
    </row>
    <row r="177" spans="2:8">
      <c r="B177" s="218"/>
      <c r="C177" s="740" t="s">
        <v>135</v>
      </c>
      <c r="D177" s="224" t="s">
        <v>66</v>
      </c>
      <c r="E177" s="225">
        <v>2</v>
      </c>
      <c r="F177" s="1768">
        <v>0</v>
      </c>
      <c r="G177" s="1714">
        <f t="shared" si="8"/>
        <v>0</v>
      </c>
    </row>
    <row r="178" spans="2:8">
      <c r="B178" s="218"/>
      <c r="C178" s="223" t="s">
        <v>1465</v>
      </c>
      <c r="D178" s="2240"/>
      <c r="E178" s="738"/>
      <c r="F178" s="1605"/>
      <c r="G178" s="1646"/>
    </row>
    <row r="179" spans="2:8" s="217" customFormat="1">
      <c r="B179" s="218"/>
      <c r="C179" s="1655" t="s">
        <v>148</v>
      </c>
      <c r="D179" s="1232" t="s">
        <v>66</v>
      </c>
      <c r="E179" s="225">
        <v>2</v>
      </c>
      <c r="F179" s="1768">
        <v>0</v>
      </c>
      <c r="G179" s="1714">
        <f t="shared" ref="G179:G183" si="9">E179*F179</f>
        <v>0</v>
      </c>
      <c r="H179" s="1703"/>
    </row>
    <row r="180" spans="2:8" s="217" customFormat="1">
      <c r="B180" s="218"/>
      <c r="C180" s="1655" t="s">
        <v>2257</v>
      </c>
      <c r="D180" s="1232" t="s">
        <v>66</v>
      </c>
      <c r="E180" s="225">
        <v>2</v>
      </c>
      <c r="F180" s="1768">
        <v>0</v>
      </c>
      <c r="G180" s="1714">
        <f t="shared" si="9"/>
        <v>0</v>
      </c>
      <c r="H180" s="1703"/>
    </row>
    <row r="181" spans="2:8" s="217" customFormat="1">
      <c r="B181" s="218"/>
      <c r="C181" s="1655" t="s">
        <v>230</v>
      </c>
      <c r="D181" s="1232" t="s">
        <v>66</v>
      </c>
      <c r="E181" s="225">
        <v>4</v>
      </c>
      <c r="F181" s="1768">
        <v>0</v>
      </c>
      <c r="G181" s="1714">
        <f t="shared" si="9"/>
        <v>0</v>
      </c>
      <c r="H181" s="1703"/>
    </row>
    <row r="182" spans="2:8" s="217" customFormat="1">
      <c r="B182" s="218"/>
      <c r="C182" s="1655" t="s">
        <v>2255</v>
      </c>
      <c r="D182" s="1232" t="s">
        <v>66</v>
      </c>
      <c r="E182" s="225">
        <v>2</v>
      </c>
      <c r="F182" s="1768">
        <v>0</v>
      </c>
      <c r="G182" s="1714">
        <f t="shared" si="9"/>
        <v>0</v>
      </c>
      <c r="H182" s="1703"/>
    </row>
    <row r="183" spans="2:8" s="217" customFormat="1">
      <c r="B183" s="218"/>
      <c r="C183" s="1655" t="s">
        <v>1444</v>
      </c>
      <c r="D183" s="1232" t="s">
        <v>66</v>
      </c>
      <c r="E183" s="225">
        <v>2</v>
      </c>
      <c r="F183" s="1768">
        <v>0</v>
      </c>
      <c r="G183" s="1714">
        <f t="shared" si="9"/>
        <v>0</v>
      </c>
      <c r="H183" s="1703"/>
    </row>
    <row r="184" spans="2:8">
      <c r="B184" s="218"/>
      <c r="C184" s="223" t="s">
        <v>1395</v>
      </c>
      <c r="D184" s="2240"/>
      <c r="E184" s="738"/>
      <c r="F184" s="1605"/>
      <c r="G184" s="1646"/>
    </row>
    <row r="185" spans="2:8" s="217" customFormat="1">
      <c r="B185" s="218"/>
      <c r="C185" s="1655" t="s">
        <v>230</v>
      </c>
      <c r="D185" s="1232" t="s">
        <v>66</v>
      </c>
      <c r="E185" s="225">
        <v>2</v>
      </c>
      <c r="F185" s="1768">
        <v>0</v>
      </c>
      <c r="G185" s="1714">
        <f t="shared" ref="G185:G187" si="10">E185*F185</f>
        <v>0</v>
      </c>
      <c r="H185" s="1703"/>
    </row>
    <row r="186" spans="2:8" s="217" customFormat="1">
      <c r="B186" s="218"/>
      <c r="C186" s="1655" t="s">
        <v>2255</v>
      </c>
      <c r="D186" s="1232" t="s">
        <v>66</v>
      </c>
      <c r="E186" s="225">
        <v>2</v>
      </c>
      <c r="F186" s="1768">
        <v>0</v>
      </c>
      <c r="G186" s="1714">
        <f t="shared" si="10"/>
        <v>0</v>
      </c>
      <c r="H186" s="1703"/>
    </row>
    <row r="187" spans="2:8" s="217" customFormat="1">
      <c r="B187" s="218"/>
      <c r="C187" s="1655" t="s">
        <v>1444</v>
      </c>
      <c r="D187" s="1232" t="s">
        <v>66</v>
      </c>
      <c r="E187" s="225">
        <v>2</v>
      </c>
      <c r="F187" s="1768">
        <v>0</v>
      </c>
      <c r="G187" s="1714">
        <f t="shared" si="10"/>
        <v>0</v>
      </c>
      <c r="H187" s="1703"/>
    </row>
    <row r="188" spans="2:8">
      <c r="B188" s="201" t="s">
        <v>172</v>
      </c>
      <c r="C188" s="238" t="s">
        <v>169</v>
      </c>
      <c r="D188" s="239"/>
      <c r="E188" s="240"/>
      <c r="F188" s="241"/>
      <c r="G188" s="242"/>
    </row>
    <row r="189" spans="2:8">
      <c r="B189" s="218"/>
      <c r="C189" s="238" t="s">
        <v>170</v>
      </c>
      <c r="D189" s="153"/>
      <c r="E189" s="741"/>
      <c r="F189" s="1611"/>
      <c r="G189" s="263"/>
    </row>
    <row r="190" spans="2:8" ht="36">
      <c r="B190" s="218"/>
      <c r="C190" s="243" t="s">
        <v>2246</v>
      </c>
      <c r="D190" s="239" t="s">
        <v>66</v>
      </c>
      <c r="E190" s="240">
        <v>27</v>
      </c>
      <c r="F190" s="1609">
        <v>0</v>
      </c>
      <c r="G190" s="245">
        <f t="shared" ref="G190:G198" si="11">E190*F190</f>
        <v>0</v>
      </c>
    </row>
    <row r="191" spans="2:8">
      <c r="B191" s="218"/>
      <c r="C191" s="1129" t="s">
        <v>171</v>
      </c>
      <c r="D191" s="239" t="s">
        <v>66</v>
      </c>
      <c r="E191" s="240">
        <v>27</v>
      </c>
      <c r="F191" s="1609">
        <v>0</v>
      </c>
      <c r="G191" s="245">
        <f t="shared" si="11"/>
        <v>0</v>
      </c>
    </row>
    <row r="192" spans="2:8">
      <c r="B192" s="218"/>
      <c r="C192" s="1130" t="s">
        <v>135</v>
      </c>
      <c r="D192" s="239" t="s">
        <v>66</v>
      </c>
      <c r="E192" s="240">
        <v>27</v>
      </c>
      <c r="F192" s="1609">
        <v>0</v>
      </c>
      <c r="G192" s="245">
        <f t="shared" si="11"/>
        <v>0</v>
      </c>
    </row>
    <row r="193" spans="2:7">
      <c r="B193" s="218"/>
      <c r="C193" s="247" t="s">
        <v>891</v>
      </c>
      <c r="D193" s="239" t="s">
        <v>66</v>
      </c>
      <c r="E193" s="240">
        <v>27</v>
      </c>
      <c r="F193" s="1609">
        <v>0</v>
      </c>
      <c r="G193" s="245">
        <f t="shared" si="11"/>
        <v>0</v>
      </c>
    </row>
    <row r="194" spans="2:7">
      <c r="B194" s="218"/>
      <c r="C194" s="238" t="s">
        <v>234</v>
      </c>
      <c r="D194" s="153"/>
      <c r="E194" s="741"/>
      <c r="F194" s="1609"/>
      <c r="G194" s="245"/>
    </row>
    <row r="195" spans="2:7" ht="36">
      <c r="B195" s="218"/>
      <c r="C195" s="243" t="s">
        <v>2245</v>
      </c>
      <c r="D195" s="239" t="s">
        <v>66</v>
      </c>
      <c r="E195" s="240">
        <v>7</v>
      </c>
      <c r="F195" s="1609">
        <v>0</v>
      </c>
      <c r="G195" s="245">
        <f t="shared" si="11"/>
        <v>0</v>
      </c>
    </row>
    <row r="196" spans="2:7">
      <c r="B196" s="218"/>
      <c r="C196" s="246" t="s">
        <v>171</v>
      </c>
      <c r="D196" s="239" t="s">
        <v>66</v>
      </c>
      <c r="E196" s="240">
        <v>7</v>
      </c>
      <c r="F196" s="1609">
        <v>0</v>
      </c>
      <c r="G196" s="245">
        <f t="shared" si="11"/>
        <v>0</v>
      </c>
    </row>
    <row r="197" spans="2:7">
      <c r="B197" s="218"/>
      <c r="C197" s="247" t="s">
        <v>135</v>
      </c>
      <c r="D197" s="239" t="s">
        <v>66</v>
      </c>
      <c r="E197" s="240">
        <v>7</v>
      </c>
      <c r="F197" s="1609">
        <v>0</v>
      </c>
      <c r="G197" s="245">
        <f t="shared" si="11"/>
        <v>0</v>
      </c>
    </row>
    <row r="198" spans="2:7">
      <c r="B198" s="218"/>
      <c r="C198" s="247" t="s">
        <v>891</v>
      </c>
      <c r="D198" s="239" t="s">
        <v>66</v>
      </c>
      <c r="E198" s="240">
        <v>7</v>
      </c>
      <c r="F198" s="1609">
        <v>0</v>
      </c>
      <c r="G198" s="245">
        <f t="shared" si="11"/>
        <v>0</v>
      </c>
    </row>
    <row r="199" spans="2:7">
      <c r="B199" s="201" t="s">
        <v>340</v>
      </c>
      <c r="C199" s="248" t="s">
        <v>173</v>
      </c>
      <c r="D199" s="249"/>
      <c r="E199" s="250"/>
      <c r="F199" s="251"/>
      <c r="G199" s="252"/>
    </row>
    <row r="200" spans="2:7" ht="60">
      <c r="B200" s="218"/>
      <c r="C200" s="253" t="s">
        <v>174</v>
      </c>
      <c r="D200" s="1142" t="s">
        <v>66</v>
      </c>
      <c r="E200" s="1143">
        <v>1</v>
      </c>
      <c r="F200" s="1144">
        <v>0</v>
      </c>
      <c r="G200" s="252">
        <f>E200*F200</f>
        <v>0</v>
      </c>
    </row>
    <row r="201" spans="2:7">
      <c r="B201" s="258" t="s">
        <v>47</v>
      </c>
      <c r="C201" s="259" t="s">
        <v>1396</v>
      </c>
      <c r="D201" s="260"/>
      <c r="E201" s="261"/>
      <c r="F201" s="262"/>
      <c r="G201" s="263">
        <f>SUM(G78:G200)</f>
        <v>0</v>
      </c>
    </row>
  </sheetData>
  <mergeCells count="5">
    <mergeCell ref="B45:G45"/>
    <mergeCell ref="B73:G73"/>
    <mergeCell ref="B74:G74"/>
    <mergeCell ref="B75:G75"/>
    <mergeCell ref="B84:B8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7D87-1178-441C-A231-1CB16FC14EF9}">
  <sheetPr>
    <tabColor rgb="FF00B0F0"/>
  </sheetPr>
  <dimension ref="A2:Y129"/>
  <sheetViews>
    <sheetView showZeros="0" topLeftCell="A22"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28515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1461</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1466</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1467</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G64</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G129</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308</v>
      </c>
      <c r="F26" s="1082">
        <v>0</v>
      </c>
      <c r="G26" s="1083">
        <f t="shared" ref="G26" si="0">E26*F26</f>
        <v>0</v>
      </c>
    </row>
    <row r="27" spans="2:25">
      <c r="B27" s="125">
        <v>2</v>
      </c>
      <c r="C27" s="144" t="s">
        <v>58</v>
      </c>
      <c r="D27" s="140" t="s">
        <v>57</v>
      </c>
      <c r="E27" s="1081">
        <f>E26</f>
        <v>308</v>
      </c>
      <c r="F27" s="1082">
        <v>0</v>
      </c>
      <c r="G27" s="1083">
        <f>E27*F27</f>
        <v>0</v>
      </c>
    </row>
    <row r="28" spans="2:25" ht="24">
      <c r="B28" s="125">
        <v>3</v>
      </c>
      <c r="C28" s="144" t="s">
        <v>1389</v>
      </c>
      <c r="D28" s="146" t="s">
        <v>60</v>
      </c>
      <c r="E28" s="1081">
        <v>4</v>
      </c>
      <c r="F28" s="1082">
        <v>0</v>
      </c>
      <c r="G28" s="1083">
        <f t="shared" ref="G28:G36" si="1">E28*F28</f>
        <v>0</v>
      </c>
    </row>
    <row r="29" spans="2:25" ht="27.75" customHeight="1">
      <c r="B29" s="125">
        <v>4</v>
      </c>
      <c r="C29" s="1084" t="s">
        <v>63</v>
      </c>
      <c r="D29" s="140" t="s">
        <v>57</v>
      </c>
      <c r="E29" s="1081">
        <f>E26</f>
        <v>308</v>
      </c>
      <c r="F29" s="1082">
        <v>0</v>
      </c>
      <c r="G29" s="1083">
        <f t="shared" si="1"/>
        <v>0</v>
      </c>
    </row>
    <row r="30" spans="2:25" ht="52.5" customHeight="1">
      <c r="B30" s="125">
        <v>5</v>
      </c>
      <c r="C30" s="1084" t="s">
        <v>64</v>
      </c>
      <c r="D30" s="146" t="s">
        <v>60</v>
      </c>
      <c r="E30" s="1081">
        <v>1</v>
      </c>
      <c r="F30" s="1082">
        <v>0</v>
      </c>
      <c r="G30" s="1083">
        <f t="shared" si="1"/>
        <v>0</v>
      </c>
    </row>
    <row r="31" spans="2:25" ht="54.75" customHeight="1">
      <c r="B31" s="125">
        <v>6</v>
      </c>
      <c r="C31" s="1080" t="s">
        <v>2292</v>
      </c>
      <c r="D31" s="146" t="s">
        <v>66</v>
      </c>
      <c r="E31" s="1081">
        <v>11</v>
      </c>
      <c r="F31" s="1082">
        <v>0</v>
      </c>
      <c r="G31" s="1083">
        <f t="shared" si="1"/>
        <v>0</v>
      </c>
    </row>
    <row r="32" spans="2:25" ht="36">
      <c r="B32" s="125">
        <v>7</v>
      </c>
      <c r="C32" s="1080" t="s">
        <v>2295</v>
      </c>
      <c r="D32" s="146" t="s">
        <v>57</v>
      </c>
      <c r="E32" s="1081">
        <f>E26+E80+E81</f>
        <v>655</v>
      </c>
      <c r="F32" s="1082">
        <v>0</v>
      </c>
      <c r="G32" s="1083">
        <f t="shared" si="1"/>
        <v>0</v>
      </c>
    </row>
    <row r="33" spans="1:25" ht="24">
      <c r="B33" s="125">
        <v>8</v>
      </c>
      <c r="C33" s="1080" t="s">
        <v>2293</v>
      </c>
      <c r="D33" s="146" t="s">
        <v>57</v>
      </c>
      <c r="E33" s="1081">
        <f>E26+E80+E81</f>
        <v>655</v>
      </c>
      <c r="F33" s="1082">
        <v>0</v>
      </c>
      <c r="G33" s="1083">
        <f t="shared" si="1"/>
        <v>0</v>
      </c>
    </row>
    <row r="34" spans="1:25">
      <c r="B34" s="125">
        <v>9</v>
      </c>
      <c r="C34" s="1084" t="s">
        <v>67</v>
      </c>
      <c r="D34" s="146" t="s">
        <v>60</v>
      </c>
      <c r="E34" s="1081">
        <v>1</v>
      </c>
      <c r="F34" s="1082">
        <v>0</v>
      </c>
      <c r="G34" s="1083">
        <f t="shared" si="1"/>
        <v>0</v>
      </c>
    </row>
    <row r="35" spans="1:25" ht="48">
      <c r="B35" s="125">
        <v>10</v>
      </c>
      <c r="C35" s="952" t="s">
        <v>68</v>
      </c>
      <c r="D35" s="146" t="s">
        <v>60</v>
      </c>
      <c r="E35" s="1085">
        <v>1</v>
      </c>
      <c r="F35" s="1082">
        <v>0</v>
      </c>
      <c r="G35" s="1083">
        <f t="shared" si="1"/>
        <v>0</v>
      </c>
    </row>
    <row r="36" spans="1:25" ht="36">
      <c r="B36" s="125">
        <v>11</v>
      </c>
      <c r="C36" s="952" t="s">
        <v>69</v>
      </c>
      <c r="D36" s="146" t="s">
        <v>60</v>
      </c>
      <c r="E36" s="1085">
        <v>1</v>
      </c>
      <c r="F36" s="1082">
        <v>0</v>
      </c>
      <c r="G36" s="1083">
        <f t="shared" si="1"/>
        <v>0</v>
      </c>
    </row>
    <row r="37" spans="1:25">
      <c r="B37" s="125"/>
      <c r="C37" s="150"/>
      <c r="D37" s="146"/>
      <c r="E37" s="1085"/>
      <c r="F37" s="1082"/>
      <c r="G37" s="1083"/>
    </row>
    <row r="38" spans="1:25">
      <c r="B38" s="151" t="s">
        <v>43</v>
      </c>
      <c r="C38" s="1086" t="s">
        <v>1390</v>
      </c>
      <c r="D38" s="1103"/>
      <c r="E38" s="1088"/>
      <c r="F38" s="1089"/>
      <c r="G38" s="263">
        <f>SUM(G26:G36)</f>
        <v>0</v>
      </c>
    </row>
    <row r="39" spans="1:25" s="8" customFormat="1">
      <c r="A39" s="1"/>
      <c r="B39" s="125"/>
      <c r="C39" s="126"/>
      <c r="D39" s="140"/>
      <c r="E39" s="128"/>
      <c r="F39" s="129"/>
      <c r="G39" s="130"/>
      <c r="I39" s="1"/>
      <c r="J39" s="1"/>
      <c r="K39" s="1"/>
      <c r="L39" s="1"/>
      <c r="M39" s="1"/>
      <c r="N39" s="1"/>
      <c r="O39" s="1"/>
      <c r="P39" s="1"/>
      <c r="Q39" s="1"/>
      <c r="R39" s="1"/>
      <c r="S39" s="1"/>
      <c r="T39" s="1"/>
      <c r="U39" s="1"/>
      <c r="V39" s="1"/>
      <c r="W39" s="1"/>
      <c r="X39" s="1"/>
      <c r="Y39" s="1"/>
    </row>
    <row r="40" spans="1:25"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c r="Y40" s="1"/>
    </row>
    <row r="41" spans="1:25" s="8" customFormat="1">
      <c r="A41" s="1"/>
      <c r="B41" s="125"/>
      <c r="C41" s="163"/>
      <c r="D41" s="140"/>
      <c r="E41" s="128"/>
      <c r="F41" s="129"/>
      <c r="G41" s="130"/>
      <c r="I41" s="1"/>
      <c r="J41" s="1"/>
      <c r="K41" s="1"/>
      <c r="L41" s="1"/>
      <c r="M41" s="1"/>
      <c r="N41" s="1"/>
      <c r="O41" s="1"/>
      <c r="P41" s="1"/>
      <c r="Q41" s="1"/>
      <c r="R41" s="1"/>
      <c r="S41" s="1"/>
      <c r="T41" s="1"/>
      <c r="U41" s="1"/>
      <c r="V41" s="1"/>
      <c r="W41" s="1"/>
      <c r="X41" s="1"/>
      <c r="Y41" s="1"/>
    </row>
    <row r="42" spans="1:25"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c r="Y42" s="1"/>
    </row>
    <row r="43" spans="1:25"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c r="Y43" s="1"/>
    </row>
    <row r="44" spans="1:25" s="8" customFormat="1" ht="27" customHeight="1">
      <c r="A44" s="1"/>
      <c r="B44" s="167">
        <v>1</v>
      </c>
      <c r="C44" s="139" t="s">
        <v>73</v>
      </c>
      <c r="D44" s="140" t="s">
        <v>74</v>
      </c>
      <c r="E44" s="1091">
        <v>15</v>
      </c>
      <c r="F44" s="1092">
        <v>0</v>
      </c>
      <c r="G44" s="1093">
        <f t="shared" ref="G44:G62" si="2">E44*F44</f>
        <v>0</v>
      </c>
      <c r="I44" s="1"/>
      <c r="J44" s="1"/>
      <c r="K44" s="1"/>
      <c r="L44" s="1"/>
      <c r="M44" s="1"/>
      <c r="N44" s="1"/>
      <c r="O44" s="1"/>
      <c r="P44" s="1"/>
      <c r="Q44" s="1"/>
      <c r="R44" s="1"/>
      <c r="S44" s="1"/>
      <c r="T44" s="1"/>
      <c r="U44" s="1"/>
      <c r="V44" s="1"/>
      <c r="W44" s="1"/>
      <c r="X44" s="1"/>
      <c r="Y44" s="1"/>
    </row>
    <row r="45" spans="1:25" s="8" customFormat="1" ht="41.25" customHeight="1">
      <c r="A45" s="1"/>
      <c r="B45" s="717">
        <v>2</v>
      </c>
      <c r="C45" s="139" t="s">
        <v>75</v>
      </c>
      <c r="D45" s="140" t="s">
        <v>74</v>
      </c>
      <c r="E45" s="1091">
        <f>E26*1.5*1.2*0.15</f>
        <v>83.16</v>
      </c>
      <c r="F45" s="1092">
        <v>0</v>
      </c>
      <c r="G45" s="1093">
        <f t="shared" si="2"/>
        <v>0</v>
      </c>
      <c r="I45" s="1"/>
      <c r="J45" s="1"/>
      <c r="K45" s="1"/>
      <c r="L45" s="1"/>
      <c r="M45" s="1"/>
      <c r="N45" s="1"/>
      <c r="O45" s="1"/>
      <c r="P45" s="1"/>
      <c r="Q45" s="1"/>
      <c r="R45" s="1"/>
      <c r="S45" s="1"/>
      <c r="T45" s="1"/>
      <c r="U45" s="1"/>
      <c r="V45" s="1"/>
      <c r="W45" s="1"/>
      <c r="X45" s="1"/>
      <c r="Y45" s="1"/>
    </row>
    <row r="46" spans="1:25" s="8" customFormat="1" ht="41.25" customHeight="1">
      <c r="A46" s="1"/>
      <c r="B46" s="167">
        <v>3</v>
      </c>
      <c r="C46" s="139" t="s">
        <v>76</v>
      </c>
      <c r="D46" s="145" t="s">
        <v>74</v>
      </c>
      <c r="E46" s="1094">
        <f>E26*1.5*1.2*0.85</f>
        <v>471.23999999999995</v>
      </c>
      <c r="F46" s="1092">
        <v>0</v>
      </c>
      <c r="G46" s="142">
        <f t="shared" si="2"/>
        <v>0</v>
      </c>
      <c r="I46" s="1"/>
      <c r="J46" s="1"/>
      <c r="K46" s="1"/>
      <c r="L46" s="1"/>
      <c r="M46" s="1"/>
      <c r="N46" s="1"/>
      <c r="O46" s="1"/>
      <c r="P46" s="1"/>
      <c r="Q46" s="1"/>
      <c r="R46" s="1"/>
      <c r="S46" s="1"/>
      <c r="T46" s="1"/>
      <c r="U46" s="1"/>
      <c r="V46" s="1"/>
      <c r="W46" s="1"/>
      <c r="X46" s="1"/>
      <c r="Y46" s="1"/>
    </row>
    <row r="47" spans="1:25" s="8" customFormat="1" ht="27.75" customHeight="1">
      <c r="A47" s="1"/>
      <c r="B47" s="717">
        <v>4</v>
      </c>
      <c r="C47" s="126" t="s">
        <v>77</v>
      </c>
      <c r="D47" s="140" t="s">
        <v>78</v>
      </c>
      <c r="E47" s="1094">
        <f>E26*1.5</f>
        <v>462</v>
      </c>
      <c r="F47" s="1092">
        <v>0</v>
      </c>
      <c r="G47" s="1083">
        <f t="shared" si="2"/>
        <v>0</v>
      </c>
      <c r="I47" s="1"/>
      <c r="J47" s="1"/>
      <c r="K47" s="1"/>
      <c r="L47" s="1"/>
      <c r="M47" s="1"/>
      <c r="N47" s="1"/>
      <c r="O47" s="1"/>
      <c r="P47" s="1"/>
      <c r="Q47" s="1"/>
      <c r="R47" s="1"/>
      <c r="S47" s="1"/>
      <c r="T47" s="1"/>
      <c r="U47" s="1"/>
      <c r="V47" s="1"/>
      <c r="W47" s="1"/>
      <c r="X47" s="1"/>
      <c r="Y47" s="1"/>
    </row>
    <row r="48" spans="1:25" s="8" customFormat="1" ht="27.75" customHeight="1">
      <c r="A48" s="1"/>
      <c r="B48" s="167">
        <v>5</v>
      </c>
      <c r="C48" s="126" t="s">
        <v>79</v>
      </c>
      <c r="D48" s="145" t="s">
        <v>78</v>
      </c>
      <c r="E48" s="1094">
        <f>E26</f>
        <v>308</v>
      </c>
      <c r="F48" s="1092">
        <v>0</v>
      </c>
      <c r="G48" s="1083">
        <f t="shared" si="2"/>
        <v>0</v>
      </c>
      <c r="I48" s="1"/>
      <c r="J48" s="1"/>
      <c r="K48" s="1"/>
      <c r="L48" s="1"/>
      <c r="M48" s="1"/>
      <c r="N48" s="1"/>
      <c r="O48" s="1"/>
      <c r="P48" s="1"/>
      <c r="Q48" s="1"/>
      <c r="R48" s="1"/>
      <c r="S48" s="1"/>
      <c r="T48" s="1"/>
      <c r="U48" s="1"/>
      <c r="V48" s="1"/>
      <c r="W48" s="1"/>
      <c r="X48" s="1"/>
      <c r="Y48" s="1"/>
    </row>
    <row r="49" spans="1:25" s="8" customFormat="1" ht="27.75" customHeight="1">
      <c r="A49" s="1"/>
      <c r="B49" s="717">
        <v>6</v>
      </c>
      <c r="C49" s="139" t="s">
        <v>247</v>
      </c>
      <c r="D49" s="145" t="s">
        <v>74</v>
      </c>
      <c r="E49" s="1094">
        <f>E26*1.2*1</f>
        <v>369.59999999999997</v>
      </c>
      <c r="F49" s="1092">
        <v>0</v>
      </c>
      <c r="G49" s="1083">
        <f t="shared" si="2"/>
        <v>0</v>
      </c>
      <c r="I49" s="1"/>
      <c r="J49" s="1"/>
      <c r="K49" s="1"/>
      <c r="L49" s="1"/>
      <c r="M49" s="1"/>
      <c r="N49" s="1"/>
      <c r="O49" s="1"/>
      <c r="P49" s="1"/>
      <c r="Q49" s="1"/>
      <c r="R49" s="1"/>
      <c r="S49" s="1"/>
      <c r="T49" s="1"/>
      <c r="U49" s="1"/>
      <c r="V49" s="1"/>
      <c r="W49" s="1"/>
      <c r="X49" s="1"/>
      <c r="Y49" s="1"/>
    </row>
    <row r="50" spans="1:25" s="8" customFormat="1" ht="40.5" customHeight="1">
      <c r="A50" s="1"/>
      <c r="B50" s="167">
        <v>7</v>
      </c>
      <c r="C50" s="139" t="s">
        <v>82</v>
      </c>
      <c r="D50" s="146" t="s">
        <v>74</v>
      </c>
      <c r="E50" s="1094">
        <f>E26*1.5*0.4</f>
        <v>184.8</v>
      </c>
      <c r="F50" s="1092">
        <v>0</v>
      </c>
      <c r="G50" s="1083">
        <f t="shared" si="2"/>
        <v>0</v>
      </c>
      <c r="I50" s="1"/>
      <c r="J50" s="1"/>
      <c r="K50" s="1"/>
      <c r="L50" s="1"/>
      <c r="M50" s="1"/>
      <c r="N50" s="1"/>
      <c r="O50" s="1"/>
      <c r="P50" s="1"/>
      <c r="Q50" s="1"/>
      <c r="R50" s="1"/>
      <c r="S50" s="1"/>
      <c r="T50" s="1"/>
      <c r="U50" s="1"/>
      <c r="V50" s="1"/>
      <c r="W50" s="1"/>
      <c r="X50" s="1"/>
      <c r="Y50" s="1"/>
    </row>
    <row r="51" spans="1:25" s="8" customFormat="1" ht="54.75" customHeight="1">
      <c r="A51" s="1"/>
      <c r="B51" s="2408">
        <v>8</v>
      </c>
      <c r="C51" s="177" t="s">
        <v>83</v>
      </c>
      <c r="D51" s="146" t="s">
        <v>252</v>
      </c>
      <c r="E51" s="1094">
        <v>5</v>
      </c>
      <c r="F51" s="1092">
        <v>0</v>
      </c>
      <c r="G51" s="1083">
        <f>E51*F51</f>
        <v>0</v>
      </c>
      <c r="I51" s="1"/>
      <c r="J51" s="1"/>
      <c r="K51" s="1"/>
      <c r="L51" s="1"/>
      <c r="M51" s="1"/>
      <c r="N51" s="1"/>
      <c r="O51" s="1"/>
      <c r="P51" s="1"/>
      <c r="Q51" s="1"/>
      <c r="R51" s="1"/>
      <c r="S51" s="1"/>
      <c r="T51" s="1"/>
      <c r="U51" s="1"/>
      <c r="V51" s="1"/>
      <c r="W51" s="1"/>
      <c r="X51" s="1"/>
      <c r="Y51" s="1"/>
    </row>
    <row r="52" spans="1:25" s="8" customFormat="1" ht="12.75" customHeight="1">
      <c r="A52" s="1"/>
      <c r="B52" s="2608"/>
      <c r="C52" s="178" t="s">
        <v>84</v>
      </c>
      <c r="D52" s="146" t="s">
        <v>57</v>
      </c>
      <c r="E52" s="1094">
        <v>35</v>
      </c>
      <c r="F52" s="1082"/>
      <c r="G52" s="1083"/>
      <c r="I52" s="1"/>
      <c r="J52" s="1"/>
      <c r="K52" s="1"/>
      <c r="L52" s="1"/>
      <c r="M52" s="1"/>
      <c r="N52" s="1"/>
      <c r="O52" s="1"/>
      <c r="P52" s="1"/>
      <c r="Q52" s="1"/>
      <c r="R52" s="1"/>
      <c r="S52" s="1"/>
      <c r="T52" s="1"/>
      <c r="U52" s="1"/>
      <c r="V52" s="1"/>
      <c r="W52" s="1"/>
      <c r="X52" s="1"/>
      <c r="Y52" s="1"/>
    </row>
    <row r="53" spans="1:25" s="8" customFormat="1" ht="27" customHeight="1">
      <c r="A53" s="1"/>
      <c r="B53" s="717">
        <v>9</v>
      </c>
      <c r="C53" s="1095" t="s">
        <v>85</v>
      </c>
      <c r="D53" s="140" t="s">
        <v>57</v>
      </c>
      <c r="E53" s="1094">
        <v>45</v>
      </c>
      <c r="F53" s="108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717">
        <v>10</v>
      </c>
      <c r="C54" s="1095" t="s">
        <v>266</v>
      </c>
      <c r="D54" s="140" t="s">
        <v>78</v>
      </c>
      <c r="E54" s="1094">
        <v>210</v>
      </c>
      <c r="F54" s="1082">
        <v>0</v>
      </c>
      <c r="G54" s="1083">
        <f t="shared" si="2"/>
        <v>0</v>
      </c>
      <c r="I54" s="1"/>
      <c r="J54" s="1"/>
      <c r="K54" s="1"/>
      <c r="L54" s="1"/>
      <c r="M54" s="1"/>
      <c r="N54" s="1"/>
      <c r="O54" s="1"/>
      <c r="P54" s="1"/>
      <c r="Q54" s="1"/>
      <c r="R54" s="1"/>
      <c r="S54" s="1"/>
      <c r="T54" s="1"/>
      <c r="U54" s="1"/>
      <c r="V54" s="1"/>
      <c r="W54" s="1"/>
      <c r="X54" s="1"/>
      <c r="Y54" s="1"/>
    </row>
    <row r="55" spans="1:25" s="8" customFormat="1" ht="67.5" customHeight="1">
      <c r="A55" s="1"/>
      <c r="B55" s="717">
        <v>11</v>
      </c>
      <c r="C55" s="397" t="s">
        <v>1468</v>
      </c>
      <c r="D55" s="145" t="s">
        <v>78</v>
      </c>
      <c r="E55" s="1094">
        <v>5</v>
      </c>
      <c r="F55" s="108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717">
        <v>12</v>
      </c>
      <c r="C56" s="139" t="s">
        <v>264</v>
      </c>
      <c r="D56" s="145" t="s">
        <v>74</v>
      </c>
      <c r="E56" s="128">
        <f>E45+E46+(E54*0.06)-E49</f>
        <v>197.40000000000003</v>
      </c>
      <c r="F56" s="1082">
        <v>0</v>
      </c>
      <c r="G56" s="142">
        <f t="shared" si="2"/>
        <v>0</v>
      </c>
      <c r="I56" s="1"/>
      <c r="J56" s="1"/>
      <c r="K56" s="1"/>
      <c r="L56" s="1"/>
      <c r="M56" s="1"/>
      <c r="N56" s="1"/>
      <c r="O56" s="1"/>
      <c r="P56" s="1"/>
      <c r="Q56" s="1"/>
      <c r="R56" s="1"/>
      <c r="S56" s="1"/>
      <c r="T56" s="1"/>
      <c r="U56" s="1"/>
      <c r="V56" s="1"/>
      <c r="W56" s="1"/>
      <c r="X56" s="1"/>
      <c r="Y56" s="1"/>
    </row>
    <row r="57" spans="1:25" s="8" customFormat="1">
      <c r="A57" s="1"/>
      <c r="B57" s="717">
        <v>13</v>
      </c>
      <c r="C57" s="139" t="s">
        <v>265</v>
      </c>
      <c r="D57" s="145" t="s">
        <v>74</v>
      </c>
      <c r="E57" s="128">
        <f>E56</f>
        <v>197.40000000000003</v>
      </c>
      <c r="F57" s="108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717">
        <v>14</v>
      </c>
      <c r="C58" s="126" t="s">
        <v>95</v>
      </c>
      <c r="D58" s="140" t="s">
        <v>74</v>
      </c>
      <c r="E58" s="1094">
        <f>E26*0.75*0.1</f>
        <v>23.1</v>
      </c>
      <c r="F58" s="1082">
        <v>0</v>
      </c>
      <c r="G58" s="1083">
        <f t="shared" si="2"/>
        <v>0</v>
      </c>
      <c r="I58" s="1"/>
      <c r="J58" s="1"/>
      <c r="K58" s="1"/>
      <c r="L58" s="1"/>
      <c r="M58" s="1"/>
      <c r="N58" s="1"/>
      <c r="O58" s="1"/>
      <c r="P58" s="1"/>
      <c r="Q58" s="1"/>
      <c r="R58" s="1"/>
      <c r="S58" s="1"/>
      <c r="T58" s="1"/>
      <c r="U58" s="1"/>
      <c r="V58" s="1"/>
      <c r="W58" s="1"/>
      <c r="X58" s="1"/>
      <c r="Y58" s="1"/>
    </row>
    <row r="59" spans="1:25" s="8" customFormat="1" ht="40.5" customHeight="1">
      <c r="A59" s="1"/>
      <c r="B59" s="717">
        <v>15</v>
      </c>
      <c r="C59" s="1096" t="s">
        <v>1393</v>
      </c>
      <c r="D59" s="182" t="s">
        <v>74</v>
      </c>
      <c r="E59" s="1097">
        <v>3</v>
      </c>
      <c r="F59" s="1082">
        <v>0</v>
      </c>
      <c r="G59" s="1083">
        <f t="shared" si="2"/>
        <v>0</v>
      </c>
      <c r="I59" s="1"/>
      <c r="J59" s="1"/>
      <c r="K59" s="1"/>
      <c r="L59" s="1"/>
      <c r="M59" s="1"/>
      <c r="N59" s="1"/>
      <c r="O59" s="1"/>
      <c r="P59" s="1"/>
      <c r="Q59" s="1"/>
      <c r="R59" s="1"/>
      <c r="S59" s="1"/>
      <c r="T59" s="1"/>
      <c r="U59" s="1"/>
      <c r="V59" s="1"/>
      <c r="W59" s="1"/>
      <c r="X59" s="1"/>
      <c r="Y59" s="1"/>
    </row>
    <row r="60" spans="1:25" s="8" customFormat="1" ht="39" customHeight="1">
      <c r="A60" s="1"/>
      <c r="B60" s="717">
        <v>16</v>
      </c>
      <c r="C60" s="1096" t="s">
        <v>270</v>
      </c>
      <c r="D60" s="182" t="s">
        <v>66</v>
      </c>
      <c r="E60" s="1097">
        <v>27</v>
      </c>
      <c r="F60" s="1082">
        <v>0</v>
      </c>
      <c r="G60" s="1083">
        <f t="shared" si="2"/>
        <v>0</v>
      </c>
      <c r="I60" s="1"/>
      <c r="J60" s="1"/>
      <c r="K60" s="1"/>
      <c r="L60" s="1"/>
      <c r="M60" s="1"/>
      <c r="N60" s="1"/>
      <c r="O60" s="1"/>
      <c r="P60" s="1"/>
      <c r="Q60" s="1"/>
      <c r="R60" s="1"/>
      <c r="S60" s="1"/>
      <c r="T60" s="1"/>
      <c r="U60" s="1"/>
      <c r="V60" s="1"/>
      <c r="W60" s="1"/>
      <c r="X60" s="1"/>
      <c r="Y60" s="1"/>
    </row>
    <row r="61" spans="1:25" s="8" customFormat="1" ht="36">
      <c r="A61" s="1"/>
      <c r="B61" s="717">
        <v>17</v>
      </c>
      <c r="C61" s="1096" t="s">
        <v>99</v>
      </c>
      <c r="D61" s="182" t="s">
        <v>74</v>
      </c>
      <c r="E61" s="1097">
        <v>2</v>
      </c>
      <c r="F61" s="1082">
        <v>0</v>
      </c>
      <c r="G61" s="1083">
        <f t="shared" si="2"/>
        <v>0</v>
      </c>
      <c r="I61" s="1"/>
      <c r="J61" s="1"/>
      <c r="K61" s="1"/>
      <c r="L61" s="1"/>
      <c r="M61" s="1"/>
      <c r="N61" s="1"/>
      <c r="O61" s="1"/>
      <c r="P61" s="1"/>
      <c r="Q61" s="1"/>
      <c r="R61" s="1"/>
      <c r="S61" s="1"/>
      <c r="T61" s="1"/>
      <c r="U61" s="1"/>
      <c r="V61" s="1"/>
      <c r="W61" s="1"/>
      <c r="X61" s="1"/>
      <c r="Y61" s="1"/>
    </row>
    <row r="62" spans="1:25" s="8" customFormat="1" ht="27.75" customHeight="1">
      <c r="A62" s="1"/>
      <c r="B62" s="717">
        <v>18</v>
      </c>
      <c r="C62" s="1096" t="s">
        <v>100</v>
      </c>
      <c r="D62" s="182" t="s">
        <v>65</v>
      </c>
      <c r="E62" s="1097">
        <v>18</v>
      </c>
      <c r="F62" s="1082">
        <v>0</v>
      </c>
      <c r="G62" s="1083">
        <f t="shared" si="2"/>
        <v>0</v>
      </c>
      <c r="I62" s="1"/>
      <c r="J62" s="1"/>
      <c r="K62" s="1"/>
      <c r="L62" s="1"/>
      <c r="M62" s="1"/>
      <c r="N62" s="1"/>
      <c r="O62" s="1"/>
      <c r="P62" s="1"/>
      <c r="Q62" s="1"/>
      <c r="R62" s="1"/>
      <c r="S62" s="1"/>
      <c r="T62" s="1"/>
      <c r="U62" s="1"/>
      <c r="V62" s="1"/>
      <c r="W62" s="1"/>
      <c r="X62" s="1"/>
      <c r="Y62" s="1"/>
    </row>
    <row r="63" spans="1:25" s="8" customFormat="1">
      <c r="A63" s="1"/>
      <c r="B63" s="167"/>
      <c r="C63" s="1098"/>
      <c r="D63" s="1099"/>
      <c r="E63" s="1100"/>
      <c r="F63" s="1101"/>
      <c r="G63" s="1102"/>
      <c r="I63" s="1"/>
      <c r="J63" s="1"/>
      <c r="K63" s="1"/>
      <c r="L63" s="1"/>
      <c r="M63" s="1"/>
      <c r="N63" s="1"/>
      <c r="O63" s="1"/>
      <c r="P63" s="1"/>
      <c r="Q63" s="1"/>
      <c r="R63" s="1"/>
      <c r="S63" s="1"/>
      <c r="T63" s="1"/>
      <c r="U63" s="1"/>
      <c r="V63" s="1"/>
      <c r="W63" s="1"/>
      <c r="X63" s="1"/>
      <c r="Y63" s="1"/>
    </row>
    <row r="64" spans="1:25" s="8" customFormat="1">
      <c r="A64" s="1"/>
      <c r="B64" s="151" t="s">
        <v>45</v>
      </c>
      <c r="C64" s="1086" t="s">
        <v>101</v>
      </c>
      <c r="D64" s="1103"/>
      <c r="E64" s="1088"/>
      <c r="F64" s="1089"/>
      <c r="G64" s="263">
        <f>SUM(G44:G62)</f>
        <v>0</v>
      </c>
      <c r="I64" s="1"/>
      <c r="J64" s="1"/>
      <c r="K64" s="1"/>
      <c r="L64" s="1"/>
      <c r="M64" s="1"/>
      <c r="N64" s="1"/>
      <c r="O64" s="1"/>
      <c r="P64" s="1"/>
      <c r="Q64" s="1"/>
      <c r="R64" s="1"/>
      <c r="S64" s="1"/>
      <c r="T64" s="1"/>
      <c r="U64" s="1"/>
      <c r="V64" s="1"/>
      <c r="W64" s="1"/>
      <c r="X64" s="1"/>
      <c r="Y64" s="1"/>
    </row>
    <row r="65" spans="1:25" s="8" customFormat="1">
      <c r="A65" s="1"/>
      <c r="B65" s="67"/>
      <c r="C65" s="68"/>
      <c r="D65" s="1188"/>
      <c r="E65" s="1104"/>
      <c r="F65" s="1105"/>
      <c r="G65" s="1106"/>
      <c r="I65" s="1"/>
      <c r="J65" s="1"/>
      <c r="K65" s="1"/>
      <c r="L65" s="1"/>
      <c r="M65" s="1"/>
      <c r="N65" s="1"/>
      <c r="O65" s="1"/>
      <c r="P65" s="1"/>
      <c r="Q65" s="1"/>
      <c r="R65" s="1"/>
      <c r="S65" s="1"/>
      <c r="T65" s="1"/>
      <c r="U65" s="1"/>
      <c r="V65" s="1"/>
      <c r="W65" s="1"/>
      <c r="X65" s="1"/>
      <c r="Y65" s="1"/>
    </row>
    <row r="66" spans="1:25" s="8" customFormat="1" ht="24">
      <c r="A66" s="1"/>
      <c r="B66" s="119" t="s">
        <v>50</v>
      </c>
      <c r="C66" s="120" t="s">
        <v>51</v>
      </c>
      <c r="D66" s="120" t="s">
        <v>52</v>
      </c>
      <c r="E66" s="122" t="s">
        <v>53</v>
      </c>
      <c r="F66" s="123" t="s">
        <v>54</v>
      </c>
      <c r="G66" s="124" t="s">
        <v>55</v>
      </c>
      <c r="I66" s="1"/>
      <c r="J66" s="1"/>
      <c r="K66" s="1"/>
      <c r="L66" s="1"/>
      <c r="M66" s="1"/>
      <c r="N66" s="1"/>
      <c r="O66" s="1"/>
      <c r="P66" s="1"/>
      <c r="Q66" s="1"/>
      <c r="R66" s="1"/>
      <c r="S66" s="1"/>
      <c r="T66" s="1"/>
      <c r="U66" s="1"/>
      <c r="V66" s="1"/>
      <c r="W66" s="1"/>
      <c r="X66" s="1"/>
      <c r="Y66" s="1"/>
    </row>
    <row r="67" spans="1:25" s="8" customFormat="1">
      <c r="A67" s="1"/>
      <c r="B67" s="125"/>
      <c r="C67" s="126"/>
      <c r="D67" s="140"/>
      <c r="E67" s="719"/>
      <c r="F67" s="1107"/>
      <c r="G67" s="731"/>
      <c r="I67" s="1"/>
      <c r="J67" s="1"/>
      <c r="K67" s="1"/>
      <c r="L67" s="1"/>
      <c r="M67" s="1"/>
      <c r="N67" s="1"/>
      <c r="O67" s="1"/>
      <c r="P67" s="1"/>
      <c r="Q67" s="1"/>
      <c r="R67" s="1"/>
      <c r="S67" s="1"/>
      <c r="T67" s="1"/>
      <c r="U67" s="1"/>
      <c r="V67" s="1"/>
      <c r="W67" s="1"/>
      <c r="X67" s="1"/>
      <c r="Y67" s="1"/>
    </row>
    <row r="68" spans="1:25" s="8" customFormat="1" ht="20.25">
      <c r="A68" s="1"/>
      <c r="B68" s="186" t="s">
        <v>47</v>
      </c>
      <c r="C68" s="187" t="s">
        <v>48</v>
      </c>
      <c r="D68" s="165"/>
      <c r="E68" s="134"/>
      <c r="F68" s="135"/>
      <c r="G68" s="136"/>
      <c r="I68" s="1"/>
      <c r="J68" s="1"/>
      <c r="K68" s="1"/>
      <c r="L68" s="1"/>
      <c r="M68" s="1"/>
      <c r="N68" s="1"/>
      <c r="O68" s="1"/>
      <c r="P68" s="1"/>
      <c r="Q68" s="1"/>
      <c r="R68" s="1"/>
      <c r="S68" s="1"/>
      <c r="T68" s="1"/>
      <c r="U68" s="1"/>
      <c r="V68" s="1"/>
      <c r="W68" s="1"/>
      <c r="X68" s="1"/>
      <c r="Y68" s="1"/>
    </row>
    <row r="69" spans="1:25" s="8" customFormat="1">
      <c r="A69" s="1"/>
      <c r="B69" s="1108" t="s">
        <v>38</v>
      </c>
      <c r="C69" s="1109"/>
      <c r="D69" s="2235"/>
      <c r="E69" s="1109"/>
      <c r="F69" s="1109"/>
      <c r="G69" s="1110"/>
      <c r="I69" s="1"/>
      <c r="J69" s="1"/>
      <c r="K69" s="1"/>
      <c r="L69" s="1"/>
      <c r="M69" s="1"/>
      <c r="N69" s="1"/>
      <c r="O69" s="1"/>
      <c r="P69" s="1"/>
      <c r="Q69" s="1"/>
      <c r="R69" s="1"/>
      <c r="S69" s="1"/>
      <c r="T69" s="1"/>
      <c r="U69" s="1"/>
      <c r="V69" s="1"/>
      <c r="W69" s="1"/>
      <c r="X69" s="1"/>
      <c r="Y69" s="1"/>
    </row>
    <row r="70" spans="1:25" s="8" customFormat="1">
      <c r="A70" s="1"/>
      <c r="B70" s="1111" t="s">
        <v>39</v>
      </c>
      <c r="C70" s="1112"/>
      <c r="D70" s="2236"/>
      <c r="E70" s="1112"/>
      <c r="F70" s="1112"/>
      <c r="G70" s="1113"/>
      <c r="I70" s="1"/>
      <c r="J70" s="1"/>
      <c r="K70" s="1"/>
      <c r="L70" s="1"/>
      <c r="M70" s="1"/>
      <c r="N70" s="1"/>
      <c r="O70" s="1"/>
      <c r="P70" s="1"/>
      <c r="Q70" s="1"/>
      <c r="R70" s="1"/>
      <c r="S70" s="1"/>
      <c r="T70" s="1"/>
      <c r="U70" s="1"/>
      <c r="V70" s="1"/>
      <c r="W70" s="1"/>
      <c r="X70" s="1"/>
      <c r="Y70" s="1"/>
    </row>
    <row r="71" spans="1:25" s="8" customFormat="1">
      <c r="A71" s="1"/>
      <c r="B71" s="1108" t="s">
        <v>4</v>
      </c>
      <c r="C71" s="1109"/>
      <c r="D71" s="2237"/>
      <c r="E71" s="1109"/>
      <c r="F71" s="1109"/>
      <c r="G71" s="1110"/>
      <c r="I71" s="1"/>
      <c r="J71" s="1"/>
      <c r="K71" s="1"/>
      <c r="L71" s="1"/>
      <c r="M71" s="1"/>
      <c r="N71" s="1"/>
      <c r="O71" s="1"/>
      <c r="P71" s="1"/>
      <c r="Q71" s="1"/>
      <c r="R71" s="1"/>
      <c r="S71" s="1"/>
      <c r="T71" s="1"/>
      <c r="U71" s="1"/>
      <c r="V71" s="1"/>
      <c r="W71" s="1"/>
      <c r="X71" s="1"/>
      <c r="Y71" s="1"/>
    </row>
    <row r="72" spans="1:25" s="8" customFormat="1">
      <c r="A72" s="1"/>
      <c r="B72" s="1111" t="s">
        <v>5</v>
      </c>
      <c r="C72" s="1112"/>
      <c r="D72" s="2236"/>
      <c r="E72" s="1112"/>
      <c r="F72" s="1112"/>
      <c r="G72" s="1113"/>
      <c r="I72" s="1"/>
      <c r="J72" s="1"/>
      <c r="K72" s="1"/>
      <c r="L72" s="1"/>
      <c r="M72" s="1"/>
      <c r="N72" s="1"/>
      <c r="O72" s="1"/>
      <c r="P72" s="1"/>
      <c r="Q72" s="1"/>
      <c r="R72" s="1"/>
      <c r="S72" s="1"/>
      <c r="T72" s="1"/>
      <c r="U72" s="1"/>
      <c r="V72" s="1"/>
      <c r="W72" s="1"/>
      <c r="X72" s="1"/>
      <c r="Y72" s="1"/>
    </row>
    <row r="73" spans="1:25" s="8" customFormat="1">
      <c r="A73" s="1"/>
      <c r="B73" s="2399" t="s">
        <v>271</v>
      </c>
      <c r="C73" s="2400"/>
      <c r="D73" s="2400"/>
      <c r="E73" s="2400"/>
      <c r="F73" s="2400"/>
      <c r="G73" s="2401"/>
      <c r="I73" s="1"/>
      <c r="J73" s="1"/>
      <c r="K73" s="1"/>
      <c r="L73" s="1"/>
      <c r="M73" s="1"/>
      <c r="N73" s="1"/>
      <c r="O73" s="1"/>
      <c r="P73" s="1"/>
      <c r="Q73" s="1"/>
      <c r="R73" s="1"/>
      <c r="S73" s="1"/>
      <c r="T73" s="1"/>
      <c r="U73" s="1"/>
      <c r="V73" s="1"/>
      <c r="W73" s="1"/>
      <c r="X73" s="1"/>
      <c r="Y73" s="1"/>
    </row>
    <row r="74" spans="1:25" s="8" customFormat="1">
      <c r="A74" s="1"/>
      <c r="B74" s="2399" t="s">
        <v>104</v>
      </c>
      <c r="C74" s="2400"/>
      <c r="D74" s="2400"/>
      <c r="E74" s="2400"/>
      <c r="F74" s="2400"/>
      <c r="G74" s="2401"/>
      <c r="I74" s="1"/>
      <c r="J74" s="1"/>
      <c r="K74" s="1"/>
      <c r="L74" s="1"/>
      <c r="M74" s="1"/>
      <c r="N74" s="1"/>
      <c r="O74" s="1"/>
      <c r="P74" s="1"/>
      <c r="Q74" s="1"/>
      <c r="R74" s="1"/>
      <c r="S74" s="1"/>
      <c r="T74" s="1"/>
      <c r="U74" s="1"/>
      <c r="V74" s="1"/>
      <c r="W74" s="1"/>
      <c r="X74" s="1"/>
      <c r="Y74" s="1"/>
    </row>
    <row r="75" spans="1:25" s="8" customFormat="1">
      <c r="A75" s="1"/>
      <c r="B75" s="2399" t="s">
        <v>105</v>
      </c>
      <c r="C75" s="2400"/>
      <c r="D75" s="2400"/>
      <c r="E75" s="2400"/>
      <c r="F75" s="2400"/>
      <c r="G75" s="2401"/>
      <c r="I75" s="1"/>
      <c r="J75" s="1"/>
      <c r="K75" s="1"/>
      <c r="L75" s="1"/>
      <c r="M75" s="1"/>
      <c r="N75" s="1"/>
      <c r="O75" s="1"/>
      <c r="P75" s="1"/>
      <c r="Q75" s="1"/>
      <c r="R75" s="1"/>
      <c r="S75" s="1"/>
      <c r="T75" s="1"/>
      <c r="U75" s="1"/>
      <c r="V75" s="1"/>
      <c r="W75" s="1"/>
      <c r="X75" s="1"/>
      <c r="Y75" s="1"/>
    </row>
    <row r="76" spans="1:25" s="8" customFormat="1">
      <c r="A76" s="1"/>
      <c r="B76" s="1115"/>
      <c r="C76" s="1116"/>
      <c r="D76" s="2238"/>
      <c r="E76" s="1116"/>
      <c r="F76" s="1116"/>
      <c r="G76" s="1117"/>
      <c r="I76" s="1"/>
      <c r="J76" s="1"/>
      <c r="K76" s="1"/>
      <c r="L76" s="1"/>
      <c r="M76" s="1"/>
      <c r="N76" s="1"/>
      <c r="O76" s="1"/>
      <c r="P76" s="1"/>
      <c r="Q76" s="1"/>
      <c r="R76" s="1"/>
      <c r="S76" s="1"/>
      <c r="T76" s="1"/>
      <c r="U76" s="1"/>
      <c r="V76" s="1"/>
      <c r="W76" s="1"/>
      <c r="X76" s="1"/>
      <c r="Y76" s="1"/>
    </row>
    <row r="77" spans="1:25" ht="24">
      <c r="B77" s="188">
        <v>1</v>
      </c>
      <c r="C77" s="189" t="s">
        <v>106</v>
      </c>
      <c r="D77" s="190"/>
      <c r="E77" s="719"/>
      <c r="F77" s="1107"/>
      <c r="G77" s="731"/>
    </row>
    <row r="78" spans="1:25">
      <c r="B78" s="191"/>
      <c r="C78" s="192" t="s">
        <v>226</v>
      </c>
      <c r="D78" s="190" t="s">
        <v>57</v>
      </c>
      <c r="E78" s="719">
        <f>308*0.9</f>
        <v>277.2</v>
      </c>
      <c r="F78" s="1092">
        <v>0</v>
      </c>
      <c r="G78" s="1093">
        <f t="shared" ref="G78:G85" si="3">E78*F78</f>
        <v>0</v>
      </c>
    </row>
    <row r="79" spans="1:25" ht="24">
      <c r="B79" s="191"/>
      <c r="C79" s="192" t="s">
        <v>227</v>
      </c>
      <c r="D79" s="190" t="s">
        <v>57</v>
      </c>
      <c r="E79" s="719">
        <f>308*0.1</f>
        <v>30.8</v>
      </c>
      <c r="F79" s="1092">
        <v>0</v>
      </c>
      <c r="G79" s="1093">
        <f t="shared" si="3"/>
        <v>0</v>
      </c>
    </row>
    <row r="80" spans="1:25">
      <c r="B80" s="191"/>
      <c r="C80" s="192" t="s">
        <v>109</v>
      </c>
      <c r="D80" s="190" t="s">
        <v>57</v>
      </c>
      <c r="E80" s="719">
        <f>347*0.9</f>
        <v>312.3</v>
      </c>
      <c r="F80" s="1092">
        <v>0</v>
      </c>
      <c r="G80" s="1093">
        <f t="shared" si="3"/>
        <v>0</v>
      </c>
    </row>
    <row r="81" spans="2:7" ht="24">
      <c r="B81" s="191"/>
      <c r="C81" s="192" t="s">
        <v>110</v>
      </c>
      <c r="D81" s="190" t="s">
        <v>57</v>
      </c>
      <c r="E81" s="719">
        <f>347*0.1</f>
        <v>34.700000000000003</v>
      </c>
      <c r="F81" s="1092">
        <v>0</v>
      </c>
      <c r="G81" s="1093">
        <f t="shared" si="3"/>
        <v>0</v>
      </c>
    </row>
    <row r="82" spans="2:7" ht="36">
      <c r="B82" s="2404" t="s">
        <v>111</v>
      </c>
      <c r="C82" s="193" t="s">
        <v>112</v>
      </c>
      <c r="D82" s="194"/>
      <c r="E82" s="719"/>
      <c r="F82" s="1092"/>
      <c r="G82" s="1093"/>
    </row>
    <row r="83" spans="2:7">
      <c r="B83" s="2405"/>
      <c r="C83" s="195" t="s">
        <v>274</v>
      </c>
      <c r="D83" s="194" t="s">
        <v>57</v>
      </c>
      <c r="E83" s="719">
        <v>50</v>
      </c>
      <c r="F83" s="1092">
        <v>0</v>
      </c>
      <c r="G83" s="1093">
        <f>E83*F83</f>
        <v>0</v>
      </c>
    </row>
    <row r="84" spans="2:7">
      <c r="B84" s="2413"/>
      <c r="C84" s="195" t="s">
        <v>275</v>
      </c>
      <c r="D84" s="194" t="s">
        <v>57</v>
      </c>
      <c r="E84" s="719">
        <v>60</v>
      </c>
      <c r="F84" s="1092">
        <v>0</v>
      </c>
      <c r="G84" s="1093">
        <f>E84*F84</f>
        <v>0</v>
      </c>
    </row>
    <row r="85" spans="2:7" ht="36">
      <c r="B85" s="196">
        <v>2</v>
      </c>
      <c r="C85" s="197" t="s">
        <v>114</v>
      </c>
      <c r="D85" s="145" t="s">
        <v>57</v>
      </c>
      <c r="E85" s="732">
        <f>SUM(E78:E81)</f>
        <v>655</v>
      </c>
      <c r="F85" s="1092">
        <v>0</v>
      </c>
      <c r="G85" s="1093">
        <f t="shared" si="3"/>
        <v>0</v>
      </c>
    </row>
    <row r="86" spans="2:7" ht="36">
      <c r="B86" s="199" t="s">
        <v>115</v>
      </c>
      <c r="C86" s="197" t="s">
        <v>116</v>
      </c>
      <c r="D86" s="145" t="s">
        <v>57</v>
      </c>
      <c r="E86" s="732">
        <f>E85</f>
        <v>655</v>
      </c>
      <c r="F86" s="1092">
        <v>0</v>
      </c>
      <c r="G86" s="1093">
        <f>E86*F86</f>
        <v>0</v>
      </c>
    </row>
    <row r="87" spans="2:7" ht="24">
      <c r="B87" s="199" t="s">
        <v>117</v>
      </c>
      <c r="C87" s="197" t="s">
        <v>118</v>
      </c>
      <c r="D87" s="145" t="s">
        <v>57</v>
      </c>
      <c r="E87" s="732">
        <f>E85</f>
        <v>655</v>
      </c>
      <c r="F87" s="1092">
        <v>0</v>
      </c>
      <c r="G87" s="1093">
        <f>E87*F87</f>
        <v>0</v>
      </c>
    </row>
    <row r="88" spans="2:7" ht="36">
      <c r="B88" s="199" t="s">
        <v>119</v>
      </c>
      <c r="C88" s="197" t="s">
        <v>120</v>
      </c>
      <c r="D88" s="145" t="s">
        <v>57</v>
      </c>
      <c r="E88" s="732">
        <f>E85</f>
        <v>655</v>
      </c>
      <c r="F88" s="1092">
        <v>0</v>
      </c>
      <c r="G88" s="1093">
        <f>E88*F88</f>
        <v>0</v>
      </c>
    </row>
    <row r="89" spans="2:7" ht="24">
      <c r="B89" s="188">
        <v>3</v>
      </c>
      <c r="C89" s="200" t="s">
        <v>121</v>
      </c>
      <c r="D89" s="140"/>
      <c r="E89" s="719"/>
      <c r="F89" s="1107">
        <v>0</v>
      </c>
      <c r="G89" s="731"/>
    </row>
    <row r="90" spans="2:7">
      <c r="B90" s="201" t="s">
        <v>122</v>
      </c>
      <c r="C90" s="212" t="s">
        <v>127</v>
      </c>
      <c r="D90" s="1228"/>
      <c r="E90" s="214"/>
      <c r="F90" s="215">
        <v>0</v>
      </c>
      <c r="G90" s="216"/>
    </row>
    <row r="91" spans="2:7">
      <c r="B91" s="218"/>
      <c r="C91" s="212" t="s">
        <v>318</v>
      </c>
      <c r="D91" s="2239"/>
      <c r="E91" s="736"/>
      <c r="F91" s="1601"/>
      <c r="G91" s="1121"/>
    </row>
    <row r="92" spans="2:7">
      <c r="B92" s="218"/>
      <c r="C92" s="219" t="s">
        <v>319</v>
      </c>
      <c r="D92" s="1228" t="s">
        <v>66</v>
      </c>
      <c r="E92" s="214">
        <v>2</v>
      </c>
      <c r="F92" s="1599">
        <v>0</v>
      </c>
      <c r="G92" s="221">
        <f t="shared" ref="G92:G101" si="4">E92*F92</f>
        <v>0</v>
      </c>
    </row>
    <row r="93" spans="2:7" ht="36">
      <c r="B93" s="218"/>
      <c r="C93" s="222" t="s">
        <v>283</v>
      </c>
      <c r="D93" s="1228" t="s">
        <v>66</v>
      </c>
      <c r="E93" s="214">
        <v>2</v>
      </c>
      <c r="F93" s="1599">
        <v>0</v>
      </c>
      <c r="G93" s="221">
        <f t="shared" si="4"/>
        <v>0</v>
      </c>
    </row>
    <row r="94" spans="2:7">
      <c r="B94" s="218"/>
      <c r="C94" s="222" t="s">
        <v>183</v>
      </c>
      <c r="D94" s="1228" t="s">
        <v>66</v>
      </c>
      <c r="E94" s="214">
        <v>2</v>
      </c>
      <c r="F94" s="1599">
        <v>0</v>
      </c>
      <c r="G94" s="221">
        <f t="shared" si="4"/>
        <v>0</v>
      </c>
    </row>
    <row r="95" spans="2:7">
      <c r="B95" s="218"/>
      <c r="C95" s="222" t="s">
        <v>131</v>
      </c>
      <c r="D95" s="1228" t="s">
        <v>66</v>
      </c>
      <c r="E95" s="214">
        <v>2</v>
      </c>
      <c r="F95" s="1599">
        <v>0</v>
      </c>
      <c r="G95" s="221">
        <f t="shared" si="4"/>
        <v>0</v>
      </c>
    </row>
    <row r="96" spans="2:7">
      <c r="B96" s="218"/>
      <c r="C96" s="1133" t="s">
        <v>166</v>
      </c>
      <c r="D96" s="1228" t="s">
        <v>66</v>
      </c>
      <c r="E96" s="214">
        <v>4</v>
      </c>
      <c r="F96" s="1599">
        <v>0</v>
      </c>
      <c r="G96" s="221">
        <f t="shared" si="4"/>
        <v>0</v>
      </c>
    </row>
    <row r="97" spans="2:7">
      <c r="B97" s="218"/>
      <c r="C97" s="1133" t="s">
        <v>167</v>
      </c>
      <c r="D97" s="1228" t="s">
        <v>66</v>
      </c>
      <c r="E97" s="214">
        <v>4</v>
      </c>
      <c r="F97" s="1599">
        <v>0</v>
      </c>
      <c r="G97" s="221">
        <f t="shared" si="4"/>
        <v>0</v>
      </c>
    </row>
    <row r="98" spans="2:7">
      <c r="B98" s="218"/>
      <c r="C98" s="1133" t="s">
        <v>229</v>
      </c>
      <c r="D98" s="1228" t="s">
        <v>66</v>
      </c>
      <c r="E98" s="214">
        <v>4</v>
      </c>
      <c r="F98" s="1599">
        <v>0</v>
      </c>
      <c r="G98" s="221">
        <f t="shared" si="4"/>
        <v>0</v>
      </c>
    </row>
    <row r="99" spans="2:7">
      <c r="B99" s="218"/>
      <c r="C99" s="1133" t="s">
        <v>230</v>
      </c>
      <c r="D99" s="1228" t="s">
        <v>66</v>
      </c>
      <c r="E99" s="214">
        <v>4</v>
      </c>
      <c r="F99" s="1599">
        <v>0</v>
      </c>
      <c r="G99" s="221">
        <f t="shared" si="4"/>
        <v>0</v>
      </c>
    </row>
    <row r="100" spans="2:7">
      <c r="B100" s="218"/>
      <c r="C100" s="1133" t="s">
        <v>134</v>
      </c>
      <c r="D100" s="1228" t="s">
        <v>66</v>
      </c>
      <c r="E100" s="214">
        <v>2</v>
      </c>
      <c r="F100" s="1599">
        <v>0</v>
      </c>
      <c r="G100" s="221">
        <f t="shared" si="4"/>
        <v>0</v>
      </c>
    </row>
    <row r="101" spans="2:7">
      <c r="B101" s="218"/>
      <c r="C101" s="1134" t="s">
        <v>135</v>
      </c>
      <c r="D101" s="1228" t="s">
        <v>66</v>
      </c>
      <c r="E101" s="214">
        <v>2</v>
      </c>
      <c r="F101" s="1599">
        <v>0</v>
      </c>
      <c r="G101" s="221">
        <f t="shared" si="4"/>
        <v>0</v>
      </c>
    </row>
    <row r="102" spans="2:7">
      <c r="B102" s="201" t="s">
        <v>126</v>
      </c>
      <c r="C102" s="238" t="s">
        <v>320</v>
      </c>
      <c r="D102" s="260"/>
      <c r="E102" s="240"/>
      <c r="F102" s="241"/>
      <c r="G102" s="242"/>
    </row>
    <row r="103" spans="2:7">
      <c r="B103" s="218"/>
      <c r="C103" s="238" t="s">
        <v>326</v>
      </c>
      <c r="D103" s="185"/>
      <c r="E103" s="741"/>
      <c r="F103" s="1611"/>
      <c r="G103" s="263"/>
    </row>
    <row r="104" spans="2:7" ht="28.5" customHeight="1">
      <c r="B104" s="218"/>
      <c r="C104" s="1123" t="s">
        <v>322</v>
      </c>
      <c r="D104" s="260" t="s">
        <v>66</v>
      </c>
      <c r="E104" s="240">
        <v>2</v>
      </c>
      <c r="F104" s="1609">
        <v>0</v>
      </c>
      <c r="G104" s="245">
        <f t="shared" ref="G104:G106" si="5">E104*F104</f>
        <v>0</v>
      </c>
    </row>
    <row r="105" spans="2:7">
      <c r="B105" s="218"/>
      <c r="C105" s="246" t="s">
        <v>325</v>
      </c>
      <c r="D105" s="260" t="s">
        <v>66</v>
      </c>
      <c r="E105" s="240">
        <v>2</v>
      </c>
      <c r="F105" s="1609">
        <v>0</v>
      </c>
      <c r="G105" s="245">
        <f t="shared" si="5"/>
        <v>0</v>
      </c>
    </row>
    <row r="106" spans="2:7">
      <c r="B106" s="218"/>
      <c r="C106" s="247" t="s">
        <v>135</v>
      </c>
      <c r="D106" s="260" t="s">
        <v>66</v>
      </c>
      <c r="E106" s="240">
        <v>2</v>
      </c>
      <c r="F106" s="1609">
        <v>0</v>
      </c>
      <c r="G106" s="245">
        <f t="shared" si="5"/>
        <v>0</v>
      </c>
    </row>
    <row r="107" spans="2:7">
      <c r="B107" s="201" t="s">
        <v>136</v>
      </c>
      <c r="C107" s="223" t="s">
        <v>886</v>
      </c>
      <c r="D107" s="1232"/>
      <c r="E107" s="225"/>
      <c r="F107" s="226"/>
      <c r="G107" s="227"/>
    </row>
    <row r="108" spans="2:7">
      <c r="B108" s="218"/>
      <c r="C108" s="223" t="s">
        <v>888</v>
      </c>
      <c r="D108" s="2240"/>
      <c r="E108" s="738"/>
      <c r="F108" s="1605"/>
      <c r="G108" s="1127"/>
    </row>
    <row r="109" spans="2:7" ht="24">
      <c r="B109" s="218"/>
      <c r="C109" s="228" t="s">
        <v>2251</v>
      </c>
      <c r="D109" s="1232" t="s">
        <v>66</v>
      </c>
      <c r="E109" s="225">
        <v>2</v>
      </c>
      <c r="F109" s="1768">
        <v>0</v>
      </c>
      <c r="G109" s="1714">
        <f t="shared" ref="G109:G116" si="6">E109*F109</f>
        <v>0</v>
      </c>
    </row>
    <row r="110" spans="2:7">
      <c r="B110" s="218"/>
      <c r="C110" s="232" t="s">
        <v>184</v>
      </c>
      <c r="D110" s="1232" t="s">
        <v>66</v>
      </c>
      <c r="E110" s="225">
        <v>4</v>
      </c>
      <c r="F110" s="1768">
        <v>0</v>
      </c>
      <c r="G110" s="1714">
        <f t="shared" si="6"/>
        <v>0</v>
      </c>
    </row>
    <row r="111" spans="2:7">
      <c r="B111" s="218"/>
      <c r="C111" s="232" t="s">
        <v>166</v>
      </c>
      <c r="D111" s="1232" t="s">
        <v>66</v>
      </c>
      <c r="E111" s="225">
        <v>2</v>
      </c>
      <c r="F111" s="1768">
        <v>0</v>
      </c>
      <c r="G111" s="1714">
        <f t="shared" si="6"/>
        <v>0</v>
      </c>
    </row>
    <row r="112" spans="2:7">
      <c r="B112" s="218"/>
      <c r="C112" s="232" t="s">
        <v>167</v>
      </c>
      <c r="D112" s="1232" t="s">
        <v>66</v>
      </c>
      <c r="E112" s="225">
        <v>2</v>
      </c>
      <c r="F112" s="1768">
        <v>0</v>
      </c>
      <c r="G112" s="1714">
        <f t="shared" si="6"/>
        <v>0</v>
      </c>
    </row>
    <row r="113" spans="2:8">
      <c r="B113" s="218"/>
      <c r="C113" s="232" t="s">
        <v>229</v>
      </c>
      <c r="D113" s="1232" t="s">
        <v>66</v>
      </c>
      <c r="E113" s="225">
        <v>2</v>
      </c>
      <c r="F113" s="1768">
        <v>0</v>
      </c>
      <c r="G113" s="1714">
        <f t="shared" si="6"/>
        <v>0</v>
      </c>
    </row>
    <row r="114" spans="2:8">
      <c r="B114" s="218"/>
      <c r="C114" s="232" t="s">
        <v>230</v>
      </c>
      <c r="D114" s="1232" t="s">
        <v>66</v>
      </c>
      <c r="E114" s="225">
        <v>2</v>
      </c>
      <c r="F114" s="1768">
        <v>0</v>
      </c>
      <c r="G114" s="1714">
        <f t="shared" si="6"/>
        <v>0</v>
      </c>
    </row>
    <row r="115" spans="2:8">
      <c r="B115" s="218"/>
      <c r="C115" s="232" t="s">
        <v>150</v>
      </c>
      <c r="D115" s="1232" t="s">
        <v>66</v>
      </c>
      <c r="E115" s="225">
        <v>2</v>
      </c>
      <c r="F115" s="1768">
        <v>0</v>
      </c>
      <c r="G115" s="1714">
        <f t="shared" si="6"/>
        <v>0</v>
      </c>
    </row>
    <row r="116" spans="2:8">
      <c r="B116" s="218"/>
      <c r="C116" s="233" t="s">
        <v>135</v>
      </c>
      <c r="D116" s="1232" t="s">
        <v>66</v>
      </c>
      <c r="E116" s="225">
        <v>2</v>
      </c>
      <c r="F116" s="1768">
        <v>0</v>
      </c>
      <c r="G116" s="1714">
        <f t="shared" si="6"/>
        <v>0</v>
      </c>
    </row>
    <row r="117" spans="2:8">
      <c r="B117" s="218"/>
      <c r="C117" s="223" t="s">
        <v>1395</v>
      </c>
      <c r="D117" s="2240"/>
      <c r="E117" s="738"/>
      <c r="F117" s="1605"/>
      <c r="G117" s="1646"/>
    </row>
    <row r="118" spans="2:8" s="217" customFormat="1">
      <c r="B118" s="218"/>
      <c r="C118" s="1655" t="s">
        <v>230</v>
      </c>
      <c r="D118" s="1232" t="s">
        <v>66</v>
      </c>
      <c r="E118" s="225">
        <v>2</v>
      </c>
      <c r="F118" s="1768">
        <v>0</v>
      </c>
      <c r="G118" s="1714">
        <f t="shared" ref="G118:G120" si="7">E118*F118</f>
        <v>0</v>
      </c>
      <c r="H118" s="1703"/>
    </row>
    <row r="119" spans="2:8" s="217" customFormat="1">
      <c r="B119" s="218"/>
      <c r="C119" s="1655" t="s">
        <v>2255</v>
      </c>
      <c r="D119" s="1232" t="s">
        <v>66</v>
      </c>
      <c r="E119" s="225">
        <v>2</v>
      </c>
      <c r="F119" s="1768">
        <v>0</v>
      </c>
      <c r="G119" s="1714">
        <f t="shared" si="7"/>
        <v>0</v>
      </c>
      <c r="H119" s="1703"/>
    </row>
    <row r="120" spans="2:8" s="217" customFormat="1">
      <c r="B120" s="218"/>
      <c r="C120" s="1655" t="s">
        <v>1444</v>
      </c>
      <c r="D120" s="1232" t="s">
        <v>66</v>
      </c>
      <c r="E120" s="225">
        <v>2</v>
      </c>
      <c r="F120" s="1768">
        <v>0</v>
      </c>
      <c r="G120" s="1714">
        <f t="shared" si="7"/>
        <v>0</v>
      </c>
      <c r="H120" s="1703"/>
    </row>
    <row r="121" spans="2:8">
      <c r="B121" s="201" t="s">
        <v>151</v>
      </c>
      <c r="C121" s="238" t="s">
        <v>169</v>
      </c>
      <c r="D121" s="260"/>
      <c r="E121" s="240"/>
      <c r="F121" s="241"/>
      <c r="G121" s="242"/>
    </row>
    <row r="122" spans="2:8">
      <c r="B122" s="218"/>
      <c r="C122" s="238" t="s">
        <v>234</v>
      </c>
      <c r="D122" s="185"/>
      <c r="E122" s="741"/>
      <c r="F122" s="1611"/>
      <c r="G122" s="263"/>
    </row>
    <row r="123" spans="2:8" ht="36">
      <c r="B123" s="218"/>
      <c r="C123" s="243" t="s">
        <v>2245</v>
      </c>
      <c r="D123" s="260" t="s">
        <v>66</v>
      </c>
      <c r="E123" s="240">
        <v>12</v>
      </c>
      <c r="F123" s="1609">
        <v>0</v>
      </c>
      <c r="G123" s="245">
        <f t="shared" ref="G123:G126" si="8">E123*F123</f>
        <v>0</v>
      </c>
    </row>
    <row r="124" spans="2:8">
      <c r="B124" s="218"/>
      <c r="C124" s="246" t="s">
        <v>171</v>
      </c>
      <c r="D124" s="260" t="s">
        <v>66</v>
      </c>
      <c r="E124" s="240">
        <v>12</v>
      </c>
      <c r="F124" s="1609">
        <v>0</v>
      </c>
      <c r="G124" s="245">
        <f t="shared" si="8"/>
        <v>0</v>
      </c>
    </row>
    <row r="125" spans="2:8">
      <c r="B125" s="218"/>
      <c r="C125" s="247" t="s">
        <v>135</v>
      </c>
      <c r="D125" s="260" t="s">
        <v>66</v>
      </c>
      <c r="E125" s="240">
        <v>12</v>
      </c>
      <c r="F125" s="1609">
        <v>0</v>
      </c>
      <c r="G125" s="245">
        <f t="shared" si="8"/>
        <v>0</v>
      </c>
    </row>
    <row r="126" spans="2:8">
      <c r="B126" s="218"/>
      <c r="C126" s="247" t="s">
        <v>891</v>
      </c>
      <c r="D126" s="260" t="s">
        <v>66</v>
      </c>
      <c r="E126" s="240">
        <v>12</v>
      </c>
      <c r="F126" s="1609">
        <v>0</v>
      </c>
      <c r="G126" s="245">
        <f t="shared" si="8"/>
        <v>0</v>
      </c>
    </row>
    <row r="127" spans="2:8">
      <c r="B127" s="201" t="s">
        <v>159</v>
      </c>
      <c r="C127" s="248" t="s">
        <v>173</v>
      </c>
      <c r="D127" s="249"/>
      <c r="E127" s="250"/>
      <c r="F127" s="251"/>
      <c r="G127" s="252"/>
    </row>
    <row r="128" spans="2:8" ht="60">
      <c r="B128" s="218"/>
      <c r="C128" s="253" t="s">
        <v>174</v>
      </c>
      <c r="D128" s="249" t="s">
        <v>66</v>
      </c>
      <c r="E128" s="1143">
        <v>1</v>
      </c>
      <c r="F128" s="1144">
        <v>0</v>
      </c>
      <c r="G128" s="252">
        <f>E128*F128</f>
        <v>0</v>
      </c>
    </row>
    <row r="129" spans="2:7">
      <c r="B129" s="258" t="s">
        <v>47</v>
      </c>
      <c r="C129" s="259" t="s">
        <v>1396</v>
      </c>
      <c r="D129" s="260"/>
      <c r="E129" s="261"/>
      <c r="F129" s="262"/>
      <c r="G129" s="263">
        <f>SUM(G78:G128)</f>
        <v>0</v>
      </c>
    </row>
  </sheetData>
  <mergeCells count="6">
    <mergeCell ref="B82:B84"/>
    <mergeCell ref="B43:G43"/>
    <mergeCell ref="B51:B52"/>
    <mergeCell ref="B73:G73"/>
    <mergeCell ref="B74:G74"/>
    <mergeCell ref="B75:G75"/>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79199-588A-44E8-B985-72A1DE214D0B}">
  <sheetPr>
    <tabColor rgb="FF00B0F0"/>
  </sheetPr>
  <dimension ref="A2:Y186"/>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1461</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1469</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1470</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G67</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G186</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406</v>
      </c>
      <c r="F26" s="1082">
        <v>0</v>
      </c>
      <c r="G26" s="1083">
        <f t="shared" ref="G26" si="0">E26*F26</f>
        <v>0</v>
      </c>
    </row>
    <row r="27" spans="2:25">
      <c r="B27" s="125">
        <v>2</v>
      </c>
      <c r="C27" s="144" t="s">
        <v>58</v>
      </c>
      <c r="D27" s="140" t="s">
        <v>57</v>
      </c>
      <c r="E27" s="1081">
        <f>E26</f>
        <v>406</v>
      </c>
      <c r="F27" s="1082">
        <v>0</v>
      </c>
      <c r="G27" s="1083">
        <f>E27*F27</f>
        <v>0</v>
      </c>
    </row>
    <row r="28" spans="2:25" ht="57" customHeight="1">
      <c r="B28" s="125">
        <v>3</v>
      </c>
      <c r="C28" s="144" t="s">
        <v>245</v>
      </c>
      <c r="D28" s="140" t="s">
        <v>60</v>
      </c>
      <c r="E28" s="1081">
        <v>1</v>
      </c>
      <c r="F28" s="1082">
        <v>0</v>
      </c>
      <c r="G28" s="1083">
        <f t="shared" ref="G28:G38" si="1">E28*F28</f>
        <v>0</v>
      </c>
    </row>
    <row r="29" spans="2:25" ht="132">
      <c r="B29" s="125">
        <v>4</v>
      </c>
      <c r="C29" s="144" t="s">
        <v>61</v>
      </c>
      <c r="D29" s="145" t="s">
        <v>60</v>
      </c>
      <c r="E29" s="1081">
        <v>1</v>
      </c>
      <c r="F29" s="1082">
        <v>0</v>
      </c>
      <c r="G29" s="1083">
        <f t="shared" si="1"/>
        <v>0</v>
      </c>
    </row>
    <row r="30" spans="2:25" ht="24">
      <c r="B30" s="125">
        <v>5</v>
      </c>
      <c r="C30" s="144" t="s">
        <v>1389</v>
      </c>
      <c r="D30" s="146" t="s">
        <v>60</v>
      </c>
      <c r="E30" s="1081">
        <v>2</v>
      </c>
      <c r="F30" s="1082">
        <v>0</v>
      </c>
      <c r="G30" s="1083">
        <f t="shared" si="1"/>
        <v>0</v>
      </c>
    </row>
    <row r="31" spans="2:25" ht="27.75" customHeight="1">
      <c r="B31" s="125">
        <v>6</v>
      </c>
      <c r="C31" s="1084" t="s">
        <v>63</v>
      </c>
      <c r="D31" s="140" t="s">
        <v>57</v>
      </c>
      <c r="E31" s="1081">
        <f>E26</f>
        <v>406</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2292</v>
      </c>
      <c r="D33" s="146" t="s">
        <v>66</v>
      </c>
      <c r="E33" s="1081">
        <v>10</v>
      </c>
      <c r="F33" s="1082">
        <v>0</v>
      </c>
      <c r="G33" s="1083">
        <f t="shared" si="1"/>
        <v>0</v>
      </c>
    </row>
    <row r="34" spans="1:25" ht="36">
      <c r="B34" s="125">
        <v>9</v>
      </c>
      <c r="C34" s="1080" t="s">
        <v>2295</v>
      </c>
      <c r="D34" s="146" t="s">
        <v>57</v>
      </c>
      <c r="E34" s="1081">
        <f>E26+E85+E86</f>
        <v>477</v>
      </c>
      <c r="F34" s="1082">
        <v>0</v>
      </c>
      <c r="G34" s="1083">
        <f t="shared" si="1"/>
        <v>0</v>
      </c>
    </row>
    <row r="35" spans="1:25" ht="24">
      <c r="B35" s="125">
        <v>10</v>
      </c>
      <c r="C35" s="1080" t="s">
        <v>2293</v>
      </c>
      <c r="D35" s="146" t="s">
        <v>57</v>
      </c>
      <c r="E35" s="1081">
        <f>E26+E85+E86</f>
        <v>477</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10</v>
      </c>
      <c r="F46" s="1092">
        <v>0</v>
      </c>
      <c r="G46" s="1093">
        <f t="shared" ref="G46:G64"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109.61999999999999</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621.17999999999995</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609</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406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487.2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243.60000000000002</v>
      </c>
      <c r="F52" s="1092">
        <v>0</v>
      </c>
      <c r="G52" s="1083">
        <f t="shared" si="2"/>
        <v>0</v>
      </c>
      <c r="I52" s="1"/>
      <c r="J52" s="1"/>
      <c r="K52" s="1"/>
      <c r="L52" s="1"/>
      <c r="M52" s="1"/>
      <c r="N52" s="1"/>
      <c r="O52" s="1"/>
      <c r="P52" s="1"/>
      <c r="Q52" s="1"/>
      <c r="R52" s="1"/>
      <c r="S52" s="1"/>
      <c r="T52" s="1"/>
      <c r="U52" s="1"/>
      <c r="V52" s="1"/>
      <c r="W52" s="1"/>
      <c r="X52" s="1"/>
      <c r="Y52" s="1"/>
    </row>
    <row r="53" spans="1:25" s="8" customFormat="1" ht="54.75" customHeight="1">
      <c r="A53" s="1"/>
      <c r="B53" s="2408">
        <v>8</v>
      </c>
      <c r="C53" s="177" t="s">
        <v>83</v>
      </c>
      <c r="D53" s="146" t="s">
        <v>252</v>
      </c>
      <c r="E53" s="1094">
        <v>2</v>
      </c>
      <c r="F53" s="1092">
        <v>0</v>
      </c>
      <c r="G53" s="1083">
        <f>E53*F53</f>
        <v>0</v>
      </c>
      <c r="I53" s="1"/>
      <c r="J53" s="1"/>
      <c r="K53" s="1"/>
      <c r="L53" s="1"/>
      <c r="M53" s="1"/>
      <c r="N53" s="1"/>
      <c r="O53" s="1"/>
      <c r="P53" s="1"/>
      <c r="Q53" s="1"/>
      <c r="R53" s="1"/>
      <c r="S53" s="1"/>
      <c r="T53" s="1"/>
      <c r="U53" s="1"/>
      <c r="V53" s="1"/>
      <c r="W53" s="1"/>
      <c r="X53" s="1"/>
      <c r="Y53" s="1"/>
    </row>
    <row r="54" spans="1:25" s="8" customFormat="1" ht="12.75" customHeight="1">
      <c r="A54" s="1"/>
      <c r="B54" s="2608"/>
      <c r="C54" s="178" t="s">
        <v>84</v>
      </c>
      <c r="D54" s="146" t="s">
        <v>57</v>
      </c>
      <c r="E54" s="1094">
        <v>14</v>
      </c>
      <c r="F54" s="1082"/>
      <c r="G54" s="1083"/>
      <c r="I54" s="1"/>
      <c r="J54" s="1"/>
      <c r="K54" s="1"/>
      <c r="L54" s="1"/>
      <c r="M54" s="1"/>
      <c r="N54" s="1"/>
      <c r="O54" s="1"/>
      <c r="P54" s="1"/>
      <c r="Q54" s="1"/>
      <c r="R54" s="1"/>
      <c r="S54" s="1"/>
      <c r="T54" s="1"/>
      <c r="U54" s="1"/>
      <c r="V54" s="1"/>
      <c r="W54" s="1"/>
      <c r="X54" s="1"/>
      <c r="Y54" s="1"/>
    </row>
    <row r="55" spans="1:25" s="8" customFormat="1" ht="27" customHeight="1">
      <c r="A55" s="1"/>
      <c r="B55" s="717">
        <v>9</v>
      </c>
      <c r="C55" s="1095" t="s">
        <v>85</v>
      </c>
      <c r="D55" s="140" t="s">
        <v>57</v>
      </c>
      <c r="E55" s="1094">
        <v>15</v>
      </c>
      <c r="F55" s="1082">
        <v>0</v>
      </c>
      <c r="G55" s="1083">
        <f t="shared" si="2"/>
        <v>0</v>
      </c>
      <c r="I55" s="1"/>
      <c r="J55" s="1"/>
      <c r="K55" s="1"/>
      <c r="L55" s="1"/>
      <c r="M55" s="1"/>
      <c r="N55" s="1"/>
      <c r="O55" s="1"/>
      <c r="P55" s="1"/>
      <c r="Q55" s="1"/>
      <c r="R55" s="1"/>
      <c r="S55" s="1"/>
      <c r="T55" s="1"/>
      <c r="U55" s="1"/>
      <c r="V55" s="1"/>
      <c r="W55" s="1"/>
      <c r="X55" s="1"/>
      <c r="Y55" s="1"/>
    </row>
    <row r="56" spans="1:25" s="8" customFormat="1" ht="27" customHeight="1">
      <c r="A56" s="1"/>
      <c r="B56" s="717">
        <v>10</v>
      </c>
      <c r="C56" s="1095" t="s">
        <v>1391</v>
      </c>
      <c r="D56" s="140" t="s">
        <v>78</v>
      </c>
      <c r="E56" s="1094">
        <f>E26*1.2</f>
        <v>487.2</v>
      </c>
      <c r="F56" s="1082">
        <v>0</v>
      </c>
      <c r="G56" s="1083">
        <f t="shared" si="2"/>
        <v>0</v>
      </c>
      <c r="I56" s="1"/>
      <c r="J56" s="1"/>
      <c r="K56" s="1"/>
      <c r="L56" s="1"/>
      <c r="M56" s="1"/>
      <c r="N56" s="1"/>
      <c r="O56" s="1"/>
      <c r="P56" s="1"/>
      <c r="Q56" s="1"/>
      <c r="R56" s="1"/>
      <c r="S56" s="1"/>
      <c r="T56" s="1"/>
      <c r="U56" s="1"/>
      <c r="V56" s="1"/>
      <c r="W56" s="1"/>
      <c r="X56" s="1"/>
      <c r="Y56" s="1"/>
    </row>
    <row r="57" spans="1:25" s="8" customFormat="1" ht="67.5" customHeight="1">
      <c r="A57" s="1"/>
      <c r="B57" s="717">
        <v>11</v>
      </c>
      <c r="C57" s="397" t="s">
        <v>1471</v>
      </c>
      <c r="D57" s="145" t="s">
        <v>78</v>
      </c>
      <c r="E57" s="1094">
        <v>10</v>
      </c>
      <c r="F57" s="1082">
        <v>0</v>
      </c>
      <c r="G57" s="1083">
        <f t="shared" si="2"/>
        <v>0</v>
      </c>
      <c r="I57" s="1"/>
      <c r="J57" s="1"/>
      <c r="K57" s="1"/>
      <c r="L57" s="1"/>
      <c r="M57" s="1"/>
      <c r="N57" s="1"/>
      <c r="O57" s="1"/>
      <c r="P57" s="1"/>
      <c r="Q57" s="1"/>
      <c r="R57" s="1"/>
      <c r="S57" s="1"/>
      <c r="T57" s="1"/>
      <c r="U57" s="1"/>
      <c r="V57" s="1"/>
      <c r="W57" s="1"/>
      <c r="X57" s="1"/>
      <c r="Y57" s="1"/>
    </row>
    <row r="58" spans="1:25" s="8" customFormat="1" ht="14.25" customHeight="1">
      <c r="A58" s="1"/>
      <c r="B58" s="717">
        <v>12</v>
      </c>
      <c r="C58" s="139" t="s">
        <v>264</v>
      </c>
      <c r="D58" s="145" t="s">
        <v>74</v>
      </c>
      <c r="E58" s="128">
        <f>E47+E48+(E56*0.06)-E51</f>
        <v>272.83199999999994</v>
      </c>
      <c r="F58" s="1082">
        <v>0</v>
      </c>
      <c r="G58" s="142">
        <f t="shared" si="2"/>
        <v>0</v>
      </c>
      <c r="I58" s="1"/>
      <c r="J58" s="1"/>
      <c r="K58" s="1"/>
      <c r="L58" s="1"/>
      <c r="M58" s="1"/>
      <c r="N58" s="1"/>
      <c r="O58" s="1"/>
      <c r="P58" s="1"/>
      <c r="Q58" s="1"/>
      <c r="R58" s="1"/>
      <c r="S58" s="1"/>
      <c r="T58" s="1"/>
      <c r="U58" s="1"/>
      <c r="V58" s="1"/>
      <c r="W58" s="1"/>
      <c r="X58" s="1"/>
      <c r="Y58" s="1"/>
    </row>
    <row r="59" spans="1:25" s="8" customFormat="1">
      <c r="A59" s="1"/>
      <c r="B59" s="717">
        <v>13</v>
      </c>
      <c r="C59" s="139" t="s">
        <v>265</v>
      </c>
      <c r="D59" s="145" t="s">
        <v>74</v>
      </c>
      <c r="E59" s="128">
        <f>E58</f>
        <v>272.83199999999994</v>
      </c>
      <c r="F59" s="1082">
        <v>0</v>
      </c>
      <c r="G59" s="142">
        <f t="shared" si="2"/>
        <v>0</v>
      </c>
      <c r="I59" s="1"/>
      <c r="J59" s="1"/>
      <c r="K59" s="1"/>
      <c r="L59" s="1"/>
      <c r="M59" s="1"/>
      <c r="N59" s="1"/>
      <c r="O59" s="1"/>
      <c r="P59" s="1"/>
      <c r="Q59" s="1"/>
      <c r="R59" s="1"/>
      <c r="S59" s="1"/>
      <c r="T59" s="1"/>
      <c r="U59" s="1"/>
      <c r="V59" s="1"/>
      <c r="W59" s="1"/>
      <c r="X59" s="1"/>
      <c r="Y59" s="1"/>
    </row>
    <row r="60" spans="1:25" s="8" customFormat="1" ht="27.75" customHeight="1">
      <c r="A60" s="1"/>
      <c r="B60" s="717">
        <v>14</v>
      </c>
      <c r="C60" s="126" t="s">
        <v>95</v>
      </c>
      <c r="D60" s="140" t="s">
        <v>74</v>
      </c>
      <c r="E60" s="1094">
        <f>E26*0.75*0.1</f>
        <v>30.450000000000003</v>
      </c>
      <c r="F60" s="1082">
        <v>0</v>
      </c>
      <c r="G60" s="1083">
        <f t="shared" si="2"/>
        <v>0</v>
      </c>
      <c r="I60" s="1"/>
      <c r="J60" s="1"/>
      <c r="K60" s="1"/>
      <c r="L60" s="1"/>
      <c r="M60" s="1"/>
      <c r="N60" s="1"/>
      <c r="O60" s="1"/>
      <c r="P60" s="1"/>
      <c r="Q60" s="1"/>
      <c r="R60" s="1"/>
      <c r="S60" s="1"/>
      <c r="T60" s="1"/>
      <c r="U60" s="1"/>
      <c r="V60" s="1"/>
      <c r="W60" s="1"/>
      <c r="X60" s="1"/>
      <c r="Y60" s="1"/>
    </row>
    <row r="61" spans="1:25" s="8" customFormat="1" ht="40.5" customHeight="1">
      <c r="A61" s="1"/>
      <c r="B61" s="717">
        <v>15</v>
      </c>
      <c r="C61" s="1096" t="s">
        <v>1393</v>
      </c>
      <c r="D61" s="182" t="s">
        <v>74</v>
      </c>
      <c r="E61" s="1097">
        <v>3</v>
      </c>
      <c r="F61" s="1082">
        <v>0</v>
      </c>
      <c r="G61" s="1083">
        <f t="shared" si="2"/>
        <v>0</v>
      </c>
      <c r="I61" s="1"/>
      <c r="J61" s="1"/>
      <c r="K61" s="1"/>
      <c r="L61" s="1"/>
      <c r="M61" s="1"/>
      <c r="N61" s="1"/>
      <c r="O61" s="1"/>
      <c r="P61" s="1"/>
      <c r="Q61" s="1"/>
      <c r="R61" s="1"/>
      <c r="S61" s="1"/>
      <c r="T61" s="1"/>
      <c r="U61" s="1"/>
      <c r="V61" s="1"/>
      <c r="W61" s="1"/>
      <c r="X61" s="1"/>
      <c r="Y61" s="1"/>
    </row>
    <row r="62" spans="1:25" s="8" customFormat="1" ht="39" customHeight="1">
      <c r="A62" s="1"/>
      <c r="B62" s="717">
        <v>16</v>
      </c>
      <c r="C62" s="1096" t="s">
        <v>270</v>
      </c>
      <c r="D62" s="182" t="s">
        <v>66</v>
      </c>
      <c r="E62" s="1097">
        <v>29</v>
      </c>
      <c r="F62" s="1082">
        <v>0</v>
      </c>
      <c r="G62" s="1083">
        <f t="shared" si="2"/>
        <v>0</v>
      </c>
      <c r="I62" s="1"/>
      <c r="J62" s="1"/>
      <c r="K62" s="1"/>
      <c r="L62" s="1"/>
      <c r="M62" s="1"/>
      <c r="N62" s="1"/>
      <c r="O62" s="1"/>
      <c r="P62" s="1"/>
      <c r="Q62" s="1"/>
      <c r="R62" s="1"/>
      <c r="S62" s="1"/>
      <c r="T62" s="1"/>
      <c r="U62" s="1"/>
      <c r="V62" s="1"/>
      <c r="W62" s="1"/>
      <c r="X62" s="1"/>
      <c r="Y62" s="1"/>
    </row>
    <row r="63" spans="1:25" s="8" customFormat="1" ht="36">
      <c r="A63" s="1"/>
      <c r="B63" s="717">
        <v>17</v>
      </c>
      <c r="C63" s="1096" t="s">
        <v>99</v>
      </c>
      <c r="D63" s="182" t="s">
        <v>74</v>
      </c>
      <c r="E63" s="1097">
        <v>3</v>
      </c>
      <c r="F63" s="1082">
        <v>0</v>
      </c>
      <c r="G63" s="1083">
        <f t="shared" si="2"/>
        <v>0</v>
      </c>
      <c r="I63" s="1"/>
      <c r="J63" s="1"/>
      <c r="K63" s="1"/>
      <c r="L63" s="1"/>
      <c r="M63" s="1"/>
      <c r="N63" s="1"/>
      <c r="O63" s="1"/>
      <c r="P63" s="1"/>
      <c r="Q63" s="1"/>
      <c r="R63" s="1"/>
      <c r="S63" s="1"/>
      <c r="T63" s="1"/>
      <c r="U63" s="1"/>
      <c r="V63" s="1"/>
      <c r="W63" s="1"/>
      <c r="X63" s="1"/>
      <c r="Y63" s="1"/>
    </row>
    <row r="64" spans="1:25" s="8" customFormat="1" ht="27.75" customHeight="1">
      <c r="A64" s="1"/>
      <c r="B64" s="717">
        <v>18</v>
      </c>
      <c r="C64" s="1096" t="s">
        <v>100</v>
      </c>
      <c r="D64" s="182" t="s">
        <v>65</v>
      </c>
      <c r="E64" s="1097">
        <v>24</v>
      </c>
      <c r="F64" s="1082">
        <v>0</v>
      </c>
      <c r="G64" s="1083">
        <f t="shared" si="2"/>
        <v>0</v>
      </c>
      <c r="I64" s="1"/>
      <c r="J64" s="1"/>
      <c r="K64" s="1"/>
      <c r="L64" s="1"/>
      <c r="M64" s="1"/>
      <c r="N64" s="1"/>
      <c r="O64" s="1"/>
      <c r="P64" s="1"/>
      <c r="Q64" s="1"/>
      <c r="R64" s="1"/>
      <c r="S64" s="1"/>
      <c r="T64" s="1"/>
      <c r="U64" s="1"/>
      <c r="V64" s="1"/>
      <c r="W64" s="1"/>
      <c r="X64" s="1"/>
      <c r="Y64" s="1"/>
    </row>
    <row r="65" spans="1:25" s="8" customFormat="1" ht="52.5" customHeight="1">
      <c r="A65" s="1"/>
      <c r="B65" s="717">
        <v>19</v>
      </c>
      <c r="C65" s="1168" t="s">
        <v>1472</v>
      </c>
      <c r="D65" s="1169" t="s">
        <v>78</v>
      </c>
      <c r="E65" s="1170">
        <v>94</v>
      </c>
      <c r="F65" s="1082">
        <v>0</v>
      </c>
      <c r="G65" s="1171">
        <f>E65*F65</f>
        <v>0</v>
      </c>
      <c r="I65" s="1"/>
      <c r="J65" s="1"/>
      <c r="K65" s="1"/>
      <c r="L65" s="1"/>
      <c r="M65" s="1"/>
      <c r="N65" s="1"/>
      <c r="O65" s="1"/>
      <c r="P65" s="1"/>
      <c r="Q65" s="1"/>
      <c r="R65" s="1"/>
      <c r="S65" s="1"/>
      <c r="T65" s="1"/>
      <c r="U65" s="1"/>
      <c r="V65" s="1"/>
      <c r="W65" s="1"/>
      <c r="X65" s="1"/>
      <c r="Y65" s="1"/>
    </row>
    <row r="66" spans="1:25" s="8" customFormat="1">
      <c r="A66" s="1"/>
      <c r="B66" s="167"/>
      <c r="C66" s="1098"/>
      <c r="D66" s="1099"/>
      <c r="E66" s="1100"/>
      <c r="F66" s="1101"/>
      <c r="G66" s="1102"/>
      <c r="I66" s="1"/>
      <c r="J66" s="1"/>
      <c r="K66" s="1"/>
      <c r="L66" s="1"/>
      <c r="M66" s="1"/>
      <c r="N66" s="1"/>
      <c r="O66" s="1"/>
      <c r="P66" s="1"/>
      <c r="Q66" s="1"/>
      <c r="R66" s="1"/>
      <c r="S66" s="1"/>
      <c r="T66" s="1"/>
      <c r="U66" s="1"/>
      <c r="V66" s="1"/>
      <c r="W66" s="1"/>
      <c r="X66" s="1"/>
      <c r="Y66" s="1"/>
    </row>
    <row r="67" spans="1:25" s="8" customFormat="1">
      <c r="A67" s="1"/>
      <c r="B67" s="151" t="s">
        <v>45</v>
      </c>
      <c r="C67" s="1086" t="s">
        <v>101</v>
      </c>
      <c r="D67" s="1103"/>
      <c r="E67" s="1088"/>
      <c r="F67" s="1089"/>
      <c r="G67" s="263">
        <f>SUM(G46:G65)</f>
        <v>0</v>
      </c>
      <c r="I67" s="1"/>
      <c r="J67" s="1"/>
      <c r="K67" s="1"/>
      <c r="L67" s="1"/>
      <c r="M67" s="1"/>
      <c r="N67" s="1"/>
      <c r="O67" s="1"/>
      <c r="P67" s="1"/>
      <c r="Q67" s="1"/>
      <c r="R67" s="1"/>
      <c r="S67" s="1"/>
      <c r="T67" s="1"/>
      <c r="U67" s="1"/>
      <c r="V67" s="1"/>
      <c r="W67" s="1"/>
      <c r="X67" s="1"/>
      <c r="Y67" s="1"/>
    </row>
    <row r="68" spans="1:25" s="8" customFormat="1">
      <c r="A68" s="1"/>
      <c r="B68" s="67"/>
      <c r="C68" s="68"/>
      <c r="D68" s="1188"/>
      <c r="E68" s="1104"/>
      <c r="F68" s="1105"/>
      <c r="G68" s="1106"/>
      <c r="I68" s="1"/>
      <c r="J68" s="1"/>
      <c r="K68" s="1"/>
      <c r="L68" s="1"/>
      <c r="M68" s="1"/>
      <c r="N68" s="1"/>
      <c r="O68" s="1"/>
      <c r="P68" s="1"/>
      <c r="Q68" s="1"/>
      <c r="R68" s="1"/>
      <c r="S68" s="1"/>
      <c r="T68" s="1"/>
      <c r="U68" s="1"/>
      <c r="V68" s="1"/>
      <c r="W68" s="1"/>
      <c r="X68" s="1"/>
      <c r="Y68" s="1"/>
    </row>
    <row r="69" spans="1:25" s="8" customFormat="1" ht="24">
      <c r="A69" s="1"/>
      <c r="B69" s="119" t="s">
        <v>50</v>
      </c>
      <c r="C69" s="120" t="s">
        <v>51</v>
      </c>
      <c r="D69" s="120" t="s">
        <v>52</v>
      </c>
      <c r="E69" s="122" t="s">
        <v>53</v>
      </c>
      <c r="F69" s="123" t="s">
        <v>54</v>
      </c>
      <c r="G69" s="124" t="s">
        <v>55</v>
      </c>
      <c r="I69" s="1"/>
      <c r="J69" s="1"/>
      <c r="K69" s="1"/>
      <c r="L69" s="1"/>
      <c r="M69" s="1"/>
      <c r="N69" s="1"/>
      <c r="O69" s="1"/>
      <c r="P69" s="1"/>
      <c r="Q69" s="1"/>
      <c r="R69" s="1"/>
      <c r="S69" s="1"/>
      <c r="T69" s="1"/>
      <c r="U69" s="1"/>
      <c r="V69" s="1"/>
      <c r="W69" s="1"/>
      <c r="X69" s="1"/>
      <c r="Y69" s="1"/>
    </row>
    <row r="70" spans="1:25" s="8" customFormat="1">
      <c r="A70" s="1"/>
      <c r="B70" s="125"/>
      <c r="C70" s="126"/>
      <c r="D70" s="140"/>
      <c r="E70" s="719"/>
      <c r="F70" s="1107"/>
      <c r="G70" s="731"/>
      <c r="I70" s="1"/>
      <c r="J70" s="1"/>
      <c r="K70" s="1"/>
      <c r="L70" s="1"/>
      <c r="M70" s="1"/>
      <c r="N70" s="1"/>
      <c r="O70" s="1"/>
      <c r="P70" s="1"/>
      <c r="Q70" s="1"/>
      <c r="R70" s="1"/>
      <c r="S70" s="1"/>
      <c r="T70" s="1"/>
      <c r="U70" s="1"/>
      <c r="V70" s="1"/>
      <c r="W70" s="1"/>
      <c r="X70" s="1"/>
      <c r="Y70" s="1"/>
    </row>
    <row r="71" spans="1:25" s="8" customFormat="1" ht="20.25">
      <c r="A71" s="1"/>
      <c r="B71" s="186" t="s">
        <v>47</v>
      </c>
      <c r="C71" s="187" t="s">
        <v>48</v>
      </c>
      <c r="D71" s="165"/>
      <c r="E71" s="134"/>
      <c r="F71" s="135"/>
      <c r="G71" s="136"/>
      <c r="I71" s="1"/>
      <c r="J71" s="1"/>
      <c r="K71" s="1"/>
      <c r="L71" s="1"/>
      <c r="M71" s="1"/>
      <c r="N71" s="1"/>
      <c r="O71" s="1"/>
      <c r="P71" s="1"/>
      <c r="Q71" s="1"/>
      <c r="R71" s="1"/>
      <c r="S71" s="1"/>
      <c r="T71" s="1"/>
      <c r="U71" s="1"/>
      <c r="V71" s="1"/>
      <c r="W71" s="1"/>
      <c r="X71" s="1"/>
      <c r="Y71" s="1"/>
    </row>
    <row r="72" spans="1:25" s="8" customFormat="1">
      <c r="A72" s="1"/>
      <c r="B72" s="1108" t="s">
        <v>38</v>
      </c>
      <c r="C72" s="1109"/>
      <c r="D72" s="2235"/>
      <c r="E72" s="1109"/>
      <c r="F72" s="1109"/>
      <c r="G72" s="1110"/>
      <c r="I72" s="1"/>
      <c r="J72" s="1"/>
      <c r="K72" s="1"/>
      <c r="L72" s="1"/>
      <c r="M72" s="1"/>
      <c r="N72" s="1"/>
      <c r="O72" s="1"/>
      <c r="P72" s="1"/>
      <c r="Q72" s="1"/>
      <c r="R72" s="1"/>
      <c r="S72" s="1"/>
      <c r="T72" s="1"/>
      <c r="U72" s="1"/>
      <c r="V72" s="1"/>
      <c r="W72" s="1"/>
      <c r="X72" s="1"/>
      <c r="Y72" s="1"/>
    </row>
    <row r="73" spans="1:25" s="8" customFormat="1">
      <c r="A73" s="1"/>
      <c r="B73" s="1111" t="s">
        <v>39</v>
      </c>
      <c r="C73" s="1112"/>
      <c r="D73" s="2236"/>
      <c r="E73" s="1112"/>
      <c r="F73" s="1112"/>
      <c r="G73" s="1113"/>
      <c r="I73" s="1"/>
      <c r="J73" s="1"/>
      <c r="K73" s="1"/>
      <c r="L73" s="1"/>
      <c r="M73" s="1"/>
      <c r="N73" s="1"/>
      <c r="O73" s="1"/>
      <c r="P73" s="1"/>
      <c r="Q73" s="1"/>
      <c r="R73" s="1"/>
      <c r="S73" s="1"/>
      <c r="T73" s="1"/>
      <c r="U73" s="1"/>
      <c r="V73" s="1"/>
      <c r="W73" s="1"/>
      <c r="X73" s="1"/>
      <c r="Y73" s="1"/>
    </row>
    <row r="74" spans="1:25" s="8" customFormat="1">
      <c r="A74" s="1"/>
      <c r="B74" s="1108" t="s">
        <v>4</v>
      </c>
      <c r="C74" s="1109"/>
      <c r="D74" s="2237"/>
      <c r="E74" s="1109"/>
      <c r="F74" s="1109"/>
      <c r="G74" s="1110"/>
      <c r="I74" s="1"/>
      <c r="J74" s="1"/>
      <c r="K74" s="1"/>
      <c r="L74" s="1"/>
      <c r="M74" s="1"/>
      <c r="N74" s="1"/>
      <c r="O74" s="1"/>
      <c r="P74" s="1"/>
      <c r="Q74" s="1"/>
      <c r="R74" s="1"/>
      <c r="S74" s="1"/>
      <c r="T74" s="1"/>
      <c r="U74" s="1"/>
      <c r="V74" s="1"/>
      <c r="W74" s="1"/>
      <c r="X74" s="1"/>
      <c r="Y74" s="1"/>
    </row>
    <row r="75" spans="1:25" s="8" customFormat="1">
      <c r="A75" s="1"/>
      <c r="B75" s="1111" t="s">
        <v>5</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2399" t="s">
        <v>271</v>
      </c>
      <c r="C76" s="2400"/>
      <c r="D76" s="2400"/>
      <c r="E76" s="2400"/>
      <c r="F76" s="2400"/>
      <c r="G76" s="2401"/>
      <c r="I76" s="1"/>
      <c r="J76" s="1"/>
      <c r="K76" s="1"/>
      <c r="L76" s="1"/>
      <c r="M76" s="1"/>
      <c r="N76" s="1"/>
      <c r="O76" s="1"/>
      <c r="P76" s="1"/>
      <c r="Q76" s="1"/>
      <c r="R76" s="1"/>
      <c r="S76" s="1"/>
      <c r="T76" s="1"/>
      <c r="U76" s="1"/>
      <c r="V76" s="1"/>
      <c r="W76" s="1"/>
      <c r="X76" s="1"/>
      <c r="Y76" s="1"/>
    </row>
    <row r="77" spans="1:25" s="8" customFormat="1">
      <c r="A77" s="1"/>
      <c r="B77" s="2399" t="s">
        <v>104</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2399" t="s">
        <v>105</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1115"/>
      <c r="C79" s="1116"/>
      <c r="D79" s="2238"/>
      <c r="E79" s="1116"/>
      <c r="F79" s="1116"/>
      <c r="G79" s="1117"/>
      <c r="I79" s="1"/>
      <c r="J79" s="1"/>
      <c r="K79" s="1"/>
      <c r="L79" s="1"/>
      <c r="M79" s="1"/>
      <c r="N79" s="1"/>
      <c r="O79" s="1"/>
      <c r="P79" s="1"/>
      <c r="Q79" s="1"/>
      <c r="R79" s="1"/>
      <c r="S79" s="1"/>
      <c r="T79" s="1"/>
      <c r="U79" s="1"/>
      <c r="V79" s="1"/>
      <c r="W79" s="1"/>
      <c r="X79" s="1"/>
      <c r="Y79" s="1"/>
    </row>
    <row r="80" spans="1:25" ht="24">
      <c r="B80" s="188">
        <v>1</v>
      </c>
      <c r="C80" s="189" t="s">
        <v>106</v>
      </c>
      <c r="D80" s="190"/>
      <c r="E80" s="719"/>
      <c r="F80" s="1107"/>
      <c r="G80" s="731"/>
    </row>
    <row r="81" spans="2:7">
      <c r="B81" s="191"/>
      <c r="C81" s="192" t="s">
        <v>107</v>
      </c>
      <c r="D81" s="190" t="s">
        <v>57</v>
      </c>
      <c r="E81" s="719">
        <f>115*0.9</f>
        <v>103.5</v>
      </c>
      <c r="F81" s="1092">
        <v>0</v>
      </c>
      <c r="G81" s="1093">
        <f t="shared" ref="G81:G91" si="3">E81*F81</f>
        <v>0</v>
      </c>
    </row>
    <row r="82" spans="2:7" ht="24">
      <c r="B82" s="191"/>
      <c r="C82" s="192" t="s">
        <v>884</v>
      </c>
      <c r="D82" s="190" t="s">
        <v>57</v>
      </c>
      <c r="E82" s="719">
        <f>115*0.1</f>
        <v>11.5</v>
      </c>
      <c r="F82" s="1092">
        <v>0</v>
      </c>
      <c r="G82" s="1093">
        <f t="shared" si="3"/>
        <v>0</v>
      </c>
    </row>
    <row r="83" spans="2:7">
      <c r="B83" s="191"/>
      <c r="C83" s="192" t="s">
        <v>226</v>
      </c>
      <c r="D83" s="190" t="s">
        <v>57</v>
      </c>
      <c r="E83" s="719">
        <f>291*0.9</f>
        <v>261.90000000000003</v>
      </c>
      <c r="F83" s="1092">
        <v>0</v>
      </c>
      <c r="G83" s="1093">
        <f t="shared" si="3"/>
        <v>0</v>
      </c>
    </row>
    <row r="84" spans="2:7" ht="24">
      <c r="B84" s="191"/>
      <c r="C84" s="192" t="s">
        <v>227</v>
      </c>
      <c r="D84" s="190" t="s">
        <v>57</v>
      </c>
      <c r="E84" s="719">
        <f>291*0.1</f>
        <v>29.1</v>
      </c>
      <c r="F84" s="1092">
        <v>0</v>
      </c>
      <c r="G84" s="1093">
        <f t="shared" si="3"/>
        <v>0</v>
      </c>
    </row>
    <row r="85" spans="2:7">
      <c r="B85" s="191"/>
      <c r="C85" s="192" t="s">
        <v>109</v>
      </c>
      <c r="D85" s="190" t="s">
        <v>57</v>
      </c>
      <c r="E85" s="719">
        <f>71*0.9</f>
        <v>63.9</v>
      </c>
      <c r="F85" s="1092">
        <v>0</v>
      </c>
      <c r="G85" s="1093">
        <f t="shared" si="3"/>
        <v>0</v>
      </c>
    </row>
    <row r="86" spans="2:7" ht="24">
      <c r="B86" s="191"/>
      <c r="C86" s="192" t="s">
        <v>110</v>
      </c>
      <c r="D86" s="190" t="s">
        <v>57</v>
      </c>
      <c r="E86" s="719">
        <f>71*0.1</f>
        <v>7.1000000000000005</v>
      </c>
      <c r="F86" s="1092">
        <v>0</v>
      </c>
      <c r="G86" s="1093">
        <f t="shared" si="3"/>
        <v>0</v>
      </c>
    </row>
    <row r="87" spans="2:7" ht="36">
      <c r="B87" s="2404" t="s">
        <v>111</v>
      </c>
      <c r="C87" s="193" t="s">
        <v>112</v>
      </c>
      <c r="D87" s="194"/>
      <c r="E87" s="719"/>
      <c r="F87" s="1092"/>
      <c r="G87" s="1093"/>
    </row>
    <row r="88" spans="2:7">
      <c r="B88" s="2405"/>
      <c r="C88" s="195" t="s">
        <v>113</v>
      </c>
      <c r="D88" s="194" t="s">
        <v>57</v>
      </c>
      <c r="E88" s="719">
        <v>18</v>
      </c>
      <c r="F88" s="1092">
        <v>0</v>
      </c>
      <c r="G88" s="1093">
        <f>E88*F88</f>
        <v>0</v>
      </c>
    </row>
    <row r="89" spans="2:7">
      <c r="B89" s="2405"/>
      <c r="C89" s="195" t="s">
        <v>274</v>
      </c>
      <c r="D89" s="194" t="s">
        <v>57</v>
      </c>
      <c r="E89" s="719">
        <v>44</v>
      </c>
      <c r="F89" s="1092">
        <v>0</v>
      </c>
      <c r="G89" s="1093">
        <f>E89*F89</f>
        <v>0</v>
      </c>
    </row>
    <row r="90" spans="2:7">
      <c r="B90" s="2413"/>
      <c r="C90" s="195" t="s">
        <v>275</v>
      </c>
      <c r="D90" s="194" t="s">
        <v>57</v>
      </c>
      <c r="E90" s="719">
        <v>12</v>
      </c>
      <c r="F90" s="1092">
        <v>0</v>
      </c>
      <c r="G90" s="1093">
        <f>E90*F90</f>
        <v>0</v>
      </c>
    </row>
    <row r="91" spans="2:7" ht="36">
      <c r="B91" s="196">
        <v>2</v>
      </c>
      <c r="C91" s="197" t="s">
        <v>114</v>
      </c>
      <c r="D91" s="145" t="s">
        <v>57</v>
      </c>
      <c r="E91" s="732">
        <f>SUM(E81:E86)</f>
        <v>477.00000000000006</v>
      </c>
      <c r="F91" s="1092">
        <v>0</v>
      </c>
      <c r="G91" s="1093">
        <f t="shared" si="3"/>
        <v>0</v>
      </c>
    </row>
    <row r="92" spans="2:7" ht="36">
      <c r="B92" s="199" t="s">
        <v>115</v>
      </c>
      <c r="C92" s="197" t="s">
        <v>116</v>
      </c>
      <c r="D92" s="145" t="s">
        <v>57</v>
      </c>
      <c r="E92" s="732">
        <f>E91</f>
        <v>477.00000000000006</v>
      </c>
      <c r="F92" s="1092">
        <v>0</v>
      </c>
      <c r="G92" s="1093">
        <f>E92*F92</f>
        <v>0</v>
      </c>
    </row>
    <row r="93" spans="2:7" ht="24">
      <c r="B93" s="199" t="s">
        <v>117</v>
      </c>
      <c r="C93" s="197" t="s">
        <v>118</v>
      </c>
      <c r="D93" s="145" t="s">
        <v>57</v>
      </c>
      <c r="E93" s="732">
        <f>E91</f>
        <v>477.00000000000006</v>
      </c>
      <c r="F93" s="1092">
        <v>0</v>
      </c>
      <c r="G93" s="1093">
        <f>E93*F93</f>
        <v>0</v>
      </c>
    </row>
    <row r="94" spans="2:7" ht="36">
      <c r="B94" s="199" t="s">
        <v>119</v>
      </c>
      <c r="C94" s="197" t="s">
        <v>120</v>
      </c>
      <c r="D94" s="145" t="s">
        <v>57</v>
      </c>
      <c r="E94" s="732">
        <f>E91</f>
        <v>477.00000000000006</v>
      </c>
      <c r="F94" s="1092">
        <v>0</v>
      </c>
      <c r="G94" s="1093">
        <f>E94*F94</f>
        <v>0</v>
      </c>
    </row>
    <row r="95" spans="2:7" ht="24">
      <c r="B95" s="188">
        <v>3</v>
      </c>
      <c r="C95" s="200" t="s">
        <v>121</v>
      </c>
      <c r="D95" s="140"/>
      <c r="E95" s="719"/>
      <c r="F95" s="719"/>
      <c r="G95" s="731"/>
    </row>
    <row r="96" spans="2:7">
      <c r="B96" s="201" t="s">
        <v>122</v>
      </c>
      <c r="C96" s="202" t="s">
        <v>123</v>
      </c>
      <c r="D96" s="209"/>
      <c r="E96" s="204"/>
      <c r="F96" s="205"/>
      <c r="G96" s="206"/>
    </row>
    <row r="97" spans="2:7">
      <c r="B97" s="125"/>
      <c r="C97" s="202" t="s">
        <v>124</v>
      </c>
      <c r="D97" s="209"/>
      <c r="E97" s="204"/>
      <c r="F97" s="205"/>
      <c r="G97" s="206"/>
    </row>
    <row r="98" spans="2:7">
      <c r="B98" s="207"/>
      <c r="C98" s="208" t="s">
        <v>1473</v>
      </c>
      <c r="D98" s="209" t="s">
        <v>66</v>
      </c>
      <c r="E98" s="204">
        <v>1</v>
      </c>
      <c r="F98" s="210">
        <v>0</v>
      </c>
      <c r="G98" s="211">
        <f>E98*F98</f>
        <v>0</v>
      </c>
    </row>
    <row r="99" spans="2:7">
      <c r="B99" s="201" t="s">
        <v>126</v>
      </c>
      <c r="C99" s="212" t="s">
        <v>127</v>
      </c>
      <c r="D99" s="1228"/>
      <c r="E99" s="214"/>
      <c r="F99" s="215">
        <v>0</v>
      </c>
      <c r="G99" s="216"/>
    </row>
    <row r="100" spans="2:7">
      <c r="B100" s="218"/>
      <c r="C100" s="212" t="s">
        <v>128</v>
      </c>
      <c r="D100" s="2239"/>
      <c r="E100" s="736"/>
      <c r="F100" s="1601"/>
      <c r="G100" s="1121"/>
    </row>
    <row r="101" spans="2:7">
      <c r="B101" s="218"/>
      <c r="C101" s="219" t="s">
        <v>129</v>
      </c>
      <c r="D101" s="1228" t="s">
        <v>66</v>
      </c>
      <c r="E101" s="214">
        <v>1</v>
      </c>
      <c r="F101" s="1599">
        <v>0</v>
      </c>
      <c r="G101" s="221">
        <f t="shared" ref="G101:G119" si="4">E101*F101</f>
        <v>0</v>
      </c>
    </row>
    <row r="102" spans="2:7" ht="36">
      <c r="B102" s="218"/>
      <c r="C102" s="222" t="s">
        <v>130</v>
      </c>
      <c r="D102" s="1228" t="s">
        <v>66</v>
      </c>
      <c r="E102" s="214">
        <v>1</v>
      </c>
      <c r="F102" s="1599">
        <v>0</v>
      </c>
      <c r="G102" s="221">
        <f t="shared" si="4"/>
        <v>0</v>
      </c>
    </row>
    <row r="103" spans="2:7">
      <c r="B103" s="218"/>
      <c r="C103" s="222" t="s">
        <v>183</v>
      </c>
      <c r="D103" s="1228" t="s">
        <v>66</v>
      </c>
      <c r="E103" s="214">
        <v>1</v>
      </c>
      <c r="F103" s="1599">
        <v>0</v>
      </c>
      <c r="G103" s="221">
        <f t="shared" si="4"/>
        <v>0</v>
      </c>
    </row>
    <row r="104" spans="2:7">
      <c r="B104" s="218"/>
      <c r="C104" s="222" t="s">
        <v>131</v>
      </c>
      <c r="D104" s="1228" t="s">
        <v>66</v>
      </c>
      <c r="E104" s="214">
        <v>1</v>
      </c>
      <c r="F104" s="1599">
        <v>0</v>
      </c>
      <c r="G104" s="221">
        <f t="shared" si="4"/>
        <v>0</v>
      </c>
    </row>
    <row r="105" spans="2:7">
      <c r="B105" s="218"/>
      <c r="C105" s="222" t="s">
        <v>132</v>
      </c>
      <c r="D105" s="1228" t="s">
        <v>66</v>
      </c>
      <c r="E105" s="214">
        <v>2</v>
      </c>
      <c r="F105" s="1599">
        <v>0</v>
      </c>
      <c r="G105" s="221">
        <f t="shared" si="4"/>
        <v>0</v>
      </c>
    </row>
    <row r="106" spans="2:7">
      <c r="B106" s="218"/>
      <c r="C106" s="222" t="s">
        <v>133</v>
      </c>
      <c r="D106" s="1228" t="s">
        <v>66</v>
      </c>
      <c r="E106" s="214">
        <v>2</v>
      </c>
      <c r="F106" s="1599">
        <v>0</v>
      </c>
      <c r="G106" s="221">
        <f t="shared" si="4"/>
        <v>0</v>
      </c>
    </row>
    <row r="107" spans="2:7">
      <c r="B107" s="218"/>
      <c r="C107" s="222" t="s">
        <v>134</v>
      </c>
      <c r="D107" s="1228" t="s">
        <v>66</v>
      </c>
      <c r="E107" s="214">
        <v>1</v>
      </c>
      <c r="F107" s="1599">
        <v>0</v>
      </c>
      <c r="G107" s="221">
        <f t="shared" si="4"/>
        <v>0</v>
      </c>
    </row>
    <row r="108" spans="2:7">
      <c r="B108" s="218"/>
      <c r="C108" s="222" t="s">
        <v>135</v>
      </c>
      <c r="D108" s="1228" t="s">
        <v>66</v>
      </c>
      <c r="E108" s="214">
        <v>1</v>
      </c>
      <c r="F108" s="1599">
        <v>0</v>
      </c>
      <c r="G108" s="221">
        <f t="shared" si="4"/>
        <v>0</v>
      </c>
    </row>
    <row r="109" spans="2:7">
      <c r="B109" s="218"/>
      <c r="C109" s="212" t="s">
        <v>318</v>
      </c>
      <c r="D109" s="2239"/>
      <c r="E109" s="736"/>
      <c r="F109" s="1599"/>
      <c r="G109" s="221"/>
    </row>
    <row r="110" spans="2:7">
      <c r="B110" s="218"/>
      <c r="C110" s="219" t="s">
        <v>319</v>
      </c>
      <c r="D110" s="1228" t="s">
        <v>66</v>
      </c>
      <c r="E110" s="214">
        <v>1</v>
      </c>
      <c r="F110" s="1599">
        <v>0</v>
      </c>
      <c r="G110" s="221">
        <f t="shared" si="4"/>
        <v>0</v>
      </c>
    </row>
    <row r="111" spans="2:7" ht="36">
      <c r="B111" s="218"/>
      <c r="C111" s="222" t="s">
        <v>283</v>
      </c>
      <c r="D111" s="1228" t="s">
        <v>66</v>
      </c>
      <c r="E111" s="214">
        <v>1</v>
      </c>
      <c r="F111" s="1599">
        <v>0</v>
      </c>
      <c r="G111" s="221">
        <f t="shared" si="4"/>
        <v>0</v>
      </c>
    </row>
    <row r="112" spans="2:7">
      <c r="B112" s="218"/>
      <c r="C112" s="222" t="s">
        <v>183</v>
      </c>
      <c r="D112" s="1228" t="s">
        <v>66</v>
      </c>
      <c r="E112" s="214">
        <v>1</v>
      </c>
      <c r="F112" s="1599">
        <v>0</v>
      </c>
      <c r="G112" s="221">
        <f t="shared" si="4"/>
        <v>0</v>
      </c>
    </row>
    <row r="113" spans="2:7">
      <c r="B113" s="218"/>
      <c r="C113" s="222" t="s">
        <v>131</v>
      </c>
      <c r="D113" s="1228" t="s">
        <v>66</v>
      </c>
      <c r="E113" s="214">
        <v>1</v>
      </c>
      <c r="F113" s="1599">
        <v>0</v>
      </c>
      <c r="G113" s="221">
        <f t="shared" si="4"/>
        <v>0</v>
      </c>
    </row>
    <row r="114" spans="2:7">
      <c r="B114" s="218"/>
      <c r="C114" s="1133" t="s">
        <v>166</v>
      </c>
      <c r="D114" s="1228" t="s">
        <v>66</v>
      </c>
      <c r="E114" s="214">
        <v>2</v>
      </c>
      <c r="F114" s="1599">
        <v>0</v>
      </c>
      <c r="G114" s="221">
        <f t="shared" si="4"/>
        <v>0</v>
      </c>
    </row>
    <row r="115" spans="2:7">
      <c r="B115" s="218"/>
      <c r="C115" s="1133" t="s">
        <v>167</v>
      </c>
      <c r="D115" s="1228" t="s">
        <v>66</v>
      </c>
      <c r="E115" s="214">
        <v>2</v>
      </c>
      <c r="F115" s="1599">
        <v>0</v>
      </c>
      <c r="G115" s="221">
        <f t="shared" si="4"/>
        <v>0</v>
      </c>
    </row>
    <row r="116" spans="2:7">
      <c r="B116" s="218"/>
      <c r="C116" s="1133" t="s">
        <v>229</v>
      </c>
      <c r="D116" s="1228" t="s">
        <v>66</v>
      </c>
      <c r="E116" s="214">
        <v>2</v>
      </c>
      <c r="F116" s="1599">
        <v>0</v>
      </c>
      <c r="G116" s="221">
        <f t="shared" si="4"/>
        <v>0</v>
      </c>
    </row>
    <row r="117" spans="2:7">
      <c r="B117" s="218"/>
      <c r="C117" s="1133" t="s">
        <v>230</v>
      </c>
      <c r="D117" s="1228" t="s">
        <v>66</v>
      </c>
      <c r="E117" s="214">
        <v>2</v>
      </c>
      <c r="F117" s="1599">
        <v>0</v>
      </c>
      <c r="G117" s="221">
        <f t="shared" si="4"/>
        <v>0</v>
      </c>
    </row>
    <row r="118" spans="2:7">
      <c r="B118" s="218"/>
      <c r="C118" s="1133" t="s">
        <v>134</v>
      </c>
      <c r="D118" s="1228" t="s">
        <v>66</v>
      </c>
      <c r="E118" s="214">
        <v>1</v>
      </c>
      <c r="F118" s="1599">
        <v>0</v>
      </c>
      <c r="G118" s="221">
        <f t="shared" si="4"/>
        <v>0</v>
      </c>
    </row>
    <row r="119" spans="2:7">
      <c r="B119" s="218"/>
      <c r="C119" s="1134" t="s">
        <v>135</v>
      </c>
      <c r="D119" s="1228" t="s">
        <v>66</v>
      </c>
      <c r="E119" s="214">
        <v>1</v>
      </c>
      <c r="F119" s="1599">
        <v>0</v>
      </c>
      <c r="G119" s="221">
        <f t="shared" si="4"/>
        <v>0</v>
      </c>
    </row>
    <row r="120" spans="2:7">
      <c r="B120" s="201" t="s">
        <v>136</v>
      </c>
      <c r="C120" s="238" t="s">
        <v>320</v>
      </c>
      <c r="D120" s="260"/>
      <c r="E120" s="240"/>
      <c r="F120" s="241"/>
      <c r="G120" s="242"/>
    </row>
    <row r="121" spans="2:7">
      <c r="B121" s="218"/>
      <c r="C121" s="238" t="s">
        <v>326</v>
      </c>
      <c r="D121" s="185"/>
      <c r="E121" s="741"/>
      <c r="F121" s="1611"/>
      <c r="G121" s="263"/>
    </row>
    <row r="122" spans="2:7" ht="29.25" customHeight="1">
      <c r="B122" s="218"/>
      <c r="C122" s="1123" t="s">
        <v>322</v>
      </c>
      <c r="D122" s="260" t="s">
        <v>66</v>
      </c>
      <c r="E122" s="240">
        <v>1</v>
      </c>
      <c r="F122" s="1609">
        <v>0</v>
      </c>
      <c r="G122" s="245">
        <f t="shared" ref="G122:G124" si="5">E122*F122</f>
        <v>0</v>
      </c>
    </row>
    <row r="123" spans="2:7">
      <c r="B123" s="218"/>
      <c r="C123" s="246" t="s">
        <v>325</v>
      </c>
      <c r="D123" s="260" t="s">
        <v>66</v>
      </c>
      <c r="E123" s="240">
        <v>1</v>
      </c>
      <c r="F123" s="1609">
        <v>0</v>
      </c>
      <c r="G123" s="245">
        <f t="shared" si="5"/>
        <v>0</v>
      </c>
    </row>
    <row r="124" spans="2:7">
      <c r="B124" s="218"/>
      <c r="C124" s="247" t="s">
        <v>135</v>
      </c>
      <c r="D124" s="260" t="s">
        <v>66</v>
      </c>
      <c r="E124" s="240">
        <v>1</v>
      </c>
      <c r="F124" s="1609">
        <v>0</v>
      </c>
      <c r="G124" s="245">
        <f t="shared" si="5"/>
        <v>0</v>
      </c>
    </row>
    <row r="125" spans="2:7">
      <c r="B125" s="201" t="s">
        <v>151</v>
      </c>
      <c r="C125" s="223" t="s">
        <v>137</v>
      </c>
      <c r="D125" s="1232"/>
      <c r="E125" s="225"/>
      <c r="F125" s="226"/>
      <c r="G125" s="227"/>
    </row>
    <row r="126" spans="2:7">
      <c r="B126" s="218"/>
      <c r="C126" s="223" t="s">
        <v>138</v>
      </c>
      <c r="D126" s="2240"/>
      <c r="E126" s="738"/>
      <c r="F126" s="1605"/>
      <c r="G126" s="1125"/>
    </row>
    <row r="127" spans="2:7">
      <c r="B127" s="218"/>
      <c r="C127" s="228" t="s">
        <v>129</v>
      </c>
      <c r="D127" s="1232" t="s">
        <v>66</v>
      </c>
      <c r="E127" s="225">
        <v>1</v>
      </c>
      <c r="F127" s="1603">
        <v>0</v>
      </c>
      <c r="G127" s="230">
        <f t="shared" ref="G127:G142" si="6">E127*F127</f>
        <v>0</v>
      </c>
    </row>
    <row r="128" spans="2:7">
      <c r="B128" s="218"/>
      <c r="C128" s="228" t="s">
        <v>139</v>
      </c>
      <c r="D128" s="1232" t="s">
        <v>66</v>
      </c>
      <c r="E128" s="225">
        <v>2</v>
      </c>
      <c r="F128" s="1603">
        <v>0</v>
      </c>
      <c r="G128" s="230">
        <f t="shared" si="6"/>
        <v>0</v>
      </c>
    </row>
    <row r="129" spans="2:7">
      <c r="B129" s="218"/>
      <c r="C129" s="231" t="s">
        <v>140</v>
      </c>
      <c r="D129" s="1232" t="s">
        <v>66</v>
      </c>
      <c r="E129" s="225">
        <v>1</v>
      </c>
      <c r="F129" s="1603">
        <v>0</v>
      </c>
      <c r="G129" s="230">
        <f t="shared" si="6"/>
        <v>0</v>
      </c>
    </row>
    <row r="130" spans="2:7">
      <c r="B130" s="218"/>
      <c r="C130" s="231" t="s">
        <v>141</v>
      </c>
      <c r="D130" s="1232" t="s">
        <v>66</v>
      </c>
      <c r="E130" s="225">
        <v>1</v>
      </c>
      <c r="F130" s="1603">
        <v>0</v>
      </c>
      <c r="G130" s="230">
        <f t="shared" si="6"/>
        <v>0</v>
      </c>
    </row>
    <row r="131" spans="2:7">
      <c r="B131" s="218"/>
      <c r="C131" s="231" t="s">
        <v>142</v>
      </c>
      <c r="D131" s="1232" t="s">
        <v>66</v>
      </c>
      <c r="E131" s="225">
        <v>1</v>
      </c>
      <c r="F131" s="1603">
        <v>0</v>
      </c>
      <c r="G131" s="230">
        <f t="shared" si="6"/>
        <v>0</v>
      </c>
    </row>
    <row r="132" spans="2:7">
      <c r="B132" s="218"/>
      <c r="C132" s="231" t="s">
        <v>143</v>
      </c>
      <c r="D132" s="1232" t="s">
        <v>66</v>
      </c>
      <c r="E132" s="225">
        <v>1</v>
      </c>
      <c r="F132" s="1603">
        <v>0</v>
      </c>
      <c r="G132" s="230">
        <f t="shared" si="6"/>
        <v>0</v>
      </c>
    </row>
    <row r="133" spans="2:7">
      <c r="B133" s="218"/>
      <c r="C133" s="231" t="s">
        <v>2250</v>
      </c>
      <c r="D133" s="1232" t="s">
        <v>66</v>
      </c>
      <c r="E133" s="225">
        <v>1</v>
      </c>
      <c r="F133" s="1603">
        <v>0</v>
      </c>
      <c r="G133" s="230">
        <f t="shared" si="6"/>
        <v>0</v>
      </c>
    </row>
    <row r="134" spans="2:7">
      <c r="B134" s="218"/>
      <c r="C134" s="231" t="s">
        <v>145</v>
      </c>
      <c r="D134" s="1232" t="s">
        <v>66</v>
      </c>
      <c r="E134" s="225">
        <v>1</v>
      </c>
      <c r="F134" s="1603">
        <v>0</v>
      </c>
      <c r="G134" s="230">
        <f t="shared" si="6"/>
        <v>0</v>
      </c>
    </row>
    <row r="135" spans="2:7">
      <c r="B135" s="218"/>
      <c r="C135" s="231" t="s">
        <v>146</v>
      </c>
      <c r="D135" s="1232" t="s">
        <v>66</v>
      </c>
      <c r="E135" s="225">
        <v>1</v>
      </c>
      <c r="F135" s="1603">
        <v>0</v>
      </c>
      <c r="G135" s="230">
        <f t="shared" si="6"/>
        <v>0</v>
      </c>
    </row>
    <row r="136" spans="2:7">
      <c r="B136" s="218"/>
      <c r="C136" s="739" t="s">
        <v>147</v>
      </c>
      <c r="D136" s="1232" t="s">
        <v>66</v>
      </c>
      <c r="E136" s="225">
        <v>1</v>
      </c>
      <c r="F136" s="1603">
        <v>0</v>
      </c>
      <c r="G136" s="230">
        <f t="shared" si="6"/>
        <v>0</v>
      </c>
    </row>
    <row r="137" spans="2:7">
      <c r="B137" s="218"/>
      <c r="C137" s="739" t="s">
        <v>188</v>
      </c>
      <c r="D137" s="1232" t="s">
        <v>66</v>
      </c>
      <c r="E137" s="225">
        <v>1</v>
      </c>
      <c r="F137" s="1603">
        <v>0</v>
      </c>
      <c r="G137" s="230">
        <f t="shared" si="6"/>
        <v>0</v>
      </c>
    </row>
    <row r="138" spans="2:7">
      <c r="B138" s="218"/>
      <c r="C138" s="739" t="s">
        <v>132</v>
      </c>
      <c r="D138" s="1232" t="s">
        <v>66</v>
      </c>
      <c r="E138" s="225">
        <v>2</v>
      </c>
      <c r="F138" s="1603">
        <v>0</v>
      </c>
      <c r="G138" s="230">
        <f t="shared" si="6"/>
        <v>0</v>
      </c>
    </row>
    <row r="139" spans="2:7">
      <c r="B139" s="218"/>
      <c r="C139" s="739" t="s">
        <v>148</v>
      </c>
      <c r="D139" s="1232" t="s">
        <v>66</v>
      </c>
      <c r="E139" s="225">
        <v>2</v>
      </c>
      <c r="F139" s="1603">
        <v>0</v>
      </c>
      <c r="G139" s="230">
        <f t="shared" si="6"/>
        <v>0</v>
      </c>
    </row>
    <row r="140" spans="2:7">
      <c r="B140" s="218"/>
      <c r="C140" s="739" t="s">
        <v>149</v>
      </c>
      <c r="D140" s="1232" t="s">
        <v>66</v>
      </c>
      <c r="E140" s="225">
        <v>1</v>
      </c>
      <c r="F140" s="1603">
        <v>0</v>
      </c>
      <c r="G140" s="230">
        <f t="shared" si="6"/>
        <v>0</v>
      </c>
    </row>
    <row r="141" spans="2:7">
      <c r="B141" s="218"/>
      <c r="C141" s="739" t="s">
        <v>150</v>
      </c>
      <c r="D141" s="1232" t="s">
        <v>66</v>
      </c>
      <c r="E141" s="225">
        <v>3</v>
      </c>
      <c r="F141" s="1603">
        <v>0</v>
      </c>
      <c r="G141" s="230">
        <f t="shared" si="6"/>
        <v>0</v>
      </c>
    </row>
    <row r="142" spans="2:7">
      <c r="B142" s="218"/>
      <c r="C142" s="740" t="s">
        <v>135</v>
      </c>
      <c r="D142" s="1232" t="s">
        <v>66</v>
      </c>
      <c r="E142" s="225">
        <v>1</v>
      </c>
      <c r="F142" s="1603">
        <v>0</v>
      </c>
      <c r="G142" s="230">
        <f t="shared" si="6"/>
        <v>0</v>
      </c>
    </row>
    <row r="143" spans="2:7">
      <c r="B143" s="201" t="s">
        <v>159</v>
      </c>
      <c r="C143" s="212" t="s">
        <v>152</v>
      </c>
      <c r="D143" s="1228"/>
      <c r="E143" s="214"/>
      <c r="F143" s="215"/>
      <c r="G143" s="216"/>
    </row>
    <row r="144" spans="2:7">
      <c r="B144" s="218"/>
      <c r="C144" s="212" t="s">
        <v>153</v>
      </c>
      <c r="D144" s="2239"/>
      <c r="E144" s="736"/>
      <c r="F144" s="1601"/>
      <c r="G144" s="1121"/>
    </row>
    <row r="145" spans="2:7">
      <c r="B145" s="218"/>
      <c r="C145" s="219" t="s">
        <v>129</v>
      </c>
      <c r="D145" s="1228" t="s">
        <v>66</v>
      </c>
      <c r="E145" s="214">
        <v>1</v>
      </c>
      <c r="F145" s="1599">
        <v>0</v>
      </c>
      <c r="G145" s="221">
        <f t="shared" ref="G145:G155" si="7">E145*F145</f>
        <v>0</v>
      </c>
    </row>
    <row r="146" spans="2:7" ht="24">
      <c r="B146" s="218"/>
      <c r="C146" s="222" t="s">
        <v>154</v>
      </c>
      <c r="D146" s="1228" t="s">
        <v>66</v>
      </c>
      <c r="E146" s="214">
        <v>1</v>
      </c>
      <c r="F146" s="1599">
        <v>0</v>
      </c>
      <c r="G146" s="221">
        <f t="shared" si="7"/>
        <v>0</v>
      </c>
    </row>
    <row r="147" spans="2:7">
      <c r="B147" s="218"/>
      <c r="C147" s="222" t="s">
        <v>155</v>
      </c>
      <c r="D147" s="1228" t="s">
        <v>66</v>
      </c>
      <c r="E147" s="214">
        <v>1</v>
      </c>
      <c r="F147" s="1599">
        <v>0</v>
      </c>
      <c r="G147" s="221">
        <f t="shared" si="7"/>
        <v>0</v>
      </c>
    </row>
    <row r="148" spans="2:7">
      <c r="B148" s="218"/>
      <c r="C148" s="222" t="s">
        <v>330</v>
      </c>
      <c r="D148" s="1228" t="s">
        <v>66</v>
      </c>
      <c r="E148" s="214">
        <v>1</v>
      </c>
      <c r="F148" s="1599">
        <v>0</v>
      </c>
      <c r="G148" s="221">
        <f t="shared" si="7"/>
        <v>0</v>
      </c>
    </row>
    <row r="149" spans="2:7">
      <c r="B149" s="218"/>
      <c r="C149" s="222" t="s">
        <v>157</v>
      </c>
      <c r="D149" s="1228" t="s">
        <v>66</v>
      </c>
      <c r="E149" s="214">
        <v>1</v>
      </c>
      <c r="F149" s="1599">
        <v>0</v>
      </c>
      <c r="G149" s="221">
        <f t="shared" si="7"/>
        <v>0</v>
      </c>
    </row>
    <row r="150" spans="2:7">
      <c r="B150" s="218"/>
      <c r="C150" s="234" t="s">
        <v>158</v>
      </c>
      <c r="D150" s="1228" t="s">
        <v>66</v>
      </c>
      <c r="E150" s="214">
        <v>1</v>
      </c>
      <c r="F150" s="1599">
        <v>0</v>
      </c>
      <c r="G150" s="221">
        <f t="shared" si="7"/>
        <v>0</v>
      </c>
    </row>
    <row r="151" spans="2:7">
      <c r="B151" s="218"/>
      <c r="C151" s="234" t="s">
        <v>190</v>
      </c>
      <c r="D151" s="1228" t="s">
        <v>66</v>
      </c>
      <c r="E151" s="214">
        <v>1</v>
      </c>
      <c r="F151" s="1599">
        <v>0</v>
      </c>
      <c r="G151" s="221">
        <f t="shared" si="7"/>
        <v>0</v>
      </c>
    </row>
    <row r="152" spans="2:7">
      <c r="B152" s="218"/>
      <c r="C152" s="234" t="s">
        <v>132</v>
      </c>
      <c r="D152" s="1228" t="s">
        <v>66</v>
      </c>
      <c r="E152" s="214">
        <v>2</v>
      </c>
      <c r="F152" s="1599">
        <v>0</v>
      </c>
      <c r="G152" s="221">
        <f t="shared" si="7"/>
        <v>0</v>
      </c>
    </row>
    <row r="153" spans="2:7">
      <c r="B153" s="218"/>
      <c r="C153" s="234" t="s">
        <v>148</v>
      </c>
      <c r="D153" s="1228" t="s">
        <v>66</v>
      </c>
      <c r="E153" s="214">
        <v>2</v>
      </c>
      <c r="F153" s="1599">
        <v>0</v>
      </c>
      <c r="G153" s="221">
        <f t="shared" si="7"/>
        <v>0</v>
      </c>
    </row>
    <row r="154" spans="2:7">
      <c r="B154" s="218"/>
      <c r="C154" s="234" t="s">
        <v>150</v>
      </c>
      <c r="D154" s="1228" t="s">
        <v>66</v>
      </c>
      <c r="E154" s="214">
        <v>1</v>
      </c>
      <c r="F154" s="1599">
        <v>0</v>
      </c>
      <c r="G154" s="221">
        <f t="shared" si="7"/>
        <v>0</v>
      </c>
    </row>
    <row r="155" spans="2:7">
      <c r="B155" s="218"/>
      <c r="C155" s="235" t="s">
        <v>135</v>
      </c>
      <c r="D155" s="1228" t="s">
        <v>66</v>
      </c>
      <c r="E155" s="214">
        <v>1</v>
      </c>
      <c r="F155" s="1599">
        <v>0</v>
      </c>
      <c r="G155" s="221">
        <f t="shared" si="7"/>
        <v>0</v>
      </c>
    </row>
    <row r="156" spans="2:7" ht="24">
      <c r="B156" s="199" t="s">
        <v>331</v>
      </c>
      <c r="C156" s="212" t="s">
        <v>332</v>
      </c>
      <c r="D156" s="2239" t="s">
        <v>66</v>
      </c>
      <c r="E156" s="736">
        <v>1</v>
      </c>
      <c r="F156" s="1126">
        <v>0</v>
      </c>
      <c r="G156" s="1121">
        <f>E156*F156</f>
        <v>0</v>
      </c>
    </row>
    <row r="157" spans="2:7">
      <c r="B157" s="201" t="s">
        <v>168</v>
      </c>
      <c r="C157" s="223" t="s">
        <v>886</v>
      </c>
      <c r="D157" s="1232"/>
      <c r="E157" s="225"/>
      <c r="F157" s="226"/>
      <c r="G157" s="227"/>
    </row>
    <row r="158" spans="2:7">
      <c r="B158" s="218"/>
      <c r="C158" s="223" t="s">
        <v>220</v>
      </c>
      <c r="D158" s="2240"/>
      <c r="E158" s="738"/>
      <c r="F158" s="1605"/>
      <c r="G158" s="1608"/>
    </row>
    <row r="159" spans="2:7" ht="24">
      <c r="B159" s="218"/>
      <c r="C159" s="228" t="s">
        <v>2249</v>
      </c>
      <c r="D159" s="1232" t="s">
        <v>66</v>
      </c>
      <c r="E159" s="225">
        <v>1</v>
      </c>
      <c r="F159" s="1768">
        <v>0</v>
      </c>
      <c r="G159" s="1714">
        <f t="shared" ref="G159:G163" si="8">E159*F159</f>
        <v>0</v>
      </c>
    </row>
    <row r="160" spans="2:7">
      <c r="B160" s="218"/>
      <c r="C160" s="739" t="s">
        <v>184</v>
      </c>
      <c r="D160" s="1232" t="s">
        <v>66</v>
      </c>
      <c r="E160" s="225">
        <v>2</v>
      </c>
      <c r="F160" s="1768">
        <v>0</v>
      </c>
      <c r="G160" s="1714">
        <f t="shared" si="8"/>
        <v>0</v>
      </c>
    </row>
    <row r="161" spans="2:8">
      <c r="B161" s="218"/>
      <c r="C161" s="739" t="s">
        <v>132</v>
      </c>
      <c r="D161" s="1232" t="s">
        <v>66</v>
      </c>
      <c r="E161" s="225">
        <v>1</v>
      </c>
      <c r="F161" s="1768">
        <v>0</v>
      </c>
      <c r="G161" s="1714">
        <f t="shared" si="8"/>
        <v>0</v>
      </c>
    </row>
    <row r="162" spans="2:8">
      <c r="B162" s="218"/>
      <c r="C162" s="739" t="s">
        <v>150</v>
      </c>
      <c r="D162" s="1232" t="s">
        <v>66</v>
      </c>
      <c r="E162" s="225">
        <v>1</v>
      </c>
      <c r="F162" s="1768">
        <v>0</v>
      </c>
      <c r="G162" s="1714">
        <f t="shared" si="8"/>
        <v>0</v>
      </c>
    </row>
    <row r="163" spans="2:8">
      <c r="B163" s="218"/>
      <c r="C163" s="740" t="s">
        <v>135</v>
      </c>
      <c r="D163" s="1232" t="s">
        <v>66</v>
      </c>
      <c r="E163" s="225">
        <v>1</v>
      </c>
      <c r="F163" s="1768">
        <v>0</v>
      </c>
      <c r="G163" s="1714">
        <f t="shared" si="8"/>
        <v>0</v>
      </c>
    </row>
    <row r="164" spans="2:8">
      <c r="B164" s="218"/>
      <c r="C164" s="223" t="s">
        <v>1465</v>
      </c>
      <c r="D164" s="2240"/>
      <c r="E164" s="738"/>
      <c r="F164" s="1605"/>
      <c r="G164" s="1646"/>
    </row>
    <row r="165" spans="2:8" s="217" customFormat="1">
      <c r="B165" s="218"/>
      <c r="C165" s="1655" t="s">
        <v>148</v>
      </c>
      <c r="D165" s="1232" t="s">
        <v>66</v>
      </c>
      <c r="E165" s="225">
        <v>1</v>
      </c>
      <c r="F165" s="1768">
        <v>0</v>
      </c>
      <c r="G165" s="1714">
        <f t="shared" ref="G165:G169" si="9">E165*F165</f>
        <v>0</v>
      </c>
      <c r="H165" s="1703"/>
    </row>
    <row r="166" spans="2:8" s="217" customFormat="1">
      <c r="B166" s="218"/>
      <c r="C166" s="1655" t="s">
        <v>2257</v>
      </c>
      <c r="D166" s="1232" t="s">
        <v>66</v>
      </c>
      <c r="E166" s="225">
        <v>1</v>
      </c>
      <c r="F166" s="1768">
        <v>0</v>
      </c>
      <c r="G166" s="1714">
        <f t="shared" si="9"/>
        <v>0</v>
      </c>
      <c r="H166" s="1703"/>
    </row>
    <row r="167" spans="2:8" s="217" customFormat="1">
      <c r="B167" s="218"/>
      <c r="C167" s="1655" t="s">
        <v>230</v>
      </c>
      <c r="D167" s="1232" t="s">
        <v>66</v>
      </c>
      <c r="E167" s="225">
        <v>2</v>
      </c>
      <c r="F167" s="1768">
        <v>0</v>
      </c>
      <c r="G167" s="1714">
        <f t="shared" si="9"/>
        <v>0</v>
      </c>
      <c r="H167" s="1703"/>
    </row>
    <row r="168" spans="2:8" s="217" customFormat="1">
      <c r="B168" s="218"/>
      <c r="C168" s="1655" t="s">
        <v>2255</v>
      </c>
      <c r="D168" s="1232" t="s">
        <v>66</v>
      </c>
      <c r="E168" s="225">
        <v>1</v>
      </c>
      <c r="F168" s="1768">
        <v>0</v>
      </c>
      <c r="G168" s="1714">
        <f t="shared" si="9"/>
        <v>0</v>
      </c>
      <c r="H168" s="1703"/>
    </row>
    <row r="169" spans="2:8" s="217" customFormat="1">
      <c r="B169" s="218"/>
      <c r="C169" s="1655" t="s">
        <v>1444</v>
      </c>
      <c r="D169" s="1232" t="s">
        <v>66</v>
      </c>
      <c r="E169" s="225">
        <v>1</v>
      </c>
      <c r="F169" s="1768">
        <v>0</v>
      </c>
      <c r="G169" s="1714">
        <f t="shared" si="9"/>
        <v>0</v>
      </c>
      <c r="H169" s="1703"/>
    </row>
    <row r="170" spans="2:8">
      <c r="B170" s="218"/>
      <c r="C170" s="223" t="s">
        <v>1395</v>
      </c>
      <c r="D170" s="2240"/>
      <c r="E170" s="738"/>
      <c r="F170" s="1605"/>
      <c r="G170" s="1646"/>
    </row>
    <row r="171" spans="2:8" s="217" customFormat="1">
      <c r="B171" s="218"/>
      <c r="C171" s="1655" t="s">
        <v>230</v>
      </c>
      <c r="D171" s="1232" t="s">
        <v>66</v>
      </c>
      <c r="E171" s="225">
        <v>2</v>
      </c>
      <c r="F171" s="1768">
        <v>0</v>
      </c>
      <c r="G171" s="1714">
        <f t="shared" ref="G171:G173" si="10">E171*F171</f>
        <v>0</v>
      </c>
      <c r="H171" s="1703"/>
    </row>
    <row r="172" spans="2:8" s="217" customFormat="1">
      <c r="B172" s="218"/>
      <c r="C172" s="1655" t="s">
        <v>2255</v>
      </c>
      <c r="D172" s="1232" t="s">
        <v>66</v>
      </c>
      <c r="E172" s="225">
        <v>2</v>
      </c>
      <c r="F172" s="1768">
        <v>0</v>
      </c>
      <c r="G172" s="1714">
        <f t="shared" si="10"/>
        <v>0</v>
      </c>
      <c r="H172" s="1703"/>
    </row>
    <row r="173" spans="2:8" s="217" customFormat="1">
      <c r="B173" s="218"/>
      <c r="C173" s="1655" t="s">
        <v>1444</v>
      </c>
      <c r="D173" s="1232" t="s">
        <v>66</v>
      </c>
      <c r="E173" s="225">
        <v>2</v>
      </c>
      <c r="F173" s="1768">
        <v>0</v>
      </c>
      <c r="G173" s="1714">
        <f t="shared" si="10"/>
        <v>0</v>
      </c>
      <c r="H173" s="1703"/>
    </row>
    <row r="174" spans="2:8">
      <c r="B174" s="201" t="s">
        <v>172</v>
      </c>
      <c r="C174" s="238" t="s">
        <v>169</v>
      </c>
      <c r="D174" s="260"/>
      <c r="E174" s="240"/>
      <c r="F174" s="241"/>
      <c r="G174" s="242"/>
    </row>
    <row r="175" spans="2:8">
      <c r="B175" s="218"/>
      <c r="C175" s="238" t="s">
        <v>170</v>
      </c>
      <c r="D175" s="185"/>
      <c r="E175" s="741"/>
      <c r="F175" s="1611"/>
      <c r="G175" s="263"/>
    </row>
    <row r="176" spans="2:8" ht="36">
      <c r="B176" s="218"/>
      <c r="C176" s="243" t="s">
        <v>2246</v>
      </c>
      <c r="D176" s="260" t="s">
        <v>66</v>
      </c>
      <c r="E176" s="240">
        <v>4</v>
      </c>
      <c r="F176" s="1609">
        <v>0</v>
      </c>
      <c r="G176" s="245">
        <f t="shared" ref="G176:G183" si="11">E176*F176</f>
        <v>0</v>
      </c>
    </row>
    <row r="177" spans="2:7">
      <c r="B177" s="218"/>
      <c r="C177" s="1129" t="s">
        <v>171</v>
      </c>
      <c r="D177" s="260" t="s">
        <v>66</v>
      </c>
      <c r="E177" s="240">
        <v>4</v>
      </c>
      <c r="F177" s="1609">
        <v>0</v>
      </c>
      <c r="G177" s="245">
        <f t="shared" si="11"/>
        <v>0</v>
      </c>
    </row>
    <row r="178" spans="2:7">
      <c r="B178" s="218"/>
      <c r="C178" s="1130" t="s">
        <v>135</v>
      </c>
      <c r="D178" s="260" t="s">
        <v>66</v>
      </c>
      <c r="E178" s="240">
        <v>4</v>
      </c>
      <c r="F178" s="1609">
        <v>0</v>
      </c>
      <c r="G178" s="245">
        <f t="shared" si="11"/>
        <v>0</v>
      </c>
    </row>
    <row r="179" spans="2:7">
      <c r="B179" s="218"/>
      <c r="C179" s="238" t="s">
        <v>234</v>
      </c>
      <c r="D179" s="185"/>
      <c r="E179" s="741"/>
      <c r="F179" s="1609"/>
      <c r="G179" s="245"/>
    </row>
    <row r="180" spans="2:7" ht="36">
      <c r="B180" s="218"/>
      <c r="C180" s="243" t="s">
        <v>2245</v>
      </c>
      <c r="D180" s="260" t="s">
        <v>66</v>
      </c>
      <c r="E180" s="240">
        <v>9</v>
      </c>
      <c r="F180" s="1609">
        <v>0</v>
      </c>
      <c r="G180" s="245">
        <f t="shared" si="11"/>
        <v>0</v>
      </c>
    </row>
    <row r="181" spans="2:7">
      <c r="B181" s="218"/>
      <c r="C181" s="246" t="s">
        <v>171</v>
      </c>
      <c r="D181" s="260" t="s">
        <v>66</v>
      </c>
      <c r="E181" s="240">
        <v>9</v>
      </c>
      <c r="F181" s="1609">
        <v>0</v>
      </c>
      <c r="G181" s="245">
        <f t="shared" si="11"/>
        <v>0</v>
      </c>
    </row>
    <row r="182" spans="2:7">
      <c r="B182" s="218"/>
      <c r="C182" s="247" t="s">
        <v>135</v>
      </c>
      <c r="D182" s="260" t="s">
        <v>66</v>
      </c>
      <c r="E182" s="240">
        <v>9</v>
      </c>
      <c r="F182" s="1609">
        <v>0</v>
      </c>
      <c r="G182" s="245">
        <f t="shared" si="11"/>
        <v>0</v>
      </c>
    </row>
    <row r="183" spans="2:7">
      <c r="B183" s="218"/>
      <c r="C183" s="247" t="s">
        <v>891</v>
      </c>
      <c r="D183" s="260" t="s">
        <v>66</v>
      </c>
      <c r="E183" s="240">
        <v>9</v>
      </c>
      <c r="F183" s="1609">
        <v>0</v>
      </c>
      <c r="G183" s="245">
        <f t="shared" si="11"/>
        <v>0</v>
      </c>
    </row>
    <row r="184" spans="2:7">
      <c r="B184" s="201" t="s">
        <v>340</v>
      </c>
      <c r="C184" s="742" t="s">
        <v>173</v>
      </c>
      <c r="D184" s="743"/>
      <c r="E184" s="744"/>
      <c r="F184" s="1131"/>
      <c r="G184" s="1132"/>
    </row>
    <row r="185" spans="2:7" ht="60">
      <c r="B185" s="218"/>
      <c r="C185" s="745" t="s">
        <v>174</v>
      </c>
      <c r="D185" s="743" t="s">
        <v>66</v>
      </c>
      <c r="E185" s="747">
        <v>1</v>
      </c>
      <c r="F185" s="1617">
        <v>0</v>
      </c>
      <c r="G185" s="1132">
        <f>E185*F185</f>
        <v>0</v>
      </c>
    </row>
    <row r="186" spans="2:7">
      <c r="B186" s="258" t="s">
        <v>47</v>
      </c>
      <c r="C186" s="259" t="s">
        <v>1396</v>
      </c>
      <c r="D186" s="260"/>
      <c r="E186" s="261"/>
      <c r="F186" s="262"/>
      <c r="G186" s="263">
        <f>SUM(G81:G185)</f>
        <v>0</v>
      </c>
    </row>
  </sheetData>
  <mergeCells count="6">
    <mergeCell ref="B87:B90"/>
    <mergeCell ref="B45:G45"/>
    <mergeCell ref="B53:B54"/>
    <mergeCell ref="B76:G76"/>
    <mergeCell ref="B77:G77"/>
    <mergeCell ref="B78:G7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2589-FFEB-4454-ACC8-9BD473DCEB53}">
  <sheetPr>
    <tabColor rgb="FF00B0F0"/>
  </sheetPr>
  <dimension ref="A2:Y232"/>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1474</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1475</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1476</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G69</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G232</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916</v>
      </c>
      <c r="F26" s="1082">
        <v>0</v>
      </c>
      <c r="G26" s="1083">
        <f t="shared" ref="G26" si="0">E26*F26</f>
        <v>0</v>
      </c>
    </row>
    <row r="27" spans="2:25">
      <c r="B27" s="125">
        <v>2</v>
      </c>
      <c r="C27" s="144" t="s">
        <v>58</v>
      </c>
      <c r="D27" s="140" t="s">
        <v>57</v>
      </c>
      <c r="E27" s="1081">
        <f>E26</f>
        <v>916</v>
      </c>
      <c r="F27" s="1082">
        <v>0</v>
      </c>
      <c r="G27" s="1083">
        <f>E27*F27</f>
        <v>0</v>
      </c>
    </row>
    <row r="28" spans="2:25" ht="51.75" customHeight="1">
      <c r="B28" s="125">
        <v>3</v>
      </c>
      <c r="C28" s="144" t="s">
        <v>245</v>
      </c>
      <c r="D28" s="140" t="s">
        <v>60</v>
      </c>
      <c r="E28" s="1081">
        <v>1</v>
      </c>
      <c r="F28" s="1082">
        <v>0</v>
      </c>
      <c r="G28" s="1083">
        <f t="shared" ref="G28:G38" si="1">E28*F28</f>
        <v>0</v>
      </c>
    </row>
    <row r="29" spans="2:25" ht="124.5" customHeight="1">
      <c r="B29" s="125">
        <v>4</v>
      </c>
      <c r="C29" s="144" t="s">
        <v>61</v>
      </c>
      <c r="D29" s="145" t="s">
        <v>60</v>
      </c>
      <c r="E29" s="1081">
        <v>1</v>
      </c>
      <c r="F29" s="1082">
        <v>0</v>
      </c>
      <c r="G29" s="1083">
        <f t="shared" si="1"/>
        <v>0</v>
      </c>
    </row>
    <row r="30" spans="2:25" ht="24">
      <c r="B30" s="125">
        <v>5</v>
      </c>
      <c r="C30" s="144" t="s">
        <v>1389</v>
      </c>
      <c r="D30" s="146" t="s">
        <v>60</v>
      </c>
      <c r="E30" s="1081">
        <v>4</v>
      </c>
      <c r="F30" s="1082">
        <v>0</v>
      </c>
      <c r="G30" s="1083">
        <f t="shared" si="1"/>
        <v>0</v>
      </c>
    </row>
    <row r="31" spans="2:25" ht="27.75" customHeight="1">
      <c r="B31" s="125">
        <v>6</v>
      </c>
      <c r="C31" s="1084" t="s">
        <v>63</v>
      </c>
      <c r="D31" s="140" t="s">
        <v>57</v>
      </c>
      <c r="E31" s="1081">
        <f>E26</f>
        <v>916</v>
      </c>
      <c r="F31" s="1082">
        <v>0</v>
      </c>
      <c r="G31" s="1083">
        <f t="shared" si="1"/>
        <v>0</v>
      </c>
    </row>
    <row r="32" spans="2:25" ht="52.5" customHeight="1">
      <c r="B32" s="125">
        <v>7</v>
      </c>
      <c r="C32" s="1084" t="s">
        <v>64</v>
      </c>
      <c r="D32" s="146" t="s">
        <v>60</v>
      </c>
      <c r="E32" s="1081">
        <v>1</v>
      </c>
      <c r="F32" s="1082">
        <v>0</v>
      </c>
      <c r="G32" s="1083">
        <f t="shared" si="1"/>
        <v>0</v>
      </c>
    </row>
    <row r="33" spans="1:25" ht="55.5" customHeight="1">
      <c r="B33" s="125">
        <v>8</v>
      </c>
      <c r="C33" s="1080" t="s">
        <v>2292</v>
      </c>
      <c r="D33" s="146" t="s">
        <v>66</v>
      </c>
      <c r="E33" s="1081">
        <v>21</v>
      </c>
      <c r="F33" s="1082">
        <v>0</v>
      </c>
      <c r="G33" s="1083">
        <f t="shared" si="1"/>
        <v>0</v>
      </c>
    </row>
    <row r="34" spans="1:25" ht="36">
      <c r="B34" s="125">
        <v>9</v>
      </c>
      <c r="C34" s="1080" t="s">
        <v>2295</v>
      </c>
      <c r="D34" s="146" t="s">
        <v>57</v>
      </c>
      <c r="E34" s="1081">
        <f>E26+E89+E90</f>
        <v>1245</v>
      </c>
      <c r="F34" s="1082">
        <v>0</v>
      </c>
      <c r="G34" s="1083">
        <f t="shared" si="1"/>
        <v>0</v>
      </c>
    </row>
    <row r="35" spans="1:25" ht="24">
      <c r="B35" s="125">
        <v>10</v>
      </c>
      <c r="C35" s="1080" t="s">
        <v>2293</v>
      </c>
      <c r="D35" s="146" t="s">
        <v>57</v>
      </c>
      <c r="E35" s="1081">
        <f>E26+E89+E90</f>
        <v>1245</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109.28</v>
      </c>
      <c r="F46" s="1092">
        <v>0</v>
      </c>
      <c r="G46" s="1093">
        <f t="shared" ref="G46:G67"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247.32</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1401.48</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1374</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916</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1099.2</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150*1.5*0.4</f>
        <v>90</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35</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266</v>
      </c>
      <c r="D54" s="140" t="s">
        <v>78</v>
      </c>
      <c r="E54" s="1094">
        <v>70</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1468</v>
      </c>
      <c r="D55" s="145" t="s">
        <v>78</v>
      </c>
      <c r="E55" s="1094">
        <v>5</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E47+E48-E51</f>
        <v>549.59999999999991</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549.59999999999991</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68.7</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2408">
        <v>14</v>
      </c>
      <c r="C59" s="177" t="s">
        <v>83</v>
      </c>
      <c r="D59" s="146" t="s">
        <v>252</v>
      </c>
      <c r="E59" s="1094">
        <v>2</v>
      </c>
      <c r="F59" s="1092">
        <v>0</v>
      </c>
      <c r="G59" s="1083">
        <f>E59*F59</f>
        <v>0</v>
      </c>
      <c r="I59" s="1"/>
      <c r="J59" s="1"/>
      <c r="K59" s="1"/>
      <c r="L59" s="1"/>
      <c r="M59" s="1"/>
      <c r="N59" s="1"/>
      <c r="O59" s="1"/>
      <c r="P59" s="1"/>
      <c r="Q59" s="1"/>
      <c r="R59" s="1"/>
      <c r="S59" s="1"/>
      <c r="T59" s="1"/>
      <c r="U59" s="1"/>
      <c r="V59" s="1"/>
      <c r="W59" s="1"/>
      <c r="X59" s="1"/>
      <c r="Y59" s="1"/>
    </row>
    <row r="60" spans="1:25" s="8" customFormat="1" ht="12.75" customHeight="1">
      <c r="A60" s="1"/>
      <c r="B60" s="2608"/>
      <c r="C60" s="178" t="s">
        <v>84</v>
      </c>
      <c r="D60" s="146" t="s">
        <v>57</v>
      </c>
      <c r="E60" s="1094">
        <v>18</v>
      </c>
      <c r="F60" s="1082"/>
      <c r="G60" s="1083"/>
      <c r="I60" s="1"/>
      <c r="J60" s="1"/>
      <c r="K60" s="1"/>
      <c r="L60" s="1"/>
      <c r="M60" s="1"/>
      <c r="N60" s="1"/>
      <c r="O60" s="1"/>
      <c r="P60" s="1"/>
      <c r="Q60" s="1"/>
      <c r="R60" s="1"/>
      <c r="S60" s="1"/>
      <c r="T60" s="1"/>
      <c r="U60" s="1"/>
      <c r="V60" s="1"/>
      <c r="W60" s="1"/>
      <c r="X60" s="1"/>
      <c r="Y60" s="1"/>
    </row>
    <row r="61" spans="1:25" s="8" customFormat="1" ht="54.75" customHeight="1">
      <c r="A61" s="1"/>
      <c r="B61" s="2408">
        <v>15</v>
      </c>
      <c r="C61" s="722" t="s">
        <v>1477</v>
      </c>
      <c r="D61" s="194" t="s">
        <v>66</v>
      </c>
      <c r="E61" s="1091">
        <v>2</v>
      </c>
      <c r="F61" s="1092">
        <v>0</v>
      </c>
      <c r="G61" s="1093">
        <f t="shared" ref="G61" si="3">E61*F61</f>
        <v>0</v>
      </c>
      <c r="I61" s="1"/>
      <c r="J61" s="1"/>
      <c r="K61" s="1"/>
      <c r="L61" s="1"/>
      <c r="M61" s="1"/>
      <c r="N61" s="1"/>
      <c r="O61" s="1"/>
      <c r="P61" s="1"/>
      <c r="Q61" s="1"/>
      <c r="R61" s="1"/>
      <c r="S61" s="1"/>
      <c r="T61" s="1"/>
      <c r="U61" s="1"/>
      <c r="V61" s="1"/>
      <c r="W61" s="1"/>
      <c r="X61" s="1"/>
      <c r="Y61" s="1"/>
    </row>
    <row r="62" spans="1:25" s="8" customFormat="1" ht="12.75" customHeight="1">
      <c r="A62" s="1"/>
      <c r="B62" s="2418"/>
      <c r="C62" s="722" t="s">
        <v>883</v>
      </c>
      <c r="D62" s="194" t="s">
        <v>57</v>
      </c>
      <c r="E62" s="1091">
        <v>11</v>
      </c>
      <c r="F62" s="1092">
        <v>0</v>
      </c>
      <c r="G62" s="1093"/>
      <c r="I62" s="1"/>
      <c r="J62" s="1"/>
      <c r="K62" s="1"/>
      <c r="L62" s="1"/>
      <c r="M62" s="1"/>
      <c r="N62" s="1"/>
      <c r="O62" s="1"/>
      <c r="P62" s="1"/>
      <c r="Q62" s="1"/>
      <c r="R62" s="1"/>
      <c r="S62" s="1"/>
      <c r="T62" s="1"/>
      <c r="U62" s="1"/>
      <c r="V62" s="1"/>
      <c r="W62" s="1"/>
      <c r="X62" s="1"/>
      <c r="Y62" s="1"/>
    </row>
    <row r="63" spans="1:25" s="8" customFormat="1" ht="12.75" customHeight="1">
      <c r="A63" s="1"/>
      <c r="B63" s="2418"/>
      <c r="C63" s="722" t="s">
        <v>1478</v>
      </c>
      <c r="D63" s="194" t="s">
        <v>57</v>
      </c>
      <c r="E63" s="1091">
        <v>16</v>
      </c>
      <c r="F63" s="1092">
        <v>0</v>
      </c>
      <c r="G63" s="1093"/>
      <c r="I63" s="1"/>
      <c r="J63" s="1"/>
      <c r="K63" s="1"/>
      <c r="L63" s="1"/>
      <c r="M63" s="1"/>
      <c r="N63" s="1"/>
      <c r="O63" s="1"/>
      <c r="P63" s="1"/>
      <c r="Q63" s="1"/>
      <c r="R63" s="1"/>
      <c r="S63" s="1"/>
      <c r="T63" s="1"/>
      <c r="U63" s="1"/>
      <c r="V63" s="1"/>
      <c r="W63" s="1"/>
      <c r="X63" s="1"/>
      <c r="Y63" s="1"/>
    </row>
    <row r="64" spans="1:25" s="8" customFormat="1" ht="40.5" customHeight="1">
      <c r="A64" s="1"/>
      <c r="B64" s="717">
        <v>16</v>
      </c>
      <c r="C64" s="1096" t="s">
        <v>1393</v>
      </c>
      <c r="D64" s="182" t="s">
        <v>74</v>
      </c>
      <c r="E64" s="1097">
        <v>6</v>
      </c>
      <c r="F64" s="1082">
        <v>0</v>
      </c>
      <c r="G64" s="1083">
        <f t="shared" si="2"/>
        <v>0</v>
      </c>
      <c r="I64" s="1"/>
      <c r="J64" s="1"/>
      <c r="K64" s="1"/>
      <c r="L64" s="1"/>
      <c r="M64" s="1"/>
      <c r="N64" s="1"/>
      <c r="O64" s="1"/>
      <c r="P64" s="1"/>
      <c r="Q64" s="1"/>
      <c r="R64" s="1"/>
      <c r="S64" s="1"/>
      <c r="T64" s="1"/>
      <c r="U64" s="1"/>
      <c r="V64" s="1"/>
      <c r="W64" s="1"/>
      <c r="X64" s="1"/>
      <c r="Y64" s="1"/>
    </row>
    <row r="65" spans="1:25" s="8" customFormat="1" ht="39" customHeight="1">
      <c r="A65" s="1"/>
      <c r="B65" s="717">
        <v>17</v>
      </c>
      <c r="C65" s="1096" t="s">
        <v>270</v>
      </c>
      <c r="D65" s="182" t="s">
        <v>66</v>
      </c>
      <c r="E65" s="1097">
        <v>50</v>
      </c>
      <c r="F65" s="1082">
        <v>0</v>
      </c>
      <c r="G65" s="1083">
        <f t="shared" si="2"/>
        <v>0</v>
      </c>
      <c r="I65" s="1"/>
      <c r="J65" s="1"/>
      <c r="K65" s="1"/>
      <c r="L65" s="1"/>
      <c r="M65" s="1"/>
      <c r="N65" s="1"/>
      <c r="O65" s="1"/>
      <c r="P65" s="1"/>
      <c r="Q65" s="1"/>
      <c r="R65" s="1"/>
      <c r="S65" s="1"/>
      <c r="T65" s="1"/>
      <c r="U65" s="1"/>
      <c r="V65" s="1"/>
      <c r="W65" s="1"/>
      <c r="X65" s="1"/>
      <c r="Y65" s="1"/>
    </row>
    <row r="66" spans="1:25" s="8" customFormat="1" ht="36">
      <c r="A66" s="1"/>
      <c r="B66" s="717">
        <v>18</v>
      </c>
      <c r="C66" s="1096" t="s">
        <v>99</v>
      </c>
      <c r="D66" s="182" t="s">
        <v>74</v>
      </c>
      <c r="E66" s="1097">
        <v>6</v>
      </c>
      <c r="F66" s="1082">
        <v>0</v>
      </c>
      <c r="G66" s="1083">
        <f t="shared" si="2"/>
        <v>0</v>
      </c>
      <c r="I66" s="1"/>
      <c r="J66" s="1"/>
      <c r="K66" s="1"/>
      <c r="L66" s="1"/>
      <c r="M66" s="1"/>
      <c r="N66" s="1"/>
      <c r="O66" s="1"/>
      <c r="P66" s="1"/>
      <c r="Q66" s="1"/>
      <c r="R66" s="1"/>
      <c r="S66" s="1"/>
      <c r="T66" s="1"/>
      <c r="U66" s="1"/>
      <c r="V66" s="1"/>
      <c r="W66" s="1"/>
      <c r="X66" s="1"/>
      <c r="Y66" s="1"/>
    </row>
    <row r="67" spans="1:25" s="8" customFormat="1" ht="27.75" customHeight="1">
      <c r="A67" s="1"/>
      <c r="B67" s="717">
        <v>19</v>
      </c>
      <c r="C67" s="1096" t="s">
        <v>100</v>
      </c>
      <c r="D67" s="182" t="s">
        <v>65</v>
      </c>
      <c r="E67" s="1097">
        <v>24</v>
      </c>
      <c r="F67" s="1082">
        <v>0</v>
      </c>
      <c r="G67" s="1083">
        <f t="shared" si="2"/>
        <v>0</v>
      </c>
      <c r="I67" s="1"/>
      <c r="J67" s="1"/>
      <c r="K67" s="1"/>
      <c r="L67" s="1"/>
      <c r="M67" s="1"/>
      <c r="N67" s="1"/>
      <c r="O67" s="1"/>
      <c r="P67" s="1"/>
      <c r="Q67" s="1"/>
      <c r="R67" s="1"/>
      <c r="S67" s="1"/>
      <c r="T67" s="1"/>
      <c r="U67" s="1"/>
      <c r="V67" s="1"/>
      <c r="W67" s="1"/>
      <c r="X67" s="1"/>
      <c r="Y67" s="1"/>
    </row>
    <row r="68" spans="1:25" s="8" customFormat="1">
      <c r="A68" s="1"/>
      <c r="B68" s="167"/>
      <c r="C68" s="1098"/>
      <c r="D68" s="1099"/>
      <c r="E68" s="1100"/>
      <c r="F68" s="1101"/>
      <c r="G68" s="1102"/>
      <c r="I68" s="1"/>
      <c r="J68" s="1"/>
      <c r="K68" s="1"/>
      <c r="L68" s="1"/>
      <c r="M68" s="1"/>
      <c r="N68" s="1"/>
      <c r="O68" s="1"/>
      <c r="P68" s="1"/>
      <c r="Q68" s="1"/>
      <c r="R68" s="1"/>
      <c r="S68" s="1"/>
      <c r="T68" s="1"/>
      <c r="U68" s="1"/>
      <c r="V68" s="1"/>
      <c r="W68" s="1"/>
      <c r="X68" s="1"/>
      <c r="Y68" s="1"/>
    </row>
    <row r="69" spans="1:25" s="8" customFormat="1">
      <c r="A69" s="1"/>
      <c r="B69" s="151" t="s">
        <v>45</v>
      </c>
      <c r="C69" s="1086" t="s">
        <v>101</v>
      </c>
      <c r="D69" s="1103"/>
      <c r="E69" s="1088"/>
      <c r="F69" s="1089"/>
      <c r="G69" s="263">
        <f>SUM(G46:G67)</f>
        <v>0</v>
      </c>
      <c r="I69" s="1"/>
      <c r="J69" s="1"/>
      <c r="K69" s="1"/>
      <c r="L69" s="1"/>
      <c r="M69" s="1"/>
      <c r="N69" s="1"/>
      <c r="O69" s="1"/>
      <c r="P69" s="1"/>
      <c r="Q69" s="1"/>
      <c r="R69" s="1"/>
      <c r="S69" s="1"/>
      <c r="T69" s="1"/>
      <c r="U69" s="1"/>
      <c r="V69" s="1"/>
      <c r="W69" s="1"/>
      <c r="X69" s="1"/>
      <c r="Y69" s="1"/>
    </row>
    <row r="70" spans="1:25" s="8" customFormat="1">
      <c r="A70" s="1"/>
      <c r="B70" s="67"/>
      <c r="C70" s="68"/>
      <c r="D70" s="1188"/>
      <c r="E70" s="1104"/>
      <c r="F70" s="1105"/>
      <c r="G70" s="1106"/>
      <c r="I70" s="1"/>
      <c r="J70" s="1"/>
      <c r="K70" s="1"/>
      <c r="L70" s="1"/>
      <c r="M70" s="1"/>
      <c r="N70" s="1"/>
      <c r="O70" s="1"/>
      <c r="P70" s="1"/>
      <c r="Q70" s="1"/>
      <c r="R70" s="1"/>
      <c r="S70" s="1"/>
      <c r="T70" s="1"/>
      <c r="U70" s="1"/>
      <c r="V70" s="1"/>
      <c r="W70" s="1"/>
      <c r="X70" s="1"/>
      <c r="Y70" s="1"/>
    </row>
    <row r="71" spans="1:25" s="8" customFormat="1" ht="24">
      <c r="A71" s="1"/>
      <c r="B71" s="119" t="s">
        <v>50</v>
      </c>
      <c r="C71" s="120" t="s">
        <v>51</v>
      </c>
      <c r="D71" s="120" t="s">
        <v>52</v>
      </c>
      <c r="E71" s="122" t="s">
        <v>53</v>
      </c>
      <c r="F71" s="123" t="s">
        <v>54</v>
      </c>
      <c r="G71" s="124" t="s">
        <v>55</v>
      </c>
      <c r="I71" s="1"/>
      <c r="J71" s="1"/>
      <c r="K71" s="1"/>
      <c r="L71" s="1"/>
      <c r="M71" s="1"/>
      <c r="N71" s="1"/>
      <c r="O71" s="1"/>
      <c r="P71" s="1"/>
      <c r="Q71" s="1"/>
      <c r="R71" s="1"/>
      <c r="S71" s="1"/>
      <c r="T71" s="1"/>
      <c r="U71" s="1"/>
      <c r="V71" s="1"/>
      <c r="W71" s="1"/>
      <c r="X71" s="1"/>
      <c r="Y71" s="1"/>
    </row>
    <row r="72" spans="1:25" s="8" customFormat="1">
      <c r="A72" s="1"/>
      <c r="B72" s="125"/>
      <c r="C72" s="126"/>
      <c r="D72" s="140"/>
      <c r="E72" s="719"/>
      <c r="F72" s="1107"/>
      <c r="G72" s="731"/>
      <c r="I72" s="1"/>
      <c r="J72" s="1"/>
      <c r="K72" s="1"/>
      <c r="L72" s="1"/>
      <c r="M72" s="1"/>
      <c r="N72" s="1"/>
      <c r="O72" s="1"/>
      <c r="P72" s="1"/>
      <c r="Q72" s="1"/>
      <c r="R72" s="1"/>
      <c r="S72" s="1"/>
      <c r="T72" s="1"/>
      <c r="U72" s="1"/>
      <c r="V72" s="1"/>
      <c r="W72" s="1"/>
      <c r="X72" s="1"/>
      <c r="Y72" s="1"/>
    </row>
    <row r="73" spans="1:25" s="8" customFormat="1" ht="20.25">
      <c r="A73" s="1"/>
      <c r="B73" s="186" t="s">
        <v>47</v>
      </c>
      <c r="C73" s="187" t="s">
        <v>48</v>
      </c>
      <c r="D73" s="165"/>
      <c r="E73" s="134"/>
      <c r="F73" s="135"/>
      <c r="G73" s="136"/>
      <c r="I73" s="1"/>
      <c r="J73" s="1"/>
      <c r="K73" s="1"/>
      <c r="L73" s="1"/>
      <c r="M73" s="1"/>
      <c r="N73" s="1"/>
      <c r="O73" s="1"/>
      <c r="P73" s="1"/>
      <c r="Q73" s="1"/>
      <c r="R73" s="1"/>
      <c r="S73" s="1"/>
      <c r="T73" s="1"/>
      <c r="U73" s="1"/>
      <c r="V73" s="1"/>
      <c r="W73" s="1"/>
      <c r="X73" s="1"/>
      <c r="Y73" s="1"/>
    </row>
    <row r="74" spans="1:25" s="8" customFormat="1">
      <c r="A74" s="1"/>
      <c r="B74" s="1108" t="s">
        <v>38</v>
      </c>
      <c r="C74" s="1109"/>
      <c r="D74" s="2235"/>
      <c r="E74" s="1109"/>
      <c r="F74" s="1109"/>
      <c r="G74" s="1110"/>
      <c r="I74" s="1"/>
      <c r="J74" s="1"/>
      <c r="K74" s="1"/>
      <c r="L74" s="1"/>
      <c r="M74" s="1"/>
      <c r="N74" s="1"/>
      <c r="O74" s="1"/>
      <c r="P74" s="1"/>
      <c r="Q74" s="1"/>
      <c r="R74" s="1"/>
      <c r="S74" s="1"/>
      <c r="T74" s="1"/>
      <c r="U74" s="1"/>
      <c r="V74" s="1"/>
      <c r="W74" s="1"/>
      <c r="X74" s="1"/>
      <c r="Y74" s="1"/>
    </row>
    <row r="75" spans="1:25" s="8" customFormat="1">
      <c r="A75" s="1"/>
      <c r="B75" s="1111" t="s">
        <v>39</v>
      </c>
      <c r="C75" s="1112"/>
      <c r="D75" s="2236"/>
      <c r="E75" s="1112"/>
      <c r="F75" s="1112"/>
      <c r="G75" s="1113"/>
      <c r="I75" s="1"/>
      <c r="J75" s="1"/>
      <c r="K75" s="1"/>
      <c r="L75" s="1"/>
      <c r="M75" s="1"/>
      <c r="N75" s="1"/>
      <c r="O75" s="1"/>
      <c r="P75" s="1"/>
      <c r="Q75" s="1"/>
      <c r="R75" s="1"/>
      <c r="S75" s="1"/>
      <c r="T75" s="1"/>
      <c r="U75" s="1"/>
      <c r="V75" s="1"/>
      <c r="W75" s="1"/>
      <c r="X75" s="1"/>
      <c r="Y75" s="1"/>
    </row>
    <row r="76" spans="1:25" s="8" customFormat="1">
      <c r="A76" s="1"/>
      <c r="B76" s="1108" t="s">
        <v>4</v>
      </c>
      <c r="C76" s="1109"/>
      <c r="D76" s="2237"/>
      <c r="E76" s="1109"/>
      <c r="F76" s="1109"/>
      <c r="G76" s="1110"/>
      <c r="I76" s="1"/>
      <c r="J76" s="1"/>
      <c r="K76" s="1"/>
      <c r="L76" s="1"/>
      <c r="M76" s="1"/>
      <c r="N76" s="1"/>
      <c r="O76" s="1"/>
      <c r="P76" s="1"/>
      <c r="Q76" s="1"/>
      <c r="R76" s="1"/>
      <c r="S76" s="1"/>
      <c r="T76" s="1"/>
      <c r="U76" s="1"/>
      <c r="V76" s="1"/>
      <c r="W76" s="1"/>
      <c r="X76" s="1"/>
      <c r="Y76" s="1"/>
    </row>
    <row r="77" spans="1:25" s="8" customFormat="1">
      <c r="A77" s="1"/>
      <c r="B77" s="1111" t="s">
        <v>5</v>
      </c>
      <c r="C77" s="1112"/>
      <c r="D77" s="2236"/>
      <c r="E77" s="1112"/>
      <c r="F77" s="1112"/>
      <c r="G77" s="1113"/>
      <c r="I77" s="1"/>
      <c r="J77" s="1"/>
      <c r="K77" s="1"/>
      <c r="L77" s="1"/>
      <c r="M77" s="1"/>
      <c r="N77" s="1"/>
      <c r="O77" s="1"/>
      <c r="P77" s="1"/>
      <c r="Q77" s="1"/>
      <c r="R77" s="1"/>
      <c r="S77" s="1"/>
      <c r="T77" s="1"/>
      <c r="U77" s="1"/>
      <c r="V77" s="1"/>
      <c r="W77" s="1"/>
      <c r="X77" s="1"/>
      <c r="Y77" s="1"/>
    </row>
    <row r="78" spans="1:25" s="8" customFormat="1">
      <c r="A78" s="1"/>
      <c r="B78" s="2399" t="s">
        <v>271</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2399" t="s">
        <v>104</v>
      </c>
      <c r="C79" s="2400"/>
      <c r="D79" s="2400"/>
      <c r="E79" s="2400"/>
      <c r="F79" s="2400"/>
      <c r="G79" s="2401"/>
      <c r="I79" s="1"/>
      <c r="J79" s="1"/>
      <c r="K79" s="1"/>
      <c r="L79" s="1"/>
      <c r="M79" s="1"/>
      <c r="N79" s="1"/>
      <c r="O79" s="1"/>
      <c r="P79" s="1"/>
      <c r="Q79" s="1"/>
      <c r="R79" s="1"/>
      <c r="S79" s="1"/>
      <c r="T79" s="1"/>
      <c r="U79" s="1"/>
      <c r="V79" s="1"/>
      <c r="W79" s="1"/>
      <c r="X79" s="1"/>
      <c r="Y79" s="1"/>
    </row>
    <row r="80" spans="1:25" s="8" customFormat="1">
      <c r="A80" s="1"/>
      <c r="B80" s="2399" t="s">
        <v>105</v>
      </c>
      <c r="C80" s="2400"/>
      <c r="D80" s="2400"/>
      <c r="E80" s="2400"/>
      <c r="F80" s="2400"/>
      <c r="G80" s="2401"/>
      <c r="I80" s="1"/>
      <c r="J80" s="1"/>
      <c r="K80" s="1"/>
      <c r="L80" s="1"/>
      <c r="M80" s="1"/>
      <c r="N80" s="1"/>
      <c r="O80" s="1"/>
      <c r="P80" s="1"/>
      <c r="Q80" s="1"/>
      <c r="R80" s="1"/>
      <c r="S80" s="1"/>
      <c r="T80" s="1"/>
      <c r="U80" s="1"/>
      <c r="V80" s="1"/>
      <c r="W80" s="1"/>
      <c r="X80" s="1"/>
      <c r="Y80" s="1"/>
    </row>
    <row r="81" spans="1:25" s="8" customFormat="1">
      <c r="A81" s="1"/>
      <c r="B81" s="1115"/>
      <c r="C81" s="1116"/>
      <c r="D81" s="2238"/>
      <c r="E81" s="1116"/>
      <c r="F81" s="1116"/>
      <c r="G81" s="1117"/>
      <c r="I81" s="1"/>
      <c r="J81" s="1"/>
      <c r="K81" s="1"/>
      <c r="L81" s="1"/>
      <c r="M81" s="1"/>
      <c r="N81" s="1"/>
      <c r="O81" s="1"/>
      <c r="P81" s="1"/>
      <c r="Q81" s="1"/>
      <c r="R81" s="1"/>
      <c r="S81" s="1"/>
      <c r="T81" s="1"/>
      <c r="U81" s="1"/>
      <c r="V81" s="1"/>
      <c r="W81" s="1"/>
      <c r="X81" s="1"/>
      <c r="Y81" s="1"/>
    </row>
    <row r="82" spans="1:25" ht="24">
      <c r="B82" s="188">
        <v>1</v>
      </c>
      <c r="C82" s="189" t="s">
        <v>106</v>
      </c>
      <c r="D82" s="190"/>
      <c r="E82" s="719"/>
      <c r="F82" s="1107"/>
      <c r="G82" s="731"/>
    </row>
    <row r="83" spans="1:25">
      <c r="B83" s="191"/>
      <c r="C83" s="271" t="s">
        <v>179</v>
      </c>
      <c r="D83" s="190" t="s">
        <v>57</v>
      </c>
      <c r="E83" s="719">
        <f>439*0.9</f>
        <v>395.1</v>
      </c>
      <c r="F83" s="1092">
        <v>0</v>
      </c>
      <c r="G83" s="1093">
        <f t="shared" ref="G83:G84" si="4">E83*F83</f>
        <v>0</v>
      </c>
    </row>
    <row r="84" spans="1:25">
      <c r="B84" s="191"/>
      <c r="C84" s="271" t="s">
        <v>180</v>
      </c>
      <c r="D84" s="190" t="s">
        <v>57</v>
      </c>
      <c r="E84" s="719">
        <f>439*0.1</f>
        <v>43.900000000000006</v>
      </c>
      <c r="F84" s="1092">
        <v>0</v>
      </c>
      <c r="G84" s="1093">
        <f t="shared" si="4"/>
        <v>0</v>
      </c>
    </row>
    <row r="85" spans="1:25">
      <c r="B85" s="191"/>
      <c r="C85" s="192" t="s">
        <v>107</v>
      </c>
      <c r="D85" s="190" t="s">
        <v>57</v>
      </c>
      <c r="E85" s="719">
        <f>171*0.9</f>
        <v>153.9</v>
      </c>
      <c r="F85" s="1092">
        <v>0</v>
      </c>
      <c r="G85" s="1093">
        <f>E85*F85</f>
        <v>0</v>
      </c>
    </row>
    <row r="86" spans="1:25" ht="24">
      <c r="B86" s="191"/>
      <c r="C86" s="192" t="s">
        <v>884</v>
      </c>
      <c r="D86" s="190" t="s">
        <v>57</v>
      </c>
      <c r="E86" s="719">
        <f>171*0.1</f>
        <v>17.100000000000001</v>
      </c>
      <c r="F86" s="1092">
        <v>0</v>
      </c>
      <c r="G86" s="1093">
        <f t="shared" ref="G86:G95" si="5">E86*F86</f>
        <v>0</v>
      </c>
    </row>
    <row r="87" spans="1:25">
      <c r="B87" s="191"/>
      <c r="C87" s="192" t="s">
        <v>226</v>
      </c>
      <c r="D87" s="190" t="s">
        <v>57</v>
      </c>
      <c r="E87" s="719">
        <f>306*0.9</f>
        <v>275.40000000000003</v>
      </c>
      <c r="F87" s="1092">
        <v>0</v>
      </c>
      <c r="G87" s="1093">
        <f t="shared" si="5"/>
        <v>0</v>
      </c>
    </row>
    <row r="88" spans="1:25" ht="24">
      <c r="B88" s="191"/>
      <c r="C88" s="192" t="s">
        <v>227</v>
      </c>
      <c r="D88" s="190" t="s">
        <v>57</v>
      </c>
      <c r="E88" s="719">
        <f>306*0.1</f>
        <v>30.6</v>
      </c>
      <c r="F88" s="1092">
        <v>0</v>
      </c>
      <c r="G88" s="1093">
        <f t="shared" si="5"/>
        <v>0</v>
      </c>
    </row>
    <row r="89" spans="1:25">
      <c r="B89" s="191"/>
      <c r="C89" s="192" t="s">
        <v>109</v>
      </c>
      <c r="D89" s="190" t="s">
        <v>57</v>
      </c>
      <c r="E89" s="719">
        <f>329*0.9</f>
        <v>296.10000000000002</v>
      </c>
      <c r="F89" s="1092">
        <v>0</v>
      </c>
      <c r="G89" s="1093">
        <f t="shared" si="5"/>
        <v>0</v>
      </c>
    </row>
    <row r="90" spans="1:25" ht="24">
      <c r="B90" s="191"/>
      <c r="C90" s="192" t="s">
        <v>110</v>
      </c>
      <c r="D90" s="190" t="s">
        <v>57</v>
      </c>
      <c r="E90" s="719">
        <f>329*0.1</f>
        <v>32.9</v>
      </c>
      <c r="F90" s="1092">
        <v>0</v>
      </c>
      <c r="G90" s="1093">
        <f t="shared" si="5"/>
        <v>0</v>
      </c>
    </row>
    <row r="91" spans="1:25" ht="36">
      <c r="B91" s="2404" t="s">
        <v>111</v>
      </c>
      <c r="C91" s="193" t="s">
        <v>112</v>
      </c>
      <c r="D91" s="194"/>
      <c r="E91" s="719"/>
      <c r="F91" s="1092"/>
      <c r="G91" s="1093"/>
    </row>
    <row r="92" spans="1:25">
      <c r="B92" s="2405"/>
      <c r="C92" s="195" t="s">
        <v>113</v>
      </c>
      <c r="D92" s="194" t="s">
        <v>57</v>
      </c>
      <c r="E92" s="719">
        <v>66</v>
      </c>
      <c r="F92" s="1092">
        <v>0</v>
      </c>
      <c r="G92" s="1093">
        <f>E92*F92</f>
        <v>0</v>
      </c>
    </row>
    <row r="93" spans="1:25">
      <c r="B93" s="2405"/>
      <c r="C93" s="195" t="s">
        <v>274</v>
      </c>
      <c r="D93" s="194" t="s">
        <v>57</v>
      </c>
      <c r="E93" s="719">
        <v>26</v>
      </c>
      <c r="F93" s="1092">
        <v>0</v>
      </c>
      <c r="G93" s="1093">
        <f>E93*F93</f>
        <v>0</v>
      </c>
    </row>
    <row r="94" spans="1:25">
      <c r="B94" s="2413"/>
      <c r="C94" s="195" t="s">
        <v>275</v>
      </c>
      <c r="D94" s="194" t="s">
        <v>57</v>
      </c>
      <c r="E94" s="719">
        <v>50</v>
      </c>
      <c r="F94" s="1092">
        <v>0</v>
      </c>
      <c r="G94" s="1093">
        <f>E94*F94</f>
        <v>0</v>
      </c>
    </row>
    <row r="95" spans="1:25" ht="36">
      <c r="B95" s="196">
        <v>2</v>
      </c>
      <c r="C95" s="197" t="s">
        <v>114</v>
      </c>
      <c r="D95" s="145" t="s">
        <v>57</v>
      </c>
      <c r="E95" s="732">
        <f>SUM(E83:E90)</f>
        <v>1245.0000000000002</v>
      </c>
      <c r="F95" s="1092">
        <v>0</v>
      </c>
      <c r="G95" s="1093">
        <f t="shared" si="5"/>
        <v>0</v>
      </c>
    </row>
    <row r="96" spans="1:25" ht="36">
      <c r="B96" s="199" t="s">
        <v>115</v>
      </c>
      <c r="C96" s="197" t="s">
        <v>116</v>
      </c>
      <c r="D96" s="145" t="s">
        <v>57</v>
      </c>
      <c r="E96" s="732">
        <f>E95</f>
        <v>1245.0000000000002</v>
      </c>
      <c r="F96" s="1092">
        <v>0</v>
      </c>
      <c r="G96" s="1093">
        <f>E96*F96</f>
        <v>0</v>
      </c>
    </row>
    <row r="97" spans="2:7" ht="24">
      <c r="B97" s="199" t="s">
        <v>117</v>
      </c>
      <c r="C97" s="197" t="s">
        <v>118</v>
      </c>
      <c r="D97" s="145" t="s">
        <v>57</v>
      </c>
      <c r="E97" s="732">
        <f>E95</f>
        <v>1245.0000000000002</v>
      </c>
      <c r="F97" s="1092">
        <v>0</v>
      </c>
      <c r="G97" s="1093">
        <f>E97*F97</f>
        <v>0</v>
      </c>
    </row>
    <row r="98" spans="2:7" ht="36">
      <c r="B98" s="199" t="s">
        <v>119</v>
      </c>
      <c r="C98" s="197" t="s">
        <v>120</v>
      </c>
      <c r="D98" s="145" t="s">
        <v>57</v>
      </c>
      <c r="E98" s="732">
        <f>E95</f>
        <v>1245.0000000000002</v>
      </c>
      <c r="F98" s="1092">
        <v>0</v>
      </c>
      <c r="G98" s="1093">
        <f>E98*F98</f>
        <v>0</v>
      </c>
    </row>
    <row r="99" spans="2:7" ht="24">
      <c r="B99" s="188">
        <v>3</v>
      </c>
      <c r="C99" s="200" t="s">
        <v>121</v>
      </c>
      <c r="D99" s="140"/>
      <c r="E99" s="719"/>
      <c r="F99" s="719"/>
      <c r="G99" s="731"/>
    </row>
    <row r="100" spans="2:7">
      <c r="B100" s="201" t="s">
        <v>122</v>
      </c>
      <c r="C100" s="202" t="s">
        <v>123</v>
      </c>
      <c r="D100" s="209"/>
      <c r="E100" s="204"/>
      <c r="F100" s="205"/>
      <c r="G100" s="206"/>
    </row>
    <row r="101" spans="2:7">
      <c r="B101" s="125"/>
      <c r="C101" s="202" t="s">
        <v>210</v>
      </c>
      <c r="D101" s="209"/>
      <c r="E101" s="204"/>
      <c r="F101" s="205"/>
      <c r="G101" s="206"/>
    </row>
    <row r="102" spans="2:7">
      <c r="B102" s="125"/>
      <c r="C102" s="280" t="s">
        <v>211</v>
      </c>
      <c r="D102" s="209" t="s">
        <v>66</v>
      </c>
      <c r="E102" s="204">
        <v>4</v>
      </c>
      <c r="F102" s="210">
        <v>0</v>
      </c>
      <c r="G102" s="211">
        <f t="shared" ref="G102:G107" si="6">E102*F102</f>
        <v>0</v>
      </c>
    </row>
    <row r="103" spans="2:7">
      <c r="B103" s="125"/>
      <c r="C103" s="280" t="s">
        <v>212</v>
      </c>
      <c r="D103" s="209" t="s">
        <v>66</v>
      </c>
      <c r="E103" s="204">
        <v>4</v>
      </c>
      <c r="F103" s="210">
        <v>0</v>
      </c>
      <c r="G103" s="211">
        <f t="shared" si="6"/>
        <v>0</v>
      </c>
    </row>
    <row r="104" spans="2:7">
      <c r="B104" s="125"/>
      <c r="C104" s="280" t="s">
        <v>885</v>
      </c>
      <c r="D104" s="209" t="s">
        <v>66</v>
      </c>
      <c r="E104" s="204">
        <v>1</v>
      </c>
      <c r="F104" s="210">
        <v>0</v>
      </c>
      <c r="G104" s="211">
        <f t="shared" si="6"/>
        <v>0</v>
      </c>
    </row>
    <row r="105" spans="2:7">
      <c r="B105" s="125"/>
      <c r="C105" s="280" t="s">
        <v>1479</v>
      </c>
      <c r="D105" s="209" t="s">
        <v>66</v>
      </c>
      <c r="E105" s="204">
        <v>3</v>
      </c>
      <c r="F105" s="210">
        <v>0</v>
      </c>
      <c r="G105" s="211">
        <f t="shared" si="6"/>
        <v>0</v>
      </c>
    </row>
    <row r="106" spans="2:7">
      <c r="B106" s="207"/>
      <c r="C106" s="208" t="s">
        <v>214</v>
      </c>
      <c r="D106" s="209" t="s">
        <v>66</v>
      </c>
      <c r="E106" s="204">
        <v>28</v>
      </c>
      <c r="F106" s="210">
        <v>0</v>
      </c>
      <c r="G106" s="211">
        <f t="shared" si="6"/>
        <v>0</v>
      </c>
    </row>
    <row r="107" spans="2:7">
      <c r="B107" s="207"/>
      <c r="C107" s="208" t="s">
        <v>1398</v>
      </c>
      <c r="D107" s="209" t="s">
        <v>66</v>
      </c>
      <c r="E107" s="204">
        <v>2</v>
      </c>
      <c r="F107" s="210">
        <v>0</v>
      </c>
      <c r="G107" s="211">
        <f t="shared" si="6"/>
        <v>0</v>
      </c>
    </row>
    <row r="108" spans="2:7">
      <c r="B108" s="201" t="s">
        <v>126</v>
      </c>
      <c r="C108" s="212" t="s">
        <v>127</v>
      </c>
      <c r="D108" s="1228"/>
      <c r="E108" s="214"/>
      <c r="F108" s="215">
        <v>0</v>
      </c>
      <c r="G108" s="216"/>
    </row>
    <row r="109" spans="2:7">
      <c r="B109" s="218"/>
      <c r="C109" s="212" t="s">
        <v>181</v>
      </c>
      <c r="D109" s="2239"/>
      <c r="E109" s="736"/>
      <c r="F109" s="1601"/>
      <c r="G109" s="1121"/>
    </row>
    <row r="110" spans="2:7">
      <c r="B110" s="218"/>
      <c r="C110" s="219" t="s">
        <v>182</v>
      </c>
      <c r="D110" s="1228" t="s">
        <v>66</v>
      </c>
      <c r="E110" s="214">
        <v>1</v>
      </c>
      <c r="F110" s="1599">
        <v>0</v>
      </c>
      <c r="G110" s="221">
        <f t="shared" ref="G110:G136" si="7">E110*F110</f>
        <v>0</v>
      </c>
    </row>
    <row r="111" spans="2:7" ht="36">
      <c r="B111" s="218"/>
      <c r="C111" s="222" t="s">
        <v>130</v>
      </c>
      <c r="D111" s="1228" t="s">
        <v>66</v>
      </c>
      <c r="E111" s="214">
        <v>1</v>
      </c>
      <c r="F111" s="1599">
        <v>0</v>
      </c>
      <c r="G111" s="221">
        <f t="shared" si="7"/>
        <v>0</v>
      </c>
    </row>
    <row r="112" spans="2:7">
      <c r="B112" s="218"/>
      <c r="C112" s="222" t="s">
        <v>183</v>
      </c>
      <c r="D112" s="1228" t="s">
        <v>66</v>
      </c>
      <c r="E112" s="214">
        <v>1</v>
      </c>
      <c r="F112" s="1599">
        <v>0</v>
      </c>
      <c r="G112" s="221">
        <f t="shared" si="7"/>
        <v>0</v>
      </c>
    </row>
    <row r="113" spans="2:7">
      <c r="B113" s="218"/>
      <c r="C113" s="222" t="s">
        <v>131</v>
      </c>
      <c r="D113" s="1228" t="s">
        <v>66</v>
      </c>
      <c r="E113" s="214">
        <v>1</v>
      </c>
      <c r="F113" s="1599">
        <v>0</v>
      </c>
      <c r="G113" s="221">
        <f t="shared" si="7"/>
        <v>0</v>
      </c>
    </row>
    <row r="114" spans="2:7">
      <c r="B114" s="218"/>
      <c r="C114" s="234" t="s">
        <v>184</v>
      </c>
      <c r="D114" s="1228" t="s">
        <v>66</v>
      </c>
      <c r="E114" s="214">
        <v>2</v>
      </c>
      <c r="F114" s="1599">
        <v>0</v>
      </c>
      <c r="G114" s="221">
        <f t="shared" si="7"/>
        <v>0</v>
      </c>
    </row>
    <row r="115" spans="2:7">
      <c r="B115" s="218"/>
      <c r="C115" s="234" t="s">
        <v>134</v>
      </c>
      <c r="D115" s="1228" t="s">
        <v>66</v>
      </c>
      <c r="E115" s="214">
        <v>1</v>
      </c>
      <c r="F115" s="1599">
        <v>0</v>
      </c>
      <c r="G115" s="221">
        <f t="shared" si="7"/>
        <v>0</v>
      </c>
    </row>
    <row r="116" spans="2:7">
      <c r="B116" s="218"/>
      <c r="C116" s="235" t="s">
        <v>135</v>
      </c>
      <c r="D116" s="1228" t="s">
        <v>66</v>
      </c>
      <c r="E116" s="214">
        <v>1</v>
      </c>
      <c r="F116" s="1599">
        <v>0</v>
      </c>
      <c r="G116" s="221">
        <f t="shared" si="7"/>
        <v>0</v>
      </c>
    </row>
    <row r="117" spans="2:7">
      <c r="B117" s="218"/>
      <c r="C117" s="212" t="s">
        <v>128</v>
      </c>
      <c r="D117" s="2239"/>
      <c r="E117" s="736"/>
      <c r="F117" s="1599"/>
      <c r="G117" s="221"/>
    </row>
    <row r="118" spans="2:7">
      <c r="B118" s="218"/>
      <c r="C118" s="219" t="s">
        <v>129</v>
      </c>
      <c r="D118" s="1228" t="s">
        <v>66</v>
      </c>
      <c r="E118" s="214">
        <v>1</v>
      </c>
      <c r="F118" s="1599">
        <v>0</v>
      </c>
      <c r="G118" s="221">
        <f t="shared" si="7"/>
        <v>0</v>
      </c>
    </row>
    <row r="119" spans="2:7" ht="36">
      <c r="B119" s="218"/>
      <c r="C119" s="222" t="s">
        <v>130</v>
      </c>
      <c r="D119" s="1228" t="s">
        <v>66</v>
      </c>
      <c r="E119" s="214">
        <v>1</v>
      </c>
      <c r="F119" s="1599">
        <v>0</v>
      </c>
      <c r="G119" s="221">
        <f t="shared" si="7"/>
        <v>0</v>
      </c>
    </row>
    <row r="120" spans="2:7">
      <c r="B120" s="218"/>
      <c r="C120" s="222" t="s">
        <v>183</v>
      </c>
      <c r="D120" s="1228" t="s">
        <v>66</v>
      </c>
      <c r="E120" s="214">
        <v>1</v>
      </c>
      <c r="F120" s="1599">
        <v>0</v>
      </c>
      <c r="G120" s="221">
        <f t="shared" si="7"/>
        <v>0</v>
      </c>
    </row>
    <row r="121" spans="2:7">
      <c r="B121" s="218"/>
      <c r="C121" s="222" t="s">
        <v>131</v>
      </c>
      <c r="D121" s="1228" t="s">
        <v>66</v>
      </c>
      <c r="E121" s="214">
        <v>1</v>
      </c>
      <c r="F121" s="1599">
        <v>0</v>
      </c>
      <c r="G121" s="221">
        <f t="shared" si="7"/>
        <v>0</v>
      </c>
    </row>
    <row r="122" spans="2:7">
      <c r="B122" s="218"/>
      <c r="C122" s="222" t="s">
        <v>132</v>
      </c>
      <c r="D122" s="1228" t="s">
        <v>66</v>
      </c>
      <c r="E122" s="214">
        <v>2</v>
      </c>
      <c r="F122" s="1599">
        <v>0</v>
      </c>
      <c r="G122" s="221">
        <f t="shared" si="7"/>
        <v>0</v>
      </c>
    </row>
    <row r="123" spans="2:7">
      <c r="B123" s="218"/>
      <c r="C123" s="222" t="s">
        <v>133</v>
      </c>
      <c r="D123" s="1228" t="s">
        <v>66</v>
      </c>
      <c r="E123" s="214">
        <v>2</v>
      </c>
      <c r="F123" s="1599">
        <v>0</v>
      </c>
      <c r="G123" s="221">
        <f t="shared" si="7"/>
        <v>0</v>
      </c>
    </row>
    <row r="124" spans="2:7">
      <c r="B124" s="218"/>
      <c r="C124" s="222" t="s">
        <v>134</v>
      </c>
      <c r="D124" s="1228" t="s">
        <v>66</v>
      </c>
      <c r="E124" s="214">
        <v>1</v>
      </c>
      <c r="F124" s="1599">
        <v>0</v>
      </c>
      <c r="G124" s="221">
        <f t="shared" si="7"/>
        <v>0</v>
      </c>
    </row>
    <row r="125" spans="2:7">
      <c r="B125" s="218"/>
      <c r="C125" s="222" t="s">
        <v>135</v>
      </c>
      <c r="D125" s="1228" t="s">
        <v>66</v>
      </c>
      <c r="E125" s="214">
        <v>1</v>
      </c>
      <c r="F125" s="1599">
        <v>0</v>
      </c>
      <c r="G125" s="221">
        <f t="shared" si="7"/>
        <v>0</v>
      </c>
    </row>
    <row r="126" spans="2:7">
      <c r="B126" s="218"/>
      <c r="C126" s="212" t="s">
        <v>318</v>
      </c>
      <c r="D126" s="2239"/>
      <c r="E126" s="736"/>
      <c r="F126" s="1599"/>
      <c r="G126" s="221"/>
    </row>
    <row r="127" spans="2:7">
      <c r="B127" s="218"/>
      <c r="C127" s="219" t="s">
        <v>319</v>
      </c>
      <c r="D127" s="1228" t="s">
        <v>66</v>
      </c>
      <c r="E127" s="214">
        <v>2</v>
      </c>
      <c r="F127" s="1599">
        <v>0</v>
      </c>
      <c r="G127" s="221">
        <f t="shared" si="7"/>
        <v>0</v>
      </c>
    </row>
    <row r="128" spans="2:7" ht="36">
      <c r="B128" s="218"/>
      <c r="C128" s="222" t="s">
        <v>283</v>
      </c>
      <c r="D128" s="1228" t="s">
        <v>66</v>
      </c>
      <c r="E128" s="214">
        <v>2</v>
      </c>
      <c r="F128" s="1599">
        <v>0</v>
      </c>
      <c r="G128" s="221">
        <f t="shared" si="7"/>
        <v>0</v>
      </c>
    </row>
    <row r="129" spans="2:7">
      <c r="B129" s="218"/>
      <c r="C129" s="222" t="s">
        <v>183</v>
      </c>
      <c r="D129" s="1228" t="s">
        <v>66</v>
      </c>
      <c r="E129" s="214">
        <v>2</v>
      </c>
      <c r="F129" s="1599">
        <v>0</v>
      </c>
      <c r="G129" s="221">
        <f t="shared" si="7"/>
        <v>0</v>
      </c>
    </row>
    <row r="130" spans="2:7">
      <c r="B130" s="218"/>
      <c r="C130" s="222" t="s">
        <v>131</v>
      </c>
      <c r="D130" s="1228" t="s">
        <v>66</v>
      </c>
      <c r="E130" s="214">
        <v>2</v>
      </c>
      <c r="F130" s="1599">
        <v>0</v>
      </c>
      <c r="G130" s="221">
        <f t="shared" si="7"/>
        <v>0</v>
      </c>
    </row>
    <row r="131" spans="2:7">
      <c r="B131" s="218"/>
      <c r="C131" s="1133" t="s">
        <v>166</v>
      </c>
      <c r="D131" s="1228" t="s">
        <v>66</v>
      </c>
      <c r="E131" s="214">
        <v>4</v>
      </c>
      <c r="F131" s="1599">
        <v>0</v>
      </c>
      <c r="G131" s="221">
        <f t="shared" si="7"/>
        <v>0</v>
      </c>
    </row>
    <row r="132" spans="2:7">
      <c r="B132" s="218"/>
      <c r="C132" s="1133" t="s">
        <v>167</v>
      </c>
      <c r="D132" s="1228" t="s">
        <v>66</v>
      </c>
      <c r="E132" s="214">
        <v>4</v>
      </c>
      <c r="F132" s="1599">
        <v>0</v>
      </c>
      <c r="G132" s="221">
        <f t="shared" si="7"/>
        <v>0</v>
      </c>
    </row>
    <row r="133" spans="2:7">
      <c r="B133" s="218"/>
      <c r="C133" s="1133" t="s">
        <v>229</v>
      </c>
      <c r="D133" s="1228" t="s">
        <v>66</v>
      </c>
      <c r="E133" s="214">
        <v>4</v>
      </c>
      <c r="F133" s="1599">
        <v>0</v>
      </c>
      <c r="G133" s="221">
        <f t="shared" si="7"/>
        <v>0</v>
      </c>
    </row>
    <row r="134" spans="2:7">
      <c r="B134" s="218"/>
      <c r="C134" s="1133" t="s">
        <v>230</v>
      </c>
      <c r="D134" s="1228" t="s">
        <v>66</v>
      </c>
      <c r="E134" s="214">
        <v>4</v>
      </c>
      <c r="F134" s="1599">
        <v>0</v>
      </c>
      <c r="G134" s="221">
        <f t="shared" si="7"/>
        <v>0</v>
      </c>
    </row>
    <row r="135" spans="2:7">
      <c r="B135" s="218"/>
      <c r="C135" s="1133" t="s">
        <v>134</v>
      </c>
      <c r="D135" s="1228" t="s">
        <v>66</v>
      </c>
      <c r="E135" s="214">
        <v>2</v>
      </c>
      <c r="F135" s="1599">
        <v>0</v>
      </c>
      <c r="G135" s="221">
        <f t="shared" si="7"/>
        <v>0</v>
      </c>
    </row>
    <row r="136" spans="2:7">
      <c r="B136" s="218"/>
      <c r="C136" s="1134" t="s">
        <v>135</v>
      </c>
      <c r="D136" s="1228" t="s">
        <v>66</v>
      </c>
      <c r="E136" s="214">
        <v>2</v>
      </c>
      <c r="F136" s="1599">
        <v>0</v>
      </c>
      <c r="G136" s="221">
        <f t="shared" si="7"/>
        <v>0</v>
      </c>
    </row>
    <row r="137" spans="2:7">
      <c r="B137" s="201" t="s">
        <v>136</v>
      </c>
      <c r="C137" s="238" t="s">
        <v>320</v>
      </c>
      <c r="D137" s="260"/>
      <c r="E137" s="240"/>
      <c r="F137" s="241"/>
      <c r="G137" s="242"/>
    </row>
    <row r="138" spans="2:7">
      <c r="B138" s="218"/>
      <c r="C138" s="238" t="s">
        <v>326</v>
      </c>
      <c r="D138" s="185"/>
      <c r="E138" s="741"/>
      <c r="F138" s="1611"/>
      <c r="G138" s="263"/>
    </row>
    <row r="139" spans="2:7" ht="30.75" customHeight="1">
      <c r="B139" s="218"/>
      <c r="C139" s="1123" t="s">
        <v>322</v>
      </c>
      <c r="D139" s="260" t="s">
        <v>66</v>
      </c>
      <c r="E139" s="240">
        <v>2</v>
      </c>
      <c r="F139" s="1609">
        <v>0</v>
      </c>
      <c r="G139" s="245">
        <f t="shared" ref="G139:G141" si="8">E139*F139</f>
        <v>0</v>
      </c>
    </row>
    <row r="140" spans="2:7">
      <c r="B140" s="218"/>
      <c r="C140" s="246" t="s">
        <v>325</v>
      </c>
      <c r="D140" s="260" t="s">
        <v>66</v>
      </c>
      <c r="E140" s="240">
        <v>2</v>
      </c>
      <c r="F140" s="1609">
        <v>0</v>
      </c>
      <c r="G140" s="245">
        <f t="shared" si="8"/>
        <v>0</v>
      </c>
    </row>
    <row r="141" spans="2:7">
      <c r="B141" s="218"/>
      <c r="C141" s="247" t="s">
        <v>135</v>
      </c>
      <c r="D141" s="260" t="s">
        <v>66</v>
      </c>
      <c r="E141" s="240">
        <v>2</v>
      </c>
      <c r="F141" s="1609">
        <v>0</v>
      </c>
      <c r="G141" s="245">
        <f t="shared" si="8"/>
        <v>0</v>
      </c>
    </row>
    <row r="142" spans="2:7">
      <c r="B142" s="201" t="s">
        <v>151</v>
      </c>
      <c r="C142" s="223" t="s">
        <v>137</v>
      </c>
      <c r="D142" s="1232"/>
      <c r="E142" s="225"/>
      <c r="F142" s="226"/>
      <c r="G142" s="227"/>
    </row>
    <row r="143" spans="2:7">
      <c r="B143" s="218"/>
      <c r="C143" s="223" t="s">
        <v>138</v>
      </c>
      <c r="D143" s="2240"/>
      <c r="E143" s="738"/>
      <c r="F143" s="1605"/>
      <c r="G143" s="1125"/>
    </row>
    <row r="144" spans="2:7">
      <c r="B144" s="218"/>
      <c r="C144" s="228" t="s">
        <v>129</v>
      </c>
      <c r="D144" s="1232" t="s">
        <v>66</v>
      </c>
      <c r="E144" s="225">
        <v>1</v>
      </c>
      <c r="F144" s="1603">
        <v>0</v>
      </c>
      <c r="G144" s="230">
        <f t="shared" ref="G144:G159" si="9">E144*F144</f>
        <v>0</v>
      </c>
    </row>
    <row r="145" spans="2:7">
      <c r="B145" s="218"/>
      <c r="C145" s="228" t="s">
        <v>139</v>
      </c>
      <c r="D145" s="1232" t="s">
        <v>66</v>
      </c>
      <c r="E145" s="225">
        <v>2</v>
      </c>
      <c r="F145" s="1603">
        <v>0</v>
      </c>
      <c r="G145" s="230">
        <f t="shared" si="9"/>
        <v>0</v>
      </c>
    </row>
    <row r="146" spans="2:7">
      <c r="B146" s="218"/>
      <c r="C146" s="231" t="s">
        <v>140</v>
      </c>
      <c r="D146" s="1232" t="s">
        <v>66</v>
      </c>
      <c r="E146" s="225">
        <v>1</v>
      </c>
      <c r="F146" s="1603">
        <v>0</v>
      </c>
      <c r="G146" s="230">
        <f t="shared" si="9"/>
        <v>0</v>
      </c>
    </row>
    <row r="147" spans="2:7">
      <c r="B147" s="218"/>
      <c r="C147" s="231" t="s">
        <v>141</v>
      </c>
      <c r="D147" s="1232" t="s">
        <v>66</v>
      </c>
      <c r="E147" s="225">
        <v>1</v>
      </c>
      <c r="F147" s="1603">
        <v>0</v>
      </c>
      <c r="G147" s="230">
        <f t="shared" si="9"/>
        <v>0</v>
      </c>
    </row>
    <row r="148" spans="2:7">
      <c r="B148" s="218"/>
      <c r="C148" s="231" t="s">
        <v>142</v>
      </c>
      <c r="D148" s="1232" t="s">
        <v>66</v>
      </c>
      <c r="E148" s="225">
        <v>1</v>
      </c>
      <c r="F148" s="1603">
        <v>0</v>
      </c>
      <c r="G148" s="230">
        <f t="shared" si="9"/>
        <v>0</v>
      </c>
    </row>
    <row r="149" spans="2:7">
      <c r="B149" s="218"/>
      <c r="C149" s="231" t="s">
        <v>143</v>
      </c>
      <c r="D149" s="1232" t="s">
        <v>66</v>
      </c>
      <c r="E149" s="225">
        <v>1</v>
      </c>
      <c r="F149" s="1603">
        <v>0</v>
      </c>
      <c r="G149" s="230">
        <f t="shared" si="9"/>
        <v>0</v>
      </c>
    </row>
    <row r="150" spans="2:7">
      <c r="B150" s="218"/>
      <c r="C150" s="231" t="s">
        <v>2250</v>
      </c>
      <c r="D150" s="1232" t="s">
        <v>66</v>
      </c>
      <c r="E150" s="225">
        <v>1</v>
      </c>
      <c r="F150" s="1603">
        <v>0</v>
      </c>
      <c r="G150" s="230">
        <f t="shared" si="9"/>
        <v>0</v>
      </c>
    </row>
    <row r="151" spans="2:7">
      <c r="B151" s="218"/>
      <c r="C151" s="231" t="s">
        <v>145</v>
      </c>
      <c r="D151" s="1232" t="s">
        <v>66</v>
      </c>
      <c r="E151" s="225">
        <v>1</v>
      </c>
      <c r="F151" s="1603">
        <v>0</v>
      </c>
      <c r="G151" s="230">
        <f t="shared" si="9"/>
        <v>0</v>
      </c>
    </row>
    <row r="152" spans="2:7">
      <c r="B152" s="218"/>
      <c r="C152" s="231" t="s">
        <v>146</v>
      </c>
      <c r="D152" s="1232" t="s">
        <v>66</v>
      </c>
      <c r="E152" s="225">
        <v>1</v>
      </c>
      <c r="F152" s="1603">
        <v>0</v>
      </c>
      <c r="G152" s="230">
        <f t="shared" si="9"/>
        <v>0</v>
      </c>
    </row>
    <row r="153" spans="2:7">
      <c r="B153" s="218"/>
      <c r="C153" s="739" t="s">
        <v>147</v>
      </c>
      <c r="D153" s="1232" t="s">
        <v>66</v>
      </c>
      <c r="E153" s="225">
        <v>1</v>
      </c>
      <c r="F153" s="1603">
        <v>0</v>
      </c>
      <c r="G153" s="230">
        <f t="shared" si="9"/>
        <v>0</v>
      </c>
    </row>
    <row r="154" spans="2:7">
      <c r="B154" s="218"/>
      <c r="C154" s="739" t="s">
        <v>188</v>
      </c>
      <c r="D154" s="1232" t="s">
        <v>66</v>
      </c>
      <c r="E154" s="225">
        <v>1</v>
      </c>
      <c r="F154" s="1603">
        <v>0</v>
      </c>
      <c r="G154" s="230">
        <f t="shared" si="9"/>
        <v>0</v>
      </c>
    </row>
    <row r="155" spans="2:7">
      <c r="B155" s="218"/>
      <c r="C155" s="739" t="s">
        <v>132</v>
      </c>
      <c r="D155" s="1232" t="s">
        <v>66</v>
      </c>
      <c r="E155" s="225">
        <v>2</v>
      </c>
      <c r="F155" s="1603">
        <v>0</v>
      </c>
      <c r="G155" s="230">
        <f t="shared" si="9"/>
        <v>0</v>
      </c>
    </row>
    <row r="156" spans="2:7">
      <c r="B156" s="218"/>
      <c r="C156" s="739" t="s">
        <v>148</v>
      </c>
      <c r="D156" s="1232" t="s">
        <v>66</v>
      </c>
      <c r="E156" s="225">
        <v>2</v>
      </c>
      <c r="F156" s="1603">
        <v>0</v>
      </c>
      <c r="G156" s="230">
        <f t="shared" si="9"/>
        <v>0</v>
      </c>
    </row>
    <row r="157" spans="2:7">
      <c r="B157" s="218"/>
      <c r="C157" s="739" t="s">
        <v>149</v>
      </c>
      <c r="D157" s="1232" t="s">
        <v>66</v>
      </c>
      <c r="E157" s="225">
        <v>1</v>
      </c>
      <c r="F157" s="1603">
        <v>0</v>
      </c>
      <c r="G157" s="230">
        <f t="shared" si="9"/>
        <v>0</v>
      </c>
    </row>
    <row r="158" spans="2:7">
      <c r="B158" s="218"/>
      <c r="C158" s="739" t="s">
        <v>150</v>
      </c>
      <c r="D158" s="1232" t="s">
        <v>66</v>
      </c>
      <c r="E158" s="225">
        <v>3</v>
      </c>
      <c r="F158" s="1603">
        <v>0</v>
      </c>
      <c r="G158" s="230">
        <f t="shared" si="9"/>
        <v>0</v>
      </c>
    </row>
    <row r="159" spans="2:7">
      <c r="B159" s="218"/>
      <c r="C159" s="740" t="s">
        <v>135</v>
      </c>
      <c r="D159" s="1232" t="s">
        <v>66</v>
      </c>
      <c r="E159" s="225">
        <v>1</v>
      </c>
      <c r="F159" s="1603">
        <v>0</v>
      </c>
      <c r="G159" s="230">
        <f t="shared" si="9"/>
        <v>0</v>
      </c>
    </row>
    <row r="160" spans="2:7">
      <c r="B160" s="201" t="s">
        <v>159</v>
      </c>
      <c r="C160" s="212" t="s">
        <v>152</v>
      </c>
      <c r="D160" s="1228"/>
      <c r="E160" s="214"/>
      <c r="F160" s="215"/>
      <c r="G160" s="216"/>
    </row>
    <row r="161" spans="2:7">
      <c r="B161" s="218"/>
      <c r="C161" s="212" t="s">
        <v>189</v>
      </c>
      <c r="D161" s="2239"/>
      <c r="E161" s="736"/>
      <c r="F161" s="1601"/>
      <c r="G161" s="1121"/>
    </row>
    <row r="162" spans="2:7">
      <c r="B162" s="218"/>
      <c r="C162" s="219" t="s">
        <v>186</v>
      </c>
      <c r="D162" s="1228" t="s">
        <v>66</v>
      </c>
      <c r="E162" s="214">
        <v>3</v>
      </c>
      <c r="F162" s="1599">
        <v>0</v>
      </c>
      <c r="G162" s="221">
        <f t="shared" ref="G162:G171" si="10">E162*F162</f>
        <v>0</v>
      </c>
    </row>
    <row r="163" spans="2:7" ht="24">
      <c r="B163" s="218"/>
      <c r="C163" s="222" t="s">
        <v>154</v>
      </c>
      <c r="D163" s="1228" t="s">
        <v>66</v>
      </c>
      <c r="E163" s="214">
        <v>3</v>
      </c>
      <c r="F163" s="1599">
        <v>0</v>
      </c>
      <c r="G163" s="221">
        <f t="shared" si="10"/>
        <v>0</v>
      </c>
    </row>
    <row r="164" spans="2:7">
      <c r="B164" s="218"/>
      <c r="C164" s="222" t="s">
        <v>155</v>
      </c>
      <c r="D164" s="1228" t="s">
        <v>66</v>
      </c>
      <c r="E164" s="214">
        <v>3</v>
      </c>
      <c r="F164" s="1599">
        <v>0</v>
      </c>
      <c r="G164" s="221">
        <f t="shared" si="10"/>
        <v>0</v>
      </c>
    </row>
    <row r="165" spans="2:7">
      <c r="B165" s="218"/>
      <c r="C165" s="222" t="s">
        <v>330</v>
      </c>
      <c r="D165" s="1228" t="s">
        <v>66</v>
      </c>
      <c r="E165" s="214">
        <v>3</v>
      </c>
      <c r="F165" s="1599">
        <v>0</v>
      </c>
      <c r="G165" s="221">
        <f t="shared" si="10"/>
        <v>0</v>
      </c>
    </row>
    <row r="166" spans="2:7">
      <c r="B166" s="218"/>
      <c r="C166" s="222" t="s">
        <v>157</v>
      </c>
      <c r="D166" s="1228" t="s">
        <v>66</v>
      </c>
      <c r="E166" s="214">
        <v>3</v>
      </c>
      <c r="F166" s="1599">
        <v>0</v>
      </c>
      <c r="G166" s="221">
        <f t="shared" si="10"/>
        <v>0</v>
      </c>
    </row>
    <row r="167" spans="2:7">
      <c r="B167" s="218"/>
      <c r="C167" s="234" t="s">
        <v>158</v>
      </c>
      <c r="D167" s="1228" t="s">
        <v>66</v>
      </c>
      <c r="E167" s="214">
        <v>3</v>
      </c>
      <c r="F167" s="1599">
        <v>0</v>
      </c>
      <c r="G167" s="221">
        <f t="shared" si="10"/>
        <v>0</v>
      </c>
    </row>
    <row r="168" spans="2:7">
      <c r="B168" s="218"/>
      <c r="C168" s="234" t="s">
        <v>190</v>
      </c>
      <c r="D168" s="1228" t="s">
        <v>66</v>
      </c>
      <c r="E168" s="214">
        <v>3</v>
      </c>
      <c r="F168" s="1599">
        <v>0</v>
      </c>
      <c r="G168" s="221">
        <f t="shared" si="10"/>
        <v>0</v>
      </c>
    </row>
    <row r="169" spans="2:7">
      <c r="B169" s="218"/>
      <c r="C169" s="234" t="s">
        <v>184</v>
      </c>
      <c r="D169" s="1228" t="s">
        <v>66</v>
      </c>
      <c r="E169" s="214">
        <v>6</v>
      </c>
      <c r="F169" s="1599">
        <v>0</v>
      </c>
      <c r="G169" s="221">
        <f t="shared" si="10"/>
        <v>0</v>
      </c>
    </row>
    <row r="170" spans="2:7">
      <c r="B170" s="218"/>
      <c r="C170" s="234" t="s">
        <v>150</v>
      </c>
      <c r="D170" s="1228" t="s">
        <v>66</v>
      </c>
      <c r="E170" s="214">
        <v>3</v>
      </c>
      <c r="F170" s="1599">
        <v>0</v>
      </c>
      <c r="G170" s="221">
        <f t="shared" si="10"/>
        <v>0</v>
      </c>
    </row>
    <row r="171" spans="2:7">
      <c r="B171" s="218"/>
      <c r="C171" s="235" t="s">
        <v>135</v>
      </c>
      <c r="D171" s="1228" t="s">
        <v>66</v>
      </c>
      <c r="E171" s="214">
        <v>3</v>
      </c>
      <c r="F171" s="1599">
        <v>0</v>
      </c>
      <c r="G171" s="221">
        <f t="shared" si="10"/>
        <v>0</v>
      </c>
    </row>
    <row r="172" spans="2:7" ht="24">
      <c r="B172" s="199" t="s">
        <v>331</v>
      </c>
      <c r="C172" s="212" t="s">
        <v>332</v>
      </c>
      <c r="D172" s="2239" t="s">
        <v>66</v>
      </c>
      <c r="E172" s="736">
        <v>3</v>
      </c>
      <c r="F172" s="1126">
        <v>0</v>
      </c>
      <c r="G172" s="1121">
        <f>E172*F172</f>
        <v>0</v>
      </c>
    </row>
    <row r="173" spans="2:7">
      <c r="B173" s="201" t="s">
        <v>168</v>
      </c>
      <c r="C173" s="223" t="s">
        <v>886</v>
      </c>
      <c r="D173" s="1232"/>
      <c r="E173" s="225"/>
      <c r="F173" s="226"/>
      <c r="G173" s="227"/>
    </row>
    <row r="174" spans="2:7">
      <c r="B174" s="218"/>
      <c r="C174" s="223" t="s">
        <v>887</v>
      </c>
      <c r="D174" s="2240"/>
      <c r="E174" s="738"/>
      <c r="F174" s="1605"/>
      <c r="G174" s="1608"/>
    </row>
    <row r="175" spans="2:7" ht="24">
      <c r="B175" s="218"/>
      <c r="C175" s="228" t="s">
        <v>2253</v>
      </c>
      <c r="D175" s="1232" t="s">
        <v>66</v>
      </c>
      <c r="E175" s="225">
        <v>1</v>
      </c>
      <c r="F175" s="1768">
        <v>0</v>
      </c>
      <c r="G175" s="1714">
        <f t="shared" ref="G175:G209" si="11">E175*F175</f>
        <v>0</v>
      </c>
    </row>
    <row r="176" spans="2:7">
      <c r="B176" s="218"/>
      <c r="C176" s="232" t="s">
        <v>184</v>
      </c>
      <c r="D176" s="1232" t="s">
        <v>66</v>
      </c>
      <c r="E176" s="225">
        <v>2</v>
      </c>
      <c r="F176" s="1768">
        <v>0</v>
      </c>
      <c r="G176" s="1714">
        <f t="shared" si="11"/>
        <v>0</v>
      </c>
    </row>
    <row r="177" spans="2:7">
      <c r="B177" s="218"/>
      <c r="C177" s="232" t="s">
        <v>150</v>
      </c>
      <c r="D177" s="1232" t="s">
        <v>66</v>
      </c>
      <c r="E177" s="225">
        <v>1</v>
      </c>
      <c r="F177" s="1768">
        <v>0</v>
      </c>
      <c r="G177" s="1714">
        <f t="shared" si="11"/>
        <v>0</v>
      </c>
    </row>
    <row r="178" spans="2:7">
      <c r="B178" s="218"/>
      <c r="C178" s="233" t="s">
        <v>135</v>
      </c>
      <c r="D178" s="1232" t="s">
        <v>66</v>
      </c>
      <c r="E178" s="225">
        <v>1</v>
      </c>
      <c r="F178" s="1768">
        <v>0</v>
      </c>
      <c r="G178" s="1714">
        <f t="shared" si="11"/>
        <v>0</v>
      </c>
    </row>
    <row r="179" spans="2:7">
      <c r="B179" s="218"/>
      <c r="C179" s="223" t="s">
        <v>220</v>
      </c>
      <c r="D179" s="2240"/>
      <c r="E179" s="738"/>
      <c r="F179" s="1768"/>
      <c r="G179" s="1714"/>
    </row>
    <row r="180" spans="2:7" ht="24">
      <c r="B180" s="218"/>
      <c r="C180" s="228" t="s">
        <v>2249</v>
      </c>
      <c r="D180" s="1232" t="s">
        <v>66</v>
      </c>
      <c r="E180" s="225">
        <v>1</v>
      </c>
      <c r="F180" s="1768">
        <v>0</v>
      </c>
      <c r="G180" s="1714">
        <f t="shared" si="11"/>
        <v>0</v>
      </c>
    </row>
    <row r="181" spans="2:7">
      <c r="B181" s="218"/>
      <c r="C181" s="739" t="s">
        <v>184</v>
      </c>
      <c r="D181" s="1232" t="s">
        <v>66</v>
      </c>
      <c r="E181" s="225">
        <v>2</v>
      </c>
      <c r="F181" s="1768">
        <v>0</v>
      </c>
      <c r="G181" s="1714">
        <f t="shared" si="11"/>
        <v>0</v>
      </c>
    </row>
    <row r="182" spans="2:7">
      <c r="B182" s="218"/>
      <c r="C182" s="739" t="s">
        <v>132</v>
      </c>
      <c r="D182" s="1232" t="s">
        <v>66</v>
      </c>
      <c r="E182" s="225">
        <v>1</v>
      </c>
      <c r="F182" s="1768">
        <v>0</v>
      </c>
      <c r="G182" s="1714">
        <f t="shared" si="11"/>
        <v>0</v>
      </c>
    </row>
    <row r="183" spans="2:7">
      <c r="B183" s="218"/>
      <c r="C183" s="739" t="s">
        <v>150</v>
      </c>
      <c r="D183" s="1232" t="s">
        <v>66</v>
      </c>
      <c r="E183" s="225">
        <v>1</v>
      </c>
      <c r="F183" s="1768">
        <v>0</v>
      </c>
      <c r="G183" s="1714">
        <f t="shared" si="11"/>
        <v>0</v>
      </c>
    </row>
    <row r="184" spans="2:7">
      <c r="B184" s="218"/>
      <c r="C184" s="740" t="s">
        <v>135</v>
      </c>
      <c r="D184" s="1232" t="s">
        <v>66</v>
      </c>
      <c r="E184" s="225">
        <v>1</v>
      </c>
      <c r="F184" s="1768">
        <v>0</v>
      </c>
      <c r="G184" s="1714">
        <f t="shared" si="11"/>
        <v>0</v>
      </c>
    </row>
    <row r="185" spans="2:7">
      <c r="B185" s="218"/>
      <c r="C185" s="223" t="s">
        <v>888</v>
      </c>
      <c r="D185" s="2240"/>
      <c r="E185" s="738"/>
      <c r="F185" s="1768"/>
      <c r="G185" s="1714"/>
    </row>
    <row r="186" spans="2:7" ht="24">
      <c r="B186" s="218"/>
      <c r="C186" s="228" t="s">
        <v>2251</v>
      </c>
      <c r="D186" s="1232" t="s">
        <v>66</v>
      </c>
      <c r="E186" s="225">
        <v>1</v>
      </c>
      <c r="F186" s="1768">
        <v>0</v>
      </c>
      <c r="G186" s="1714">
        <f t="shared" si="11"/>
        <v>0</v>
      </c>
    </row>
    <row r="187" spans="2:7">
      <c r="B187" s="218"/>
      <c r="C187" s="232" t="s">
        <v>184</v>
      </c>
      <c r="D187" s="1232" t="s">
        <v>66</v>
      </c>
      <c r="E187" s="225">
        <v>2</v>
      </c>
      <c r="F187" s="1768">
        <v>0</v>
      </c>
      <c r="G187" s="1714">
        <f t="shared" si="11"/>
        <v>0</v>
      </c>
    </row>
    <row r="188" spans="2:7">
      <c r="B188" s="218"/>
      <c r="C188" s="232" t="s">
        <v>166</v>
      </c>
      <c r="D188" s="1232" t="s">
        <v>66</v>
      </c>
      <c r="E188" s="225">
        <v>1</v>
      </c>
      <c r="F188" s="1768">
        <v>0</v>
      </c>
      <c r="G188" s="1714">
        <f t="shared" si="11"/>
        <v>0</v>
      </c>
    </row>
    <row r="189" spans="2:7">
      <c r="B189" s="218"/>
      <c r="C189" s="232" t="s">
        <v>167</v>
      </c>
      <c r="D189" s="1232" t="s">
        <v>66</v>
      </c>
      <c r="E189" s="225">
        <v>1</v>
      </c>
      <c r="F189" s="1768">
        <v>0</v>
      </c>
      <c r="G189" s="1714">
        <f t="shared" si="11"/>
        <v>0</v>
      </c>
    </row>
    <row r="190" spans="2:7">
      <c r="B190" s="218"/>
      <c r="C190" s="232" t="s">
        <v>229</v>
      </c>
      <c r="D190" s="1232" t="s">
        <v>66</v>
      </c>
      <c r="E190" s="225">
        <v>1</v>
      </c>
      <c r="F190" s="1768">
        <v>0</v>
      </c>
      <c r="G190" s="1714">
        <f t="shared" si="11"/>
        <v>0</v>
      </c>
    </row>
    <row r="191" spans="2:7">
      <c r="B191" s="218"/>
      <c r="C191" s="232" t="s">
        <v>230</v>
      </c>
      <c r="D191" s="1232" t="s">
        <v>66</v>
      </c>
      <c r="E191" s="225">
        <v>1</v>
      </c>
      <c r="F191" s="1768">
        <v>0</v>
      </c>
      <c r="G191" s="1714">
        <f t="shared" si="11"/>
        <v>0</v>
      </c>
    </row>
    <row r="192" spans="2:7">
      <c r="B192" s="218"/>
      <c r="C192" s="232" t="s">
        <v>150</v>
      </c>
      <c r="D192" s="1232" t="s">
        <v>66</v>
      </c>
      <c r="E192" s="225">
        <v>1</v>
      </c>
      <c r="F192" s="1768">
        <v>0</v>
      </c>
      <c r="G192" s="1714">
        <f t="shared" si="11"/>
        <v>0</v>
      </c>
    </row>
    <row r="193" spans="2:7">
      <c r="B193" s="218"/>
      <c r="C193" s="233" t="s">
        <v>135</v>
      </c>
      <c r="D193" s="1232" t="s">
        <v>66</v>
      </c>
      <c r="E193" s="225">
        <v>1</v>
      </c>
      <c r="F193" s="1768">
        <v>0</v>
      </c>
      <c r="G193" s="1714">
        <f t="shared" si="11"/>
        <v>0</v>
      </c>
    </row>
    <row r="194" spans="2:7">
      <c r="B194" s="218"/>
      <c r="C194" s="223" t="s">
        <v>196</v>
      </c>
      <c r="D194" s="2240"/>
      <c r="E194" s="738"/>
      <c r="F194" s="1768"/>
      <c r="G194" s="1714"/>
    </row>
    <row r="195" spans="2:7" ht="24">
      <c r="B195" s="218"/>
      <c r="C195" s="228" t="s">
        <v>2248</v>
      </c>
      <c r="D195" s="1232" t="s">
        <v>66</v>
      </c>
      <c r="E195" s="225">
        <v>1</v>
      </c>
      <c r="F195" s="1768">
        <v>0</v>
      </c>
      <c r="G195" s="1714">
        <f t="shared" si="11"/>
        <v>0</v>
      </c>
    </row>
    <row r="196" spans="2:7">
      <c r="B196" s="218"/>
      <c r="C196" s="232" t="s">
        <v>132</v>
      </c>
      <c r="D196" s="1232" t="s">
        <v>66</v>
      </c>
      <c r="E196" s="225">
        <v>3</v>
      </c>
      <c r="F196" s="1768">
        <v>0</v>
      </c>
      <c r="G196" s="1714">
        <f t="shared" si="11"/>
        <v>0</v>
      </c>
    </row>
    <row r="197" spans="2:7">
      <c r="B197" s="218"/>
      <c r="C197" s="232" t="s">
        <v>148</v>
      </c>
      <c r="D197" s="1232" t="s">
        <v>66</v>
      </c>
      <c r="E197" s="225">
        <v>3</v>
      </c>
      <c r="F197" s="1768">
        <v>0</v>
      </c>
      <c r="G197" s="1714">
        <f t="shared" si="11"/>
        <v>0</v>
      </c>
    </row>
    <row r="198" spans="2:7">
      <c r="B198" s="218"/>
      <c r="C198" s="232" t="s">
        <v>150</v>
      </c>
      <c r="D198" s="1232" t="s">
        <v>66</v>
      </c>
      <c r="E198" s="225">
        <v>1</v>
      </c>
      <c r="F198" s="1768">
        <v>0</v>
      </c>
      <c r="G198" s="1714">
        <f t="shared" si="11"/>
        <v>0</v>
      </c>
    </row>
    <row r="199" spans="2:7">
      <c r="B199" s="218"/>
      <c r="C199" s="233" t="s">
        <v>135</v>
      </c>
      <c r="D199" s="1232" t="s">
        <v>66</v>
      </c>
      <c r="E199" s="225">
        <v>1</v>
      </c>
      <c r="F199" s="1768">
        <v>0</v>
      </c>
      <c r="G199" s="1714">
        <f t="shared" si="11"/>
        <v>0</v>
      </c>
    </row>
    <row r="200" spans="2:7">
      <c r="B200" s="218"/>
      <c r="C200" s="223" t="s">
        <v>228</v>
      </c>
      <c r="D200" s="2240"/>
      <c r="E200" s="738"/>
      <c r="F200" s="1768"/>
      <c r="G200" s="1714"/>
    </row>
    <row r="201" spans="2:7" ht="24">
      <c r="B201" s="218"/>
      <c r="C201" s="228" t="s">
        <v>2247</v>
      </c>
      <c r="D201" s="1232" t="s">
        <v>66</v>
      </c>
      <c r="E201" s="225">
        <v>2</v>
      </c>
      <c r="F201" s="1768">
        <v>0</v>
      </c>
      <c r="G201" s="1714">
        <f t="shared" si="11"/>
        <v>0</v>
      </c>
    </row>
    <row r="202" spans="2:7">
      <c r="B202" s="218"/>
      <c r="C202" s="739" t="s">
        <v>132</v>
      </c>
      <c r="D202" s="1232" t="s">
        <v>66</v>
      </c>
      <c r="E202" s="225">
        <v>4</v>
      </c>
      <c r="F202" s="1768">
        <v>0</v>
      </c>
      <c r="G202" s="1714">
        <f t="shared" si="11"/>
        <v>0</v>
      </c>
    </row>
    <row r="203" spans="2:7">
      <c r="B203" s="218"/>
      <c r="C203" s="739" t="s">
        <v>166</v>
      </c>
      <c r="D203" s="1232" t="s">
        <v>66</v>
      </c>
      <c r="E203" s="225">
        <v>2</v>
      </c>
      <c r="F203" s="1768">
        <v>0</v>
      </c>
      <c r="G203" s="1714">
        <f t="shared" si="11"/>
        <v>0</v>
      </c>
    </row>
    <row r="204" spans="2:7">
      <c r="B204" s="218"/>
      <c r="C204" s="739" t="s">
        <v>148</v>
      </c>
      <c r="D204" s="1232" t="s">
        <v>66</v>
      </c>
      <c r="E204" s="225">
        <v>4</v>
      </c>
      <c r="F204" s="1768">
        <v>0</v>
      </c>
      <c r="G204" s="1714">
        <f t="shared" si="11"/>
        <v>0</v>
      </c>
    </row>
    <row r="205" spans="2:7">
      <c r="B205" s="218"/>
      <c r="C205" s="739" t="s">
        <v>167</v>
      </c>
      <c r="D205" s="1232" t="s">
        <v>66</v>
      </c>
      <c r="E205" s="225">
        <v>2</v>
      </c>
      <c r="F205" s="1768">
        <v>0</v>
      </c>
      <c r="G205" s="1714">
        <f t="shared" si="11"/>
        <v>0</v>
      </c>
    </row>
    <row r="206" spans="2:7">
      <c r="B206" s="218"/>
      <c r="C206" s="739" t="s">
        <v>229</v>
      </c>
      <c r="D206" s="1232" t="s">
        <v>66</v>
      </c>
      <c r="E206" s="225">
        <v>2</v>
      </c>
      <c r="F206" s="1768">
        <v>0</v>
      </c>
      <c r="G206" s="1714">
        <f t="shared" si="11"/>
        <v>0</v>
      </c>
    </row>
    <row r="207" spans="2:7">
      <c r="B207" s="218"/>
      <c r="C207" s="739" t="s">
        <v>230</v>
      </c>
      <c r="D207" s="1232" t="s">
        <v>66</v>
      </c>
      <c r="E207" s="225">
        <v>2</v>
      </c>
      <c r="F207" s="1768">
        <v>0</v>
      </c>
      <c r="G207" s="1714">
        <f t="shared" si="11"/>
        <v>0</v>
      </c>
    </row>
    <row r="208" spans="2:7">
      <c r="B208" s="218"/>
      <c r="C208" s="739" t="s">
        <v>150</v>
      </c>
      <c r="D208" s="1232" t="s">
        <v>66</v>
      </c>
      <c r="E208" s="225">
        <v>2</v>
      </c>
      <c r="F208" s="1768">
        <v>0</v>
      </c>
      <c r="G208" s="1714">
        <f t="shared" si="11"/>
        <v>0</v>
      </c>
    </row>
    <row r="209" spans="2:8">
      <c r="B209" s="218"/>
      <c r="C209" s="740" t="s">
        <v>135</v>
      </c>
      <c r="D209" s="1232" t="s">
        <v>66</v>
      </c>
      <c r="E209" s="225">
        <v>2</v>
      </c>
      <c r="F209" s="1768">
        <v>0</v>
      </c>
      <c r="G209" s="1714">
        <f t="shared" si="11"/>
        <v>0</v>
      </c>
    </row>
    <row r="210" spans="2:8">
      <c r="B210" s="218"/>
      <c r="C210" s="223" t="s">
        <v>1395</v>
      </c>
      <c r="D210" s="2240"/>
      <c r="E210" s="738"/>
      <c r="F210" s="1605"/>
      <c r="G210" s="1646"/>
    </row>
    <row r="211" spans="2:8" s="217" customFormat="1">
      <c r="B211" s="218"/>
      <c r="C211" s="1655" t="s">
        <v>230</v>
      </c>
      <c r="D211" s="1232" t="s">
        <v>66</v>
      </c>
      <c r="E211" s="225">
        <v>1</v>
      </c>
      <c r="F211" s="1768">
        <v>0</v>
      </c>
      <c r="G211" s="1714">
        <f t="shared" ref="G211:G213" si="12">E211*F211</f>
        <v>0</v>
      </c>
      <c r="H211" s="1703"/>
    </row>
    <row r="212" spans="2:8" s="217" customFormat="1">
      <c r="B212" s="218"/>
      <c r="C212" s="1655" t="s">
        <v>2255</v>
      </c>
      <c r="D212" s="1232" t="s">
        <v>66</v>
      </c>
      <c r="E212" s="225">
        <v>1</v>
      </c>
      <c r="F212" s="1768">
        <v>0</v>
      </c>
      <c r="G212" s="1714">
        <f t="shared" si="12"/>
        <v>0</v>
      </c>
      <c r="H212" s="1703"/>
    </row>
    <row r="213" spans="2:8" s="217" customFormat="1">
      <c r="B213" s="218"/>
      <c r="C213" s="1655" t="s">
        <v>1444</v>
      </c>
      <c r="D213" s="1232" t="s">
        <v>66</v>
      </c>
      <c r="E213" s="225">
        <v>1</v>
      </c>
      <c r="F213" s="1768">
        <v>0</v>
      </c>
      <c r="G213" s="1714">
        <f t="shared" si="12"/>
        <v>0</v>
      </c>
      <c r="H213" s="1703"/>
    </row>
    <row r="214" spans="2:8">
      <c r="B214" s="201" t="s">
        <v>172</v>
      </c>
      <c r="C214" s="238" t="s">
        <v>169</v>
      </c>
      <c r="D214" s="260"/>
      <c r="E214" s="240"/>
      <c r="F214" s="241"/>
      <c r="G214" s="242"/>
    </row>
    <row r="215" spans="2:8">
      <c r="B215" s="218"/>
      <c r="C215" s="238" t="s">
        <v>198</v>
      </c>
      <c r="D215" s="185"/>
      <c r="E215" s="741"/>
      <c r="F215" s="1611"/>
      <c r="G215" s="263"/>
    </row>
    <row r="216" spans="2:8" ht="36">
      <c r="B216" s="218"/>
      <c r="C216" s="243" t="s">
        <v>2239</v>
      </c>
      <c r="D216" s="260" t="s">
        <v>66</v>
      </c>
      <c r="E216" s="240">
        <v>11</v>
      </c>
      <c r="F216" s="1609">
        <v>0</v>
      </c>
      <c r="G216" s="245">
        <f t="shared" ref="G216:G229" si="13">E216*F216</f>
        <v>0</v>
      </c>
    </row>
    <row r="217" spans="2:8">
      <c r="B217" s="218"/>
      <c r="C217" s="246" t="s">
        <v>171</v>
      </c>
      <c r="D217" s="260" t="s">
        <v>66</v>
      </c>
      <c r="E217" s="240">
        <v>11</v>
      </c>
      <c r="F217" s="1609">
        <v>0</v>
      </c>
      <c r="G217" s="245">
        <f t="shared" si="13"/>
        <v>0</v>
      </c>
    </row>
    <row r="218" spans="2:8">
      <c r="B218" s="218"/>
      <c r="C218" s="247" t="s">
        <v>135</v>
      </c>
      <c r="D218" s="260" t="s">
        <v>66</v>
      </c>
      <c r="E218" s="240">
        <v>11</v>
      </c>
      <c r="F218" s="1609">
        <v>0</v>
      </c>
      <c r="G218" s="245">
        <f t="shared" si="13"/>
        <v>0</v>
      </c>
    </row>
    <row r="219" spans="2:8">
      <c r="B219" s="218"/>
      <c r="C219" s="247" t="s">
        <v>891</v>
      </c>
      <c r="D219" s="260" t="s">
        <v>66</v>
      </c>
      <c r="E219" s="240">
        <v>11</v>
      </c>
      <c r="F219" s="1609">
        <v>0</v>
      </c>
      <c r="G219" s="245">
        <f t="shared" si="13"/>
        <v>0</v>
      </c>
    </row>
    <row r="220" spans="2:8">
      <c r="B220" s="218"/>
      <c r="C220" s="238" t="s">
        <v>170</v>
      </c>
      <c r="D220" s="185"/>
      <c r="E220" s="741"/>
      <c r="F220" s="1609"/>
      <c r="G220" s="245"/>
    </row>
    <row r="221" spans="2:8" ht="36">
      <c r="B221" s="218"/>
      <c r="C221" s="243" t="s">
        <v>2246</v>
      </c>
      <c r="D221" s="260" t="s">
        <v>66</v>
      </c>
      <c r="E221" s="240">
        <v>3</v>
      </c>
      <c r="F221" s="1609">
        <v>0</v>
      </c>
      <c r="G221" s="245">
        <f t="shared" si="13"/>
        <v>0</v>
      </c>
    </row>
    <row r="222" spans="2:8">
      <c r="B222" s="218"/>
      <c r="C222" s="1129" t="s">
        <v>171</v>
      </c>
      <c r="D222" s="260" t="s">
        <v>66</v>
      </c>
      <c r="E222" s="240">
        <v>3</v>
      </c>
      <c r="F222" s="1609">
        <v>0</v>
      </c>
      <c r="G222" s="245">
        <f t="shared" si="13"/>
        <v>0</v>
      </c>
    </row>
    <row r="223" spans="2:8">
      <c r="B223" s="218"/>
      <c r="C223" s="1130" t="s">
        <v>135</v>
      </c>
      <c r="D223" s="260" t="s">
        <v>66</v>
      </c>
      <c r="E223" s="240">
        <v>3</v>
      </c>
      <c r="F223" s="1609">
        <v>0</v>
      </c>
      <c r="G223" s="245">
        <f t="shared" si="13"/>
        <v>0</v>
      </c>
    </row>
    <row r="224" spans="2:8">
      <c r="B224" s="218"/>
      <c r="C224" s="247" t="s">
        <v>891</v>
      </c>
      <c r="D224" s="260" t="s">
        <v>66</v>
      </c>
      <c r="E224" s="240">
        <v>3</v>
      </c>
      <c r="F224" s="1609">
        <v>0</v>
      </c>
      <c r="G224" s="245">
        <f t="shared" si="13"/>
        <v>0</v>
      </c>
    </row>
    <row r="225" spans="2:7">
      <c r="B225" s="218"/>
      <c r="C225" s="238" t="s">
        <v>234</v>
      </c>
      <c r="D225" s="185"/>
      <c r="E225" s="741"/>
      <c r="F225" s="1609"/>
      <c r="G225" s="245"/>
    </row>
    <row r="226" spans="2:7" ht="36">
      <c r="B226" s="218"/>
      <c r="C226" s="243" t="s">
        <v>2245</v>
      </c>
      <c r="D226" s="260" t="s">
        <v>66</v>
      </c>
      <c r="E226" s="240">
        <v>8</v>
      </c>
      <c r="F226" s="1609">
        <v>0</v>
      </c>
      <c r="G226" s="245">
        <f t="shared" si="13"/>
        <v>0</v>
      </c>
    </row>
    <row r="227" spans="2:7">
      <c r="B227" s="218"/>
      <c r="C227" s="246" t="s">
        <v>171</v>
      </c>
      <c r="D227" s="260" t="s">
        <v>66</v>
      </c>
      <c r="E227" s="240">
        <v>8</v>
      </c>
      <c r="F227" s="1609">
        <v>0</v>
      </c>
      <c r="G227" s="245">
        <f t="shared" si="13"/>
        <v>0</v>
      </c>
    </row>
    <row r="228" spans="2:7">
      <c r="B228" s="218"/>
      <c r="C228" s="247" t="s">
        <v>135</v>
      </c>
      <c r="D228" s="260" t="s">
        <v>66</v>
      </c>
      <c r="E228" s="240">
        <v>8</v>
      </c>
      <c r="F228" s="1609">
        <v>0</v>
      </c>
      <c r="G228" s="245">
        <f t="shared" si="13"/>
        <v>0</v>
      </c>
    </row>
    <row r="229" spans="2:7">
      <c r="B229" s="218"/>
      <c r="C229" s="247" t="s">
        <v>891</v>
      </c>
      <c r="D229" s="260" t="s">
        <v>66</v>
      </c>
      <c r="E229" s="240">
        <v>8</v>
      </c>
      <c r="F229" s="1609">
        <v>0</v>
      </c>
      <c r="G229" s="245">
        <f t="shared" si="13"/>
        <v>0</v>
      </c>
    </row>
    <row r="230" spans="2:7">
      <c r="B230" s="201" t="s">
        <v>340</v>
      </c>
      <c r="C230" s="2374" t="s">
        <v>173</v>
      </c>
      <c r="D230" s="2375"/>
      <c r="E230" s="2342"/>
      <c r="F230" s="2343"/>
      <c r="G230" s="2376"/>
    </row>
    <row r="231" spans="2:7" ht="72">
      <c r="B231" s="218"/>
      <c r="C231" s="2377" t="s">
        <v>174</v>
      </c>
      <c r="D231" s="2375" t="s">
        <v>66</v>
      </c>
      <c r="E231" s="2378">
        <v>1</v>
      </c>
      <c r="F231" s="2379">
        <v>0</v>
      </c>
      <c r="G231" s="2376">
        <f>E231*F231</f>
        <v>0</v>
      </c>
    </row>
    <row r="232" spans="2:7">
      <c r="B232" s="258" t="s">
        <v>47</v>
      </c>
      <c r="C232" s="259" t="s">
        <v>1396</v>
      </c>
      <c r="D232" s="260"/>
      <c r="E232" s="261"/>
      <c r="F232" s="262"/>
      <c r="G232" s="263">
        <f>SUM(G83:G231)</f>
        <v>0</v>
      </c>
    </row>
  </sheetData>
  <mergeCells count="7">
    <mergeCell ref="B91:B94"/>
    <mergeCell ref="B45:G45"/>
    <mergeCell ref="B59:B60"/>
    <mergeCell ref="B61:B63"/>
    <mergeCell ref="B78:G78"/>
    <mergeCell ref="B79:G79"/>
    <mergeCell ref="B80:G80"/>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9C28-1064-42F2-B398-D4D6AE0096FB}">
  <sheetPr>
    <tabColor rgb="FF00B0F0"/>
  </sheetPr>
  <dimension ref="A2:X202"/>
  <sheetViews>
    <sheetView showZeros="0" topLeftCell="A19" zoomScale="110" zoomScaleNormal="110" zoomScaleSheetLayoutView="100" workbookViewId="0">
      <selection activeCell="B28" sqref="B28:B36"/>
    </sheetView>
  </sheetViews>
  <sheetFormatPr defaultColWidth="10.42578125" defaultRowHeight="12.75"/>
  <cols>
    <col min="1" max="1" width="4.42578125" style="1" customWidth="1"/>
    <col min="2" max="2" width="9.5703125" style="67" customWidth="1"/>
    <col min="3" max="3" width="42.855468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2" width="10.42578125" style="1"/>
    <col min="253" max="253" width="7.42578125" style="1" customWidth="1"/>
    <col min="254" max="254" width="37.42578125" style="1" customWidth="1"/>
    <col min="255" max="255" width="10.42578125" style="1"/>
    <col min="256" max="256" width="9.28515625" style="1" customWidth="1"/>
    <col min="257" max="258" width="12.140625" style="1" customWidth="1"/>
    <col min="259" max="259" width="16" style="1" customWidth="1"/>
    <col min="260" max="260" width="26.28515625" style="1" customWidth="1"/>
    <col min="261" max="508" width="10.42578125" style="1"/>
    <col min="509" max="509" width="7.42578125" style="1" customWidth="1"/>
    <col min="510" max="510" width="37.42578125" style="1" customWidth="1"/>
    <col min="511" max="511" width="10.42578125" style="1"/>
    <col min="512" max="512" width="9.28515625" style="1" customWidth="1"/>
    <col min="513" max="514" width="12.140625" style="1" customWidth="1"/>
    <col min="515" max="515" width="16" style="1" customWidth="1"/>
    <col min="516" max="516" width="26.28515625" style="1" customWidth="1"/>
    <col min="517" max="764" width="10.42578125" style="1"/>
    <col min="765" max="765" width="7.42578125" style="1" customWidth="1"/>
    <col min="766" max="766" width="37.42578125" style="1" customWidth="1"/>
    <col min="767" max="767" width="10.42578125" style="1"/>
    <col min="768" max="768" width="9.28515625" style="1" customWidth="1"/>
    <col min="769" max="770" width="12.140625" style="1" customWidth="1"/>
    <col min="771" max="771" width="16" style="1" customWidth="1"/>
    <col min="772" max="772" width="26.28515625" style="1" customWidth="1"/>
    <col min="773" max="1020" width="10.42578125" style="1"/>
    <col min="1021" max="1021" width="7.42578125" style="1" customWidth="1"/>
    <col min="1022" max="1022" width="37.42578125" style="1" customWidth="1"/>
    <col min="1023" max="1023" width="10.42578125" style="1"/>
    <col min="1024" max="1024" width="9.28515625" style="1" customWidth="1"/>
    <col min="1025" max="1026" width="12.140625" style="1" customWidth="1"/>
    <col min="1027" max="1027" width="16" style="1" customWidth="1"/>
    <col min="1028" max="1028" width="26.28515625" style="1" customWidth="1"/>
    <col min="1029" max="1276" width="10.42578125" style="1"/>
    <col min="1277" max="1277" width="7.42578125" style="1" customWidth="1"/>
    <col min="1278" max="1278" width="37.42578125" style="1" customWidth="1"/>
    <col min="1279" max="1279" width="10.42578125" style="1"/>
    <col min="1280" max="1280" width="9.28515625" style="1" customWidth="1"/>
    <col min="1281" max="1282" width="12.140625" style="1" customWidth="1"/>
    <col min="1283" max="1283" width="16" style="1" customWidth="1"/>
    <col min="1284" max="1284" width="26.28515625" style="1" customWidth="1"/>
    <col min="1285" max="1532" width="10.42578125" style="1"/>
    <col min="1533" max="1533" width="7.42578125" style="1" customWidth="1"/>
    <col min="1534" max="1534" width="37.42578125" style="1" customWidth="1"/>
    <col min="1535" max="1535" width="10.42578125" style="1"/>
    <col min="1536" max="1536" width="9.28515625" style="1" customWidth="1"/>
    <col min="1537" max="1538" width="12.140625" style="1" customWidth="1"/>
    <col min="1539" max="1539" width="16" style="1" customWidth="1"/>
    <col min="1540" max="1540" width="26.28515625" style="1" customWidth="1"/>
    <col min="1541" max="1788" width="10.42578125" style="1"/>
    <col min="1789" max="1789" width="7.42578125" style="1" customWidth="1"/>
    <col min="1790" max="1790" width="37.42578125" style="1" customWidth="1"/>
    <col min="1791" max="1791" width="10.42578125" style="1"/>
    <col min="1792" max="1792" width="9.28515625" style="1" customWidth="1"/>
    <col min="1793" max="1794" width="12.140625" style="1" customWidth="1"/>
    <col min="1795" max="1795" width="16" style="1" customWidth="1"/>
    <col min="1796" max="1796" width="26.28515625" style="1" customWidth="1"/>
    <col min="1797" max="2044" width="10.42578125" style="1"/>
    <col min="2045" max="2045" width="7.42578125" style="1" customWidth="1"/>
    <col min="2046" max="2046" width="37.42578125" style="1" customWidth="1"/>
    <col min="2047" max="2047" width="10.42578125" style="1"/>
    <col min="2048" max="2048" width="9.28515625" style="1" customWidth="1"/>
    <col min="2049" max="2050" width="12.140625" style="1" customWidth="1"/>
    <col min="2051" max="2051" width="16" style="1" customWidth="1"/>
    <col min="2052" max="2052" width="26.28515625" style="1" customWidth="1"/>
    <col min="2053" max="2300" width="10.42578125" style="1"/>
    <col min="2301" max="2301" width="7.42578125" style="1" customWidth="1"/>
    <col min="2302" max="2302" width="37.42578125" style="1" customWidth="1"/>
    <col min="2303" max="2303" width="10.42578125" style="1"/>
    <col min="2304" max="2304" width="9.28515625" style="1" customWidth="1"/>
    <col min="2305" max="2306" width="12.140625" style="1" customWidth="1"/>
    <col min="2307" max="2307" width="16" style="1" customWidth="1"/>
    <col min="2308" max="2308" width="26.28515625" style="1" customWidth="1"/>
    <col min="2309" max="2556" width="10.42578125" style="1"/>
    <col min="2557" max="2557" width="7.42578125" style="1" customWidth="1"/>
    <col min="2558" max="2558" width="37.42578125" style="1" customWidth="1"/>
    <col min="2559" max="2559" width="10.42578125" style="1"/>
    <col min="2560" max="2560" width="9.28515625" style="1" customWidth="1"/>
    <col min="2561" max="2562" width="12.140625" style="1" customWidth="1"/>
    <col min="2563" max="2563" width="16" style="1" customWidth="1"/>
    <col min="2564" max="2564" width="26.28515625" style="1" customWidth="1"/>
    <col min="2565" max="2812" width="10.42578125" style="1"/>
    <col min="2813" max="2813" width="7.42578125" style="1" customWidth="1"/>
    <col min="2814" max="2814" width="37.42578125" style="1" customWidth="1"/>
    <col min="2815" max="2815" width="10.42578125" style="1"/>
    <col min="2816" max="2816" width="9.28515625" style="1" customWidth="1"/>
    <col min="2817" max="2818" width="12.140625" style="1" customWidth="1"/>
    <col min="2819" max="2819" width="16" style="1" customWidth="1"/>
    <col min="2820" max="2820" width="26.28515625" style="1" customWidth="1"/>
    <col min="2821" max="3068" width="10.42578125" style="1"/>
    <col min="3069" max="3069" width="7.42578125" style="1" customWidth="1"/>
    <col min="3070" max="3070" width="37.42578125" style="1" customWidth="1"/>
    <col min="3071" max="3071" width="10.42578125" style="1"/>
    <col min="3072" max="3072" width="9.28515625" style="1" customWidth="1"/>
    <col min="3073" max="3074" width="12.140625" style="1" customWidth="1"/>
    <col min="3075" max="3075" width="16" style="1" customWidth="1"/>
    <col min="3076" max="3076" width="26.28515625" style="1" customWidth="1"/>
    <col min="3077" max="3324" width="10.42578125" style="1"/>
    <col min="3325" max="3325" width="7.42578125" style="1" customWidth="1"/>
    <col min="3326" max="3326" width="37.42578125" style="1" customWidth="1"/>
    <col min="3327" max="3327" width="10.42578125" style="1"/>
    <col min="3328" max="3328" width="9.28515625" style="1" customWidth="1"/>
    <col min="3329" max="3330" width="12.140625" style="1" customWidth="1"/>
    <col min="3331" max="3331" width="16" style="1" customWidth="1"/>
    <col min="3332" max="3332" width="26.28515625" style="1" customWidth="1"/>
    <col min="3333" max="3580" width="10.42578125" style="1"/>
    <col min="3581" max="3581" width="7.42578125" style="1" customWidth="1"/>
    <col min="3582" max="3582" width="37.42578125" style="1" customWidth="1"/>
    <col min="3583" max="3583" width="10.42578125" style="1"/>
    <col min="3584" max="3584" width="9.28515625" style="1" customWidth="1"/>
    <col min="3585" max="3586" width="12.140625" style="1" customWidth="1"/>
    <col min="3587" max="3587" width="16" style="1" customWidth="1"/>
    <col min="3588" max="3588" width="26.28515625" style="1" customWidth="1"/>
    <col min="3589" max="3836" width="10.42578125" style="1"/>
    <col min="3837" max="3837" width="7.42578125" style="1" customWidth="1"/>
    <col min="3838" max="3838" width="37.42578125" style="1" customWidth="1"/>
    <col min="3839" max="3839" width="10.42578125" style="1"/>
    <col min="3840" max="3840" width="9.28515625" style="1" customWidth="1"/>
    <col min="3841" max="3842" width="12.140625" style="1" customWidth="1"/>
    <col min="3843" max="3843" width="16" style="1" customWidth="1"/>
    <col min="3844" max="3844" width="26.28515625" style="1" customWidth="1"/>
    <col min="3845" max="4092" width="10.42578125" style="1"/>
    <col min="4093" max="4093" width="7.42578125" style="1" customWidth="1"/>
    <col min="4094" max="4094" width="37.42578125" style="1" customWidth="1"/>
    <col min="4095" max="4095" width="10.42578125" style="1"/>
    <col min="4096" max="4096" width="9.28515625" style="1" customWidth="1"/>
    <col min="4097" max="4098" width="12.140625" style="1" customWidth="1"/>
    <col min="4099" max="4099" width="16" style="1" customWidth="1"/>
    <col min="4100" max="4100" width="26.28515625" style="1" customWidth="1"/>
    <col min="4101" max="4348" width="10.42578125" style="1"/>
    <col min="4349" max="4349" width="7.42578125" style="1" customWidth="1"/>
    <col min="4350" max="4350" width="37.42578125" style="1" customWidth="1"/>
    <col min="4351" max="4351" width="10.42578125" style="1"/>
    <col min="4352" max="4352" width="9.28515625" style="1" customWidth="1"/>
    <col min="4353" max="4354" width="12.140625" style="1" customWidth="1"/>
    <col min="4355" max="4355" width="16" style="1" customWidth="1"/>
    <col min="4356" max="4356" width="26.28515625" style="1" customWidth="1"/>
    <col min="4357" max="4604" width="10.42578125" style="1"/>
    <col min="4605" max="4605" width="7.42578125" style="1" customWidth="1"/>
    <col min="4606" max="4606" width="37.42578125" style="1" customWidth="1"/>
    <col min="4607" max="4607" width="10.42578125" style="1"/>
    <col min="4608" max="4608" width="9.28515625" style="1" customWidth="1"/>
    <col min="4609" max="4610" width="12.140625" style="1" customWidth="1"/>
    <col min="4611" max="4611" width="16" style="1" customWidth="1"/>
    <col min="4612" max="4612" width="26.28515625" style="1" customWidth="1"/>
    <col min="4613" max="4860" width="10.42578125" style="1"/>
    <col min="4861" max="4861" width="7.42578125" style="1" customWidth="1"/>
    <col min="4862" max="4862" width="37.42578125" style="1" customWidth="1"/>
    <col min="4863" max="4863" width="10.42578125" style="1"/>
    <col min="4864" max="4864" width="9.28515625" style="1" customWidth="1"/>
    <col min="4865" max="4866" width="12.140625" style="1" customWidth="1"/>
    <col min="4867" max="4867" width="16" style="1" customWidth="1"/>
    <col min="4868" max="4868" width="26.28515625" style="1" customWidth="1"/>
    <col min="4869" max="5116" width="10.42578125" style="1"/>
    <col min="5117" max="5117" width="7.42578125" style="1" customWidth="1"/>
    <col min="5118" max="5118" width="37.42578125" style="1" customWidth="1"/>
    <col min="5119" max="5119" width="10.42578125" style="1"/>
    <col min="5120" max="5120" width="9.28515625" style="1" customWidth="1"/>
    <col min="5121" max="5122" width="12.140625" style="1" customWidth="1"/>
    <col min="5123" max="5123" width="16" style="1" customWidth="1"/>
    <col min="5124" max="5124" width="26.28515625" style="1" customWidth="1"/>
    <col min="5125" max="5372" width="10.42578125" style="1"/>
    <col min="5373" max="5373" width="7.42578125" style="1" customWidth="1"/>
    <col min="5374" max="5374" width="37.42578125" style="1" customWidth="1"/>
    <col min="5375" max="5375" width="10.42578125" style="1"/>
    <col min="5376" max="5376" width="9.28515625" style="1" customWidth="1"/>
    <col min="5377" max="5378" width="12.140625" style="1" customWidth="1"/>
    <col min="5379" max="5379" width="16" style="1" customWidth="1"/>
    <col min="5380" max="5380" width="26.28515625" style="1" customWidth="1"/>
    <col min="5381" max="5628" width="10.42578125" style="1"/>
    <col min="5629" max="5629" width="7.42578125" style="1" customWidth="1"/>
    <col min="5630" max="5630" width="37.42578125" style="1" customWidth="1"/>
    <col min="5631" max="5631" width="10.42578125" style="1"/>
    <col min="5632" max="5632" width="9.28515625" style="1" customWidth="1"/>
    <col min="5633" max="5634" width="12.140625" style="1" customWidth="1"/>
    <col min="5635" max="5635" width="16" style="1" customWidth="1"/>
    <col min="5636" max="5636" width="26.28515625" style="1" customWidth="1"/>
    <col min="5637" max="5884" width="10.42578125" style="1"/>
    <col min="5885" max="5885" width="7.42578125" style="1" customWidth="1"/>
    <col min="5886" max="5886" width="37.42578125" style="1" customWidth="1"/>
    <col min="5887" max="5887" width="10.42578125" style="1"/>
    <col min="5888" max="5888" width="9.28515625" style="1" customWidth="1"/>
    <col min="5889" max="5890" width="12.140625" style="1" customWidth="1"/>
    <col min="5891" max="5891" width="16" style="1" customWidth="1"/>
    <col min="5892" max="5892" width="26.28515625" style="1" customWidth="1"/>
    <col min="5893" max="6140" width="10.42578125" style="1"/>
    <col min="6141" max="6141" width="7.42578125" style="1" customWidth="1"/>
    <col min="6142" max="6142" width="37.42578125" style="1" customWidth="1"/>
    <col min="6143" max="6143" width="10.42578125" style="1"/>
    <col min="6144" max="6144" width="9.28515625" style="1" customWidth="1"/>
    <col min="6145" max="6146" width="12.140625" style="1" customWidth="1"/>
    <col min="6147" max="6147" width="16" style="1" customWidth="1"/>
    <col min="6148" max="6148" width="26.28515625" style="1" customWidth="1"/>
    <col min="6149" max="6396" width="10.42578125" style="1"/>
    <col min="6397" max="6397" width="7.42578125" style="1" customWidth="1"/>
    <col min="6398" max="6398" width="37.42578125" style="1" customWidth="1"/>
    <col min="6399" max="6399" width="10.42578125" style="1"/>
    <col min="6400" max="6400" width="9.28515625" style="1" customWidth="1"/>
    <col min="6401" max="6402" width="12.140625" style="1" customWidth="1"/>
    <col min="6403" max="6403" width="16" style="1" customWidth="1"/>
    <col min="6404" max="6404" width="26.28515625" style="1" customWidth="1"/>
    <col min="6405" max="6652" width="10.42578125" style="1"/>
    <col min="6653" max="6653" width="7.42578125" style="1" customWidth="1"/>
    <col min="6654" max="6654" width="37.42578125" style="1" customWidth="1"/>
    <col min="6655" max="6655" width="10.42578125" style="1"/>
    <col min="6656" max="6656" width="9.28515625" style="1" customWidth="1"/>
    <col min="6657" max="6658" width="12.140625" style="1" customWidth="1"/>
    <col min="6659" max="6659" width="16" style="1" customWidth="1"/>
    <col min="6660" max="6660" width="26.28515625" style="1" customWidth="1"/>
    <col min="6661" max="6908" width="10.42578125" style="1"/>
    <col min="6909" max="6909" width="7.42578125" style="1" customWidth="1"/>
    <col min="6910" max="6910" width="37.42578125" style="1" customWidth="1"/>
    <col min="6911" max="6911" width="10.42578125" style="1"/>
    <col min="6912" max="6912" width="9.28515625" style="1" customWidth="1"/>
    <col min="6913" max="6914" width="12.140625" style="1" customWidth="1"/>
    <col min="6915" max="6915" width="16" style="1" customWidth="1"/>
    <col min="6916" max="6916" width="26.28515625" style="1" customWidth="1"/>
    <col min="6917" max="7164" width="10.42578125" style="1"/>
    <col min="7165" max="7165" width="7.42578125" style="1" customWidth="1"/>
    <col min="7166" max="7166" width="37.42578125" style="1" customWidth="1"/>
    <col min="7167" max="7167" width="10.42578125" style="1"/>
    <col min="7168" max="7168" width="9.28515625" style="1" customWidth="1"/>
    <col min="7169" max="7170" width="12.140625" style="1" customWidth="1"/>
    <col min="7171" max="7171" width="16" style="1" customWidth="1"/>
    <col min="7172" max="7172" width="26.28515625" style="1" customWidth="1"/>
    <col min="7173" max="7420" width="10.42578125" style="1"/>
    <col min="7421" max="7421" width="7.42578125" style="1" customWidth="1"/>
    <col min="7422" max="7422" width="37.42578125" style="1" customWidth="1"/>
    <col min="7423" max="7423" width="10.42578125" style="1"/>
    <col min="7424" max="7424" width="9.28515625" style="1" customWidth="1"/>
    <col min="7425" max="7426" width="12.140625" style="1" customWidth="1"/>
    <col min="7427" max="7427" width="16" style="1" customWidth="1"/>
    <col min="7428" max="7428" width="26.28515625" style="1" customWidth="1"/>
    <col min="7429" max="7676" width="10.42578125" style="1"/>
    <col min="7677" max="7677" width="7.42578125" style="1" customWidth="1"/>
    <col min="7678" max="7678" width="37.42578125" style="1" customWidth="1"/>
    <col min="7679" max="7679" width="10.42578125" style="1"/>
    <col min="7680" max="7680" width="9.28515625" style="1" customWidth="1"/>
    <col min="7681" max="7682" width="12.140625" style="1" customWidth="1"/>
    <col min="7683" max="7683" width="16" style="1" customWidth="1"/>
    <col min="7684" max="7684" width="26.28515625" style="1" customWidth="1"/>
    <col min="7685" max="7932" width="10.42578125" style="1"/>
    <col min="7933" max="7933" width="7.42578125" style="1" customWidth="1"/>
    <col min="7934" max="7934" width="37.42578125" style="1" customWidth="1"/>
    <col min="7935" max="7935" width="10.42578125" style="1"/>
    <col min="7936" max="7936" width="9.28515625" style="1" customWidth="1"/>
    <col min="7937" max="7938" width="12.140625" style="1" customWidth="1"/>
    <col min="7939" max="7939" width="16" style="1" customWidth="1"/>
    <col min="7940" max="7940" width="26.28515625" style="1" customWidth="1"/>
    <col min="7941" max="8188" width="10.42578125" style="1"/>
    <col min="8189" max="8189" width="7.42578125" style="1" customWidth="1"/>
    <col min="8190" max="8190" width="37.42578125" style="1" customWidth="1"/>
    <col min="8191" max="8191" width="10.42578125" style="1"/>
    <col min="8192" max="8192" width="9.28515625" style="1" customWidth="1"/>
    <col min="8193" max="8194" width="12.140625" style="1" customWidth="1"/>
    <col min="8195" max="8195" width="16" style="1" customWidth="1"/>
    <col min="8196" max="8196" width="26.28515625" style="1" customWidth="1"/>
    <col min="8197" max="8444" width="10.42578125" style="1"/>
    <col min="8445" max="8445" width="7.42578125" style="1" customWidth="1"/>
    <col min="8446" max="8446" width="37.42578125" style="1" customWidth="1"/>
    <col min="8447" max="8447" width="10.42578125" style="1"/>
    <col min="8448" max="8448" width="9.28515625" style="1" customWidth="1"/>
    <col min="8449" max="8450" width="12.140625" style="1" customWidth="1"/>
    <col min="8451" max="8451" width="16" style="1" customWidth="1"/>
    <col min="8452" max="8452" width="26.28515625" style="1" customWidth="1"/>
    <col min="8453" max="8700" width="10.42578125" style="1"/>
    <col min="8701" max="8701" width="7.42578125" style="1" customWidth="1"/>
    <col min="8702" max="8702" width="37.42578125" style="1" customWidth="1"/>
    <col min="8703" max="8703" width="10.42578125" style="1"/>
    <col min="8704" max="8704" width="9.28515625" style="1" customWidth="1"/>
    <col min="8705" max="8706" width="12.140625" style="1" customWidth="1"/>
    <col min="8707" max="8707" width="16" style="1" customWidth="1"/>
    <col min="8708" max="8708" width="26.28515625" style="1" customWidth="1"/>
    <col min="8709" max="8956" width="10.42578125" style="1"/>
    <col min="8957" max="8957" width="7.42578125" style="1" customWidth="1"/>
    <col min="8958" max="8958" width="37.42578125" style="1" customWidth="1"/>
    <col min="8959" max="8959" width="10.42578125" style="1"/>
    <col min="8960" max="8960" width="9.28515625" style="1" customWidth="1"/>
    <col min="8961" max="8962" width="12.140625" style="1" customWidth="1"/>
    <col min="8963" max="8963" width="16" style="1" customWidth="1"/>
    <col min="8964" max="8964" width="26.28515625" style="1" customWidth="1"/>
    <col min="8965" max="9212" width="10.42578125" style="1"/>
    <col min="9213" max="9213" width="7.42578125" style="1" customWidth="1"/>
    <col min="9214" max="9214" width="37.42578125" style="1" customWidth="1"/>
    <col min="9215" max="9215" width="10.42578125" style="1"/>
    <col min="9216" max="9216" width="9.28515625" style="1" customWidth="1"/>
    <col min="9217" max="9218" width="12.140625" style="1" customWidth="1"/>
    <col min="9219" max="9219" width="16" style="1" customWidth="1"/>
    <col min="9220" max="9220" width="26.28515625" style="1" customWidth="1"/>
    <col min="9221" max="9468" width="10.42578125" style="1"/>
    <col min="9469" max="9469" width="7.42578125" style="1" customWidth="1"/>
    <col min="9470" max="9470" width="37.42578125" style="1" customWidth="1"/>
    <col min="9471" max="9471" width="10.42578125" style="1"/>
    <col min="9472" max="9472" width="9.28515625" style="1" customWidth="1"/>
    <col min="9473" max="9474" width="12.140625" style="1" customWidth="1"/>
    <col min="9475" max="9475" width="16" style="1" customWidth="1"/>
    <col min="9476" max="9476" width="26.28515625" style="1" customWidth="1"/>
    <col min="9477" max="9724" width="10.42578125" style="1"/>
    <col min="9725" max="9725" width="7.42578125" style="1" customWidth="1"/>
    <col min="9726" max="9726" width="37.42578125" style="1" customWidth="1"/>
    <col min="9727" max="9727" width="10.42578125" style="1"/>
    <col min="9728" max="9728" width="9.28515625" style="1" customWidth="1"/>
    <col min="9729" max="9730" width="12.140625" style="1" customWidth="1"/>
    <col min="9731" max="9731" width="16" style="1" customWidth="1"/>
    <col min="9732" max="9732" width="26.28515625" style="1" customWidth="1"/>
    <col min="9733" max="9980" width="10.42578125" style="1"/>
    <col min="9981" max="9981" width="7.42578125" style="1" customWidth="1"/>
    <col min="9982" max="9982" width="37.42578125" style="1" customWidth="1"/>
    <col min="9983" max="9983" width="10.42578125" style="1"/>
    <col min="9984" max="9984" width="9.28515625" style="1" customWidth="1"/>
    <col min="9985" max="9986" width="12.140625" style="1" customWidth="1"/>
    <col min="9987" max="9987" width="16" style="1" customWidth="1"/>
    <col min="9988" max="9988" width="26.28515625" style="1" customWidth="1"/>
    <col min="9989" max="10236" width="10.42578125" style="1"/>
    <col min="10237" max="10237" width="7.42578125" style="1" customWidth="1"/>
    <col min="10238" max="10238" width="37.42578125" style="1" customWidth="1"/>
    <col min="10239" max="10239" width="10.42578125" style="1"/>
    <col min="10240" max="10240" width="9.28515625" style="1" customWidth="1"/>
    <col min="10241" max="10242" width="12.140625" style="1" customWidth="1"/>
    <col min="10243" max="10243" width="16" style="1" customWidth="1"/>
    <col min="10244" max="10244" width="26.28515625" style="1" customWidth="1"/>
    <col min="10245" max="10492" width="10.42578125" style="1"/>
    <col min="10493" max="10493" width="7.42578125" style="1" customWidth="1"/>
    <col min="10494" max="10494" width="37.42578125" style="1" customWidth="1"/>
    <col min="10495" max="10495" width="10.42578125" style="1"/>
    <col min="10496" max="10496" width="9.28515625" style="1" customWidth="1"/>
    <col min="10497" max="10498" width="12.140625" style="1" customWidth="1"/>
    <col min="10499" max="10499" width="16" style="1" customWidth="1"/>
    <col min="10500" max="10500" width="26.28515625" style="1" customWidth="1"/>
    <col min="10501" max="10748" width="10.42578125" style="1"/>
    <col min="10749" max="10749" width="7.42578125" style="1" customWidth="1"/>
    <col min="10750" max="10750" width="37.42578125" style="1" customWidth="1"/>
    <col min="10751" max="10751" width="10.42578125" style="1"/>
    <col min="10752" max="10752" width="9.28515625" style="1" customWidth="1"/>
    <col min="10753" max="10754" width="12.140625" style="1" customWidth="1"/>
    <col min="10755" max="10755" width="16" style="1" customWidth="1"/>
    <col min="10756" max="10756" width="26.28515625" style="1" customWidth="1"/>
    <col min="10757" max="11004" width="10.42578125" style="1"/>
    <col min="11005" max="11005" width="7.42578125" style="1" customWidth="1"/>
    <col min="11006" max="11006" width="37.42578125" style="1" customWidth="1"/>
    <col min="11007" max="11007" width="10.42578125" style="1"/>
    <col min="11008" max="11008" width="9.28515625" style="1" customWidth="1"/>
    <col min="11009" max="11010" width="12.140625" style="1" customWidth="1"/>
    <col min="11011" max="11011" width="16" style="1" customWidth="1"/>
    <col min="11012" max="11012" width="26.28515625" style="1" customWidth="1"/>
    <col min="11013" max="11260" width="10.42578125" style="1"/>
    <col min="11261" max="11261" width="7.42578125" style="1" customWidth="1"/>
    <col min="11262" max="11262" width="37.42578125" style="1" customWidth="1"/>
    <col min="11263" max="11263" width="10.42578125" style="1"/>
    <col min="11264" max="11264" width="9.28515625" style="1" customWidth="1"/>
    <col min="11265" max="11266" width="12.140625" style="1" customWidth="1"/>
    <col min="11267" max="11267" width="16" style="1" customWidth="1"/>
    <col min="11268" max="11268" width="26.28515625" style="1" customWidth="1"/>
    <col min="11269" max="11516" width="10.42578125" style="1"/>
    <col min="11517" max="11517" width="7.42578125" style="1" customWidth="1"/>
    <col min="11518" max="11518" width="37.42578125" style="1" customWidth="1"/>
    <col min="11519" max="11519" width="10.42578125" style="1"/>
    <col min="11520" max="11520" width="9.28515625" style="1" customWidth="1"/>
    <col min="11521" max="11522" width="12.140625" style="1" customWidth="1"/>
    <col min="11523" max="11523" width="16" style="1" customWidth="1"/>
    <col min="11524" max="11524" width="26.28515625" style="1" customWidth="1"/>
    <col min="11525" max="11772" width="10.42578125" style="1"/>
    <col min="11773" max="11773" width="7.42578125" style="1" customWidth="1"/>
    <col min="11774" max="11774" width="37.42578125" style="1" customWidth="1"/>
    <col min="11775" max="11775" width="10.42578125" style="1"/>
    <col min="11776" max="11776" width="9.28515625" style="1" customWidth="1"/>
    <col min="11777" max="11778" width="12.140625" style="1" customWidth="1"/>
    <col min="11779" max="11779" width="16" style="1" customWidth="1"/>
    <col min="11780" max="11780" width="26.28515625" style="1" customWidth="1"/>
    <col min="11781" max="12028" width="10.42578125" style="1"/>
    <col min="12029" max="12029" width="7.42578125" style="1" customWidth="1"/>
    <col min="12030" max="12030" width="37.42578125" style="1" customWidth="1"/>
    <col min="12031" max="12031" width="10.42578125" style="1"/>
    <col min="12032" max="12032" width="9.28515625" style="1" customWidth="1"/>
    <col min="12033" max="12034" width="12.140625" style="1" customWidth="1"/>
    <col min="12035" max="12035" width="16" style="1" customWidth="1"/>
    <col min="12036" max="12036" width="26.28515625" style="1" customWidth="1"/>
    <col min="12037" max="12284" width="10.42578125" style="1"/>
    <col min="12285" max="12285" width="7.42578125" style="1" customWidth="1"/>
    <col min="12286" max="12286" width="37.42578125" style="1" customWidth="1"/>
    <col min="12287" max="12287" width="10.42578125" style="1"/>
    <col min="12288" max="12288" width="9.28515625" style="1" customWidth="1"/>
    <col min="12289" max="12290" width="12.140625" style="1" customWidth="1"/>
    <col min="12291" max="12291" width="16" style="1" customWidth="1"/>
    <col min="12292" max="12292" width="26.28515625" style="1" customWidth="1"/>
    <col min="12293" max="12540" width="10.42578125" style="1"/>
    <col min="12541" max="12541" width="7.42578125" style="1" customWidth="1"/>
    <col min="12542" max="12542" width="37.42578125" style="1" customWidth="1"/>
    <col min="12543" max="12543" width="10.42578125" style="1"/>
    <col min="12544" max="12544" width="9.28515625" style="1" customWidth="1"/>
    <col min="12545" max="12546" width="12.140625" style="1" customWidth="1"/>
    <col min="12547" max="12547" width="16" style="1" customWidth="1"/>
    <col min="12548" max="12548" width="26.28515625" style="1" customWidth="1"/>
    <col min="12549" max="12796" width="10.42578125" style="1"/>
    <col min="12797" max="12797" width="7.42578125" style="1" customWidth="1"/>
    <col min="12798" max="12798" width="37.42578125" style="1" customWidth="1"/>
    <col min="12799" max="12799" width="10.42578125" style="1"/>
    <col min="12800" max="12800" width="9.28515625" style="1" customWidth="1"/>
    <col min="12801" max="12802" width="12.140625" style="1" customWidth="1"/>
    <col min="12803" max="12803" width="16" style="1" customWidth="1"/>
    <col min="12804" max="12804" width="26.28515625" style="1" customWidth="1"/>
    <col min="12805" max="13052" width="10.42578125" style="1"/>
    <col min="13053" max="13053" width="7.42578125" style="1" customWidth="1"/>
    <col min="13054" max="13054" width="37.42578125" style="1" customWidth="1"/>
    <col min="13055" max="13055" width="10.42578125" style="1"/>
    <col min="13056" max="13056" width="9.28515625" style="1" customWidth="1"/>
    <col min="13057" max="13058" width="12.140625" style="1" customWidth="1"/>
    <col min="13059" max="13059" width="16" style="1" customWidth="1"/>
    <col min="13060" max="13060" width="26.28515625" style="1" customWidth="1"/>
    <col min="13061" max="13308" width="10.42578125" style="1"/>
    <col min="13309" max="13309" width="7.42578125" style="1" customWidth="1"/>
    <col min="13310" max="13310" width="37.42578125" style="1" customWidth="1"/>
    <col min="13311" max="13311" width="10.42578125" style="1"/>
    <col min="13312" max="13312" width="9.28515625" style="1" customWidth="1"/>
    <col min="13313" max="13314" width="12.140625" style="1" customWidth="1"/>
    <col min="13315" max="13315" width="16" style="1" customWidth="1"/>
    <col min="13316" max="13316" width="26.28515625" style="1" customWidth="1"/>
    <col min="13317" max="13564" width="10.42578125" style="1"/>
    <col min="13565" max="13565" width="7.42578125" style="1" customWidth="1"/>
    <col min="13566" max="13566" width="37.42578125" style="1" customWidth="1"/>
    <col min="13567" max="13567" width="10.42578125" style="1"/>
    <col min="13568" max="13568" width="9.28515625" style="1" customWidth="1"/>
    <col min="13569" max="13570" width="12.140625" style="1" customWidth="1"/>
    <col min="13571" max="13571" width="16" style="1" customWidth="1"/>
    <col min="13572" max="13572" width="26.28515625" style="1" customWidth="1"/>
    <col min="13573" max="13820" width="10.42578125" style="1"/>
    <col min="13821" max="13821" width="7.42578125" style="1" customWidth="1"/>
    <col min="13822" max="13822" width="37.42578125" style="1" customWidth="1"/>
    <col min="13823" max="13823" width="10.42578125" style="1"/>
    <col min="13824" max="13824" width="9.28515625" style="1" customWidth="1"/>
    <col min="13825" max="13826" width="12.140625" style="1" customWidth="1"/>
    <col min="13827" max="13827" width="16" style="1" customWidth="1"/>
    <col min="13828" max="13828" width="26.28515625" style="1" customWidth="1"/>
    <col min="13829" max="14076" width="10.42578125" style="1"/>
    <col min="14077" max="14077" width="7.42578125" style="1" customWidth="1"/>
    <col min="14078" max="14078" width="37.42578125" style="1" customWidth="1"/>
    <col min="14079" max="14079" width="10.42578125" style="1"/>
    <col min="14080" max="14080" width="9.28515625" style="1" customWidth="1"/>
    <col min="14081" max="14082" width="12.140625" style="1" customWidth="1"/>
    <col min="14083" max="14083" width="16" style="1" customWidth="1"/>
    <col min="14084" max="14084" width="26.28515625" style="1" customWidth="1"/>
    <col min="14085" max="14332" width="10.42578125" style="1"/>
    <col min="14333" max="14333" width="7.42578125" style="1" customWidth="1"/>
    <col min="14334" max="14334" width="37.42578125" style="1" customWidth="1"/>
    <col min="14335" max="14335" width="10.42578125" style="1"/>
    <col min="14336" max="14336" width="9.28515625" style="1" customWidth="1"/>
    <col min="14337" max="14338" width="12.140625" style="1" customWidth="1"/>
    <col min="14339" max="14339" width="16" style="1" customWidth="1"/>
    <col min="14340" max="14340" width="26.28515625" style="1" customWidth="1"/>
    <col min="14341" max="14588" width="10.42578125" style="1"/>
    <col min="14589" max="14589" width="7.42578125" style="1" customWidth="1"/>
    <col min="14590" max="14590" width="37.42578125" style="1" customWidth="1"/>
    <col min="14591" max="14591" width="10.42578125" style="1"/>
    <col min="14592" max="14592" width="9.28515625" style="1" customWidth="1"/>
    <col min="14593" max="14594" width="12.140625" style="1" customWidth="1"/>
    <col min="14595" max="14595" width="16" style="1" customWidth="1"/>
    <col min="14596" max="14596" width="26.28515625" style="1" customWidth="1"/>
    <col min="14597" max="14844" width="10.42578125" style="1"/>
    <col min="14845" max="14845" width="7.42578125" style="1" customWidth="1"/>
    <col min="14846" max="14846" width="37.42578125" style="1" customWidth="1"/>
    <col min="14847" max="14847" width="10.42578125" style="1"/>
    <col min="14848" max="14848" width="9.28515625" style="1" customWidth="1"/>
    <col min="14849" max="14850" width="12.140625" style="1" customWidth="1"/>
    <col min="14851" max="14851" width="16" style="1" customWidth="1"/>
    <col min="14852" max="14852" width="26.28515625" style="1" customWidth="1"/>
    <col min="14853" max="15100" width="10.42578125" style="1"/>
    <col min="15101" max="15101" width="7.42578125" style="1" customWidth="1"/>
    <col min="15102" max="15102" width="37.42578125" style="1" customWidth="1"/>
    <col min="15103" max="15103" width="10.42578125" style="1"/>
    <col min="15104" max="15104" width="9.28515625" style="1" customWidth="1"/>
    <col min="15105" max="15106" width="12.140625" style="1" customWidth="1"/>
    <col min="15107" max="15107" width="16" style="1" customWidth="1"/>
    <col min="15108" max="15108" width="26.28515625" style="1" customWidth="1"/>
    <col min="15109" max="15356" width="10.42578125" style="1"/>
    <col min="15357" max="15357" width="7.42578125" style="1" customWidth="1"/>
    <col min="15358" max="15358" width="37.42578125" style="1" customWidth="1"/>
    <col min="15359" max="15359" width="10.42578125" style="1"/>
    <col min="15360" max="15360" width="9.28515625" style="1" customWidth="1"/>
    <col min="15361" max="15362" width="12.140625" style="1" customWidth="1"/>
    <col min="15363" max="15363" width="16" style="1" customWidth="1"/>
    <col min="15364" max="15364" width="26.28515625" style="1" customWidth="1"/>
    <col min="15365" max="15612" width="10.42578125" style="1"/>
    <col min="15613" max="15613" width="7.42578125" style="1" customWidth="1"/>
    <col min="15614" max="15614" width="37.42578125" style="1" customWidth="1"/>
    <col min="15615" max="15615" width="10.42578125" style="1"/>
    <col min="15616" max="15616" width="9.28515625" style="1" customWidth="1"/>
    <col min="15617" max="15618" width="12.140625" style="1" customWidth="1"/>
    <col min="15619" max="15619" width="16" style="1" customWidth="1"/>
    <col min="15620" max="15620" width="26.28515625" style="1" customWidth="1"/>
    <col min="15621" max="15868" width="10.42578125" style="1"/>
    <col min="15869" max="15869" width="7.42578125" style="1" customWidth="1"/>
    <col min="15870" max="15870" width="37.42578125" style="1" customWidth="1"/>
    <col min="15871" max="15871" width="10.42578125" style="1"/>
    <col min="15872" max="15872" width="9.28515625" style="1" customWidth="1"/>
    <col min="15873" max="15874" width="12.140625" style="1" customWidth="1"/>
    <col min="15875" max="15875" width="16" style="1" customWidth="1"/>
    <col min="15876" max="15876" width="26.28515625" style="1" customWidth="1"/>
    <col min="15877" max="16124" width="10.42578125" style="1"/>
    <col min="16125" max="16125" width="7.42578125" style="1" customWidth="1"/>
    <col min="16126" max="16126" width="37.42578125" style="1" customWidth="1"/>
    <col min="16127" max="16127" width="10.42578125" style="1"/>
    <col min="16128" max="16128" width="9.28515625" style="1" customWidth="1"/>
    <col min="16129" max="16130" width="12.140625" style="1" customWidth="1"/>
    <col min="16131" max="16131" width="16" style="1" customWidth="1"/>
    <col min="16132" max="16132" width="26.28515625" style="1" customWidth="1"/>
    <col min="16133" max="16384" width="10.42578125" style="1"/>
  </cols>
  <sheetData>
    <row r="2" spans="1:24" ht="16.149999999999999" customHeight="1">
      <c r="B2" s="2"/>
      <c r="C2" s="72" t="s">
        <v>0</v>
      </c>
      <c r="D2" s="4"/>
      <c r="E2" s="5"/>
      <c r="F2" s="671"/>
      <c r="G2" s="672" t="s">
        <v>1</v>
      </c>
    </row>
    <row r="4" spans="1:24" s="73" customFormat="1" ht="15">
      <c r="B4" s="74" t="s">
        <v>35</v>
      </c>
      <c r="C4" s="673" t="s">
        <v>1474</v>
      </c>
      <c r="D4" s="1175"/>
      <c r="E4" s="77"/>
      <c r="F4" s="674"/>
      <c r="G4" s="79"/>
      <c r="H4" s="37"/>
    </row>
    <row r="5" spans="1:24" s="73" customFormat="1" ht="12" customHeight="1">
      <c r="B5" s="80"/>
      <c r="C5" s="81"/>
      <c r="D5" s="1176"/>
      <c r="E5" s="83"/>
      <c r="F5" s="675"/>
      <c r="G5" s="85"/>
      <c r="H5" s="37"/>
    </row>
    <row r="6" spans="1:24" s="86" customFormat="1" ht="21" customHeight="1">
      <c r="B6" s="676" t="s">
        <v>37</v>
      </c>
      <c r="C6" s="677" t="s">
        <v>1480</v>
      </c>
      <c r="D6" s="2233"/>
      <c r="E6" s="679"/>
      <c r="F6" s="680"/>
      <c r="G6" s="681"/>
      <c r="H6" s="27"/>
    </row>
    <row r="7" spans="1:24" s="86" customFormat="1" ht="21" customHeight="1">
      <c r="B7" s="1146"/>
      <c r="C7" s="1147"/>
      <c r="D7" s="1976"/>
      <c r="E7" s="1149"/>
      <c r="F7" s="1150"/>
      <c r="G7" s="1151"/>
      <c r="H7" s="27"/>
    </row>
    <row r="8" spans="1:24" s="86" customFormat="1" ht="14.25">
      <c r="B8" s="682" t="s">
        <v>551</v>
      </c>
      <c r="C8" s="683" t="s">
        <v>1481</v>
      </c>
      <c r="D8" s="2234"/>
      <c r="E8" s="685"/>
      <c r="F8" s="686"/>
      <c r="G8" s="687"/>
      <c r="H8" s="27"/>
    </row>
    <row r="9" spans="1:24" s="86" customFormat="1" ht="14.25">
      <c r="B9" s="80"/>
      <c r="C9" s="81"/>
      <c r="D9" s="1176"/>
      <c r="E9" s="83"/>
      <c r="F9" s="675"/>
      <c r="G9" s="88"/>
      <c r="H9" s="27"/>
    </row>
    <row r="10" spans="1:24" s="14" customFormat="1" ht="18" customHeight="1">
      <c r="A10" s="9"/>
      <c r="B10" s="10" t="s">
        <v>38</v>
      </c>
      <c r="C10" s="11"/>
      <c r="D10" s="1177"/>
      <c r="E10" s="12"/>
      <c r="F10" s="688"/>
      <c r="G10" s="13"/>
    </row>
    <row r="11" spans="1:24" s="14" customFormat="1" ht="18" customHeight="1">
      <c r="A11" s="15"/>
      <c r="B11" s="16" t="s">
        <v>39</v>
      </c>
      <c r="C11" s="17"/>
      <c r="D11" s="1179"/>
      <c r="E11" s="19"/>
      <c r="F11" s="689"/>
      <c r="G11" s="18"/>
    </row>
    <row r="12" spans="1:24" s="14" customFormat="1" ht="18" customHeight="1">
      <c r="A12" s="9"/>
      <c r="B12" s="10" t="s">
        <v>4</v>
      </c>
      <c r="C12" s="11"/>
      <c r="D12" s="1180"/>
      <c r="E12" s="12"/>
      <c r="F12" s="688"/>
      <c r="G12" s="13"/>
    </row>
    <row r="13" spans="1:24" s="14" customFormat="1" ht="18" customHeight="1">
      <c r="A13" s="15"/>
      <c r="B13" s="16" t="s">
        <v>5</v>
      </c>
      <c r="C13" s="17"/>
      <c r="D13" s="1181"/>
      <c r="E13" s="19"/>
      <c r="F13" s="689"/>
      <c r="G13" s="18"/>
    </row>
    <row r="14" spans="1:24" s="86" customFormat="1" ht="14.25">
      <c r="B14" s="89"/>
      <c r="C14" s="90"/>
      <c r="D14" s="1182"/>
      <c r="E14" s="92"/>
      <c r="F14" s="690"/>
      <c r="G14" s="94"/>
      <c r="H14" s="27"/>
    </row>
    <row r="15" spans="1:24" s="86" customFormat="1" ht="18.75" customHeight="1">
      <c r="B15" s="95"/>
      <c r="C15" s="96" t="s">
        <v>40</v>
      </c>
      <c r="D15" s="1183"/>
      <c r="E15" s="98"/>
      <c r="F15" s="691"/>
      <c r="G15" s="100"/>
      <c r="H15" s="27"/>
    </row>
    <row r="16" spans="1:24"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row>
    <row r="17" spans="2:24" s="101" customFormat="1" ht="18.75" customHeight="1">
      <c r="B17" s="693" t="s">
        <v>43</v>
      </c>
      <c r="C17" s="694" t="s">
        <v>44</v>
      </c>
      <c r="D17" s="1185"/>
      <c r="E17" s="110"/>
      <c r="F17" s="695"/>
      <c r="G17" s="1408">
        <f>G38</f>
        <v>0</v>
      </c>
      <c r="H17" s="37"/>
      <c r="I17" s="73"/>
      <c r="J17" s="73"/>
      <c r="K17" s="73"/>
      <c r="L17" s="73"/>
      <c r="M17" s="73"/>
      <c r="N17" s="73"/>
      <c r="O17" s="73"/>
      <c r="P17" s="73"/>
      <c r="Q17" s="73"/>
      <c r="R17" s="73"/>
      <c r="S17" s="73"/>
      <c r="T17" s="73"/>
      <c r="U17" s="73"/>
      <c r="V17" s="73"/>
      <c r="W17" s="73"/>
      <c r="X17" s="73"/>
    </row>
    <row r="18" spans="2:24" s="101" customFormat="1" ht="18.75" customHeight="1">
      <c r="B18" s="693" t="s">
        <v>45</v>
      </c>
      <c r="C18" s="694" t="s">
        <v>46</v>
      </c>
      <c r="D18" s="1185"/>
      <c r="E18" s="110"/>
      <c r="F18" s="695"/>
      <c r="G18" s="1408">
        <f>G66</f>
        <v>0</v>
      </c>
      <c r="H18" s="37"/>
      <c r="I18" s="73"/>
      <c r="J18" s="73"/>
      <c r="K18" s="73"/>
      <c r="L18" s="73"/>
      <c r="M18" s="73"/>
      <c r="N18" s="73"/>
      <c r="O18" s="73"/>
      <c r="P18" s="73"/>
      <c r="Q18" s="73"/>
      <c r="R18" s="73"/>
      <c r="S18" s="73"/>
      <c r="T18" s="73"/>
      <c r="U18" s="73"/>
      <c r="V18" s="73"/>
      <c r="W18" s="73"/>
      <c r="X18" s="73"/>
    </row>
    <row r="19" spans="2:24" s="101" customFormat="1" ht="18.75" customHeight="1">
      <c r="B19" s="693" t="s">
        <v>47</v>
      </c>
      <c r="C19" s="694" t="s">
        <v>48</v>
      </c>
      <c r="D19" s="1185"/>
      <c r="E19" s="110"/>
      <c r="F19" s="695"/>
      <c r="G19" s="1408">
        <f>G202</f>
        <v>0</v>
      </c>
      <c r="H19" s="37"/>
      <c r="I19" s="73"/>
      <c r="J19" s="73"/>
      <c r="K19" s="73"/>
      <c r="L19" s="73"/>
      <c r="M19" s="73"/>
      <c r="N19" s="73"/>
      <c r="O19" s="73"/>
      <c r="P19" s="73"/>
      <c r="Q19" s="73"/>
      <c r="R19" s="73"/>
      <c r="S19" s="73"/>
      <c r="T19" s="73"/>
      <c r="U19" s="73"/>
      <c r="V19" s="73"/>
      <c r="W19" s="73"/>
      <c r="X19" s="73"/>
    </row>
    <row r="20" spans="2:24"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row>
    <row r="21" spans="2:24">
      <c r="B21" s="61"/>
      <c r="C21" s="62"/>
      <c r="D21" s="63"/>
      <c r="E21" s="64"/>
      <c r="F21" s="701"/>
    </row>
    <row r="22" spans="2:24">
      <c r="G22" s="118"/>
    </row>
    <row r="23" spans="2:24" ht="24">
      <c r="B23" s="119" t="s">
        <v>41</v>
      </c>
      <c r="C23" s="120" t="s">
        <v>51</v>
      </c>
      <c r="D23" s="120" t="s">
        <v>52</v>
      </c>
      <c r="E23" s="122" t="s">
        <v>53</v>
      </c>
      <c r="F23" s="756" t="s">
        <v>54</v>
      </c>
      <c r="G23" s="124" t="s">
        <v>55</v>
      </c>
    </row>
    <row r="24" spans="2:24">
      <c r="B24" s="125"/>
      <c r="C24" s="126"/>
      <c r="D24" s="140"/>
      <c r="E24" s="128"/>
      <c r="F24" s="708"/>
      <c r="G24" s="130"/>
    </row>
    <row r="25" spans="2:24" s="138" customFormat="1" ht="20.25">
      <c r="B25" s="131" t="s">
        <v>43</v>
      </c>
      <c r="C25" s="132" t="s">
        <v>44</v>
      </c>
      <c r="D25" s="165"/>
      <c r="E25" s="134"/>
      <c r="F25" s="709"/>
      <c r="G25" s="136"/>
      <c r="H25" s="137"/>
    </row>
    <row r="26" spans="2:24" ht="24">
      <c r="B26" s="125">
        <v>1</v>
      </c>
      <c r="C26" s="144" t="s">
        <v>56</v>
      </c>
      <c r="D26" s="140" t="s">
        <v>57</v>
      </c>
      <c r="E26" s="1081">
        <v>779</v>
      </c>
      <c r="F26" s="1082">
        <v>0</v>
      </c>
      <c r="G26" s="1083">
        <f t="shared" ref="G26" si="0">E26*F26</f>
        <v>0</v>
      </c>
    </row>
    <row r="27" spans="2:24">
      <c r="B27" s="125">
        <v>2</v>
      </c>
      <c r="C27" s="144" t="s">
        <v>58</v>
      </c>
      <c r="D27" s="140" t="s">
        <v>57</v>
      </c>
      <c r="E27" s="1081">
        <f>E26</f>
        <v>779</v>
      </c>
      <c r="F27" s="1082">
        <v>0</v>
      </c>
      <c r="G27" s="1083">
        <f>E27*F27</f>
        <v>0</v>
      </c>
    </row>
    <row r="28" spans="2:24" ht="24">
      <c r="B28" s="125">
        <v>3</v>
      </c>
      <c r="C28" s="144" t="s">
        <v>1389</v>
      </c>
      <c r="D28" s="146" t="s">
        <v>60</v>
      </c>
      <c r="E28" s="1081">
        <v>4</v>
      </c>
      <c r="F28" s="1082">
        <v>0</v>
      </c>
      <c r="G28" s="1083">
        <f t="shared" ref="G28:G36" si="1">E28*F28</f>
        <v>0</v>
      </c>
    </row>
    <row r="29" spans="2:24" ht="27.75" customHeight="1">
      <c r="B29" s="125">
        <v>4</v>
      </c>
      <c r="C29" s="1084" t="s">
        <v>63</v>
      </c>
      <c r="D29" s="140" t="s">
        <v>57</v>
      </c>
      <c r="E29" s="1081">
        <f>E26</f>
        <v>779</v>
      </c>
      <c r="F29" s="1082">
        <v>0</v>
      </c>
      <c r="G29" s="1083">
        <f t="shared" si="1"/>
        <v>0</v>
      </c>
    </row>
    <row r="30" spans="2:24" ht="52.5" customHeight="1">
      <c r="B30" s="125">
        <v>5</v>
      </c>
      <c r="C30" s="1084" t="s">
        <v>64</v>
      </c>
      <c r="D30" s="146" t="s">
        <v>60</v>
      </c>
      <c r="E30" s="1081">
        <v>1</v>
      </c>
      <c r="F30" s="1082">
        <v>0</v>
      </c>
      <c r="G30" s="1083">
        <f t="shared" si="1"/>
        <v>0</v>
      </c>
    </row>
    <row r="31" spans="2:24" ht="54.75" customHeight="1">
      <c r="B31" s="125">
        <v>6</v>
      </c>
      <c r="C31" s="1080" t="s">
        <v>2292</v>
      </c>
      <c r="D31" s="146" t="s">
        <v>66</v>
      </c>
      <c r="E31" s="1081">
        <v>27</v>
      </c>
      <c r="F31" s="1082">
        <v>0</v>
      </c>
      <c r="G31" s="1083">
        <f t="shared" si="1"/>
        <v>0</v>
      </c>
    </row>
    <row r="32" spans="2:24" ht="36">
      <c r="B32" s="125">
        <v>7</v>
      </c>
      <c r="C32" s="1080" t="s">
        <v>2295</v>
      </c>
      <c r="D32" s="146" t="s">
        <v>57</v>
      </c>
      <c r="E32" s="1081">
        <f>E26+E84+E85</f>
        <v>1019</v>
      </c>
      <c r="F32" s="1082">
        <v>0</v>
      </c>
      <c r="G32" s="1083">
        <f t="shared" si="1"/>
        <v>0</v>
      </c>
    </row>
    <row r="33" spans="1:24" ht="24">
      <c r="B33" s="125">
        <v>8</v>
      </c>
      <c r="C33" s="1080" t="s">
        <v>2293</v>
      </c>
      <c r="D33" s="146" t="s">
        <v>57</v>
      </c>
      <c r="E33" s="1081">
        <f>E26+E84+E85</f>
        <v>1019</v>
      </c>
      <c r="F33" s="1082">
        <v>0</v>
      </c>
      <c r="G33" s="1083">
        <f t="shared" si="1"/>
        <v>0</v>
      </c>
    </row>
    <row r="34" spans="1:24">
      <c r="B34" s="125">
        <v>9</v>
      </c>
      <c r="C34" s="1084" t="s">
        <v>67</v>
      </c>
      <c r="D34" s="146" t="s">
        <v>60</v>
      </c>
      <c r="E34" s="1081">
        <v>1</v>
      </c>
      <c r="F34" s="1082">
        <v>0</v>
      </c>
      <c r="G34" s="1083">
        <f t="shared" si="1"/>
        <v>0</v>
      </c>
    </row>
    <row r="35" spans="1:24" ht="36">
      <c r="B35" s="125">
        <v>10</v>
      </c>
      <c r="C35" s="952" t="s">
        <v>68</v>
      </c>
      <c r="D35" s="146" t="s">
        <v>60</v>
      </c>
      <c r="E35" s="1085">
        <v>1</v>
      </c>
      <c r="F35" s="1082">
        <v>0</v>
      </c>
      <c r="G35" s="1083">
        <f t="shared" si="1"/>
        <v>0</v>
      </c>
    </row>
    <row r="36" spans="1:24" ht="36">
      <c r="B36" s="125">
        <v>11</v>
      </c>
      <c r="C36" s="952" t="s">
        <v>69</v>
      </c>
      <c r="D36" s="146" t="s">
        <v>60</v>
      </c>
      <c r="E36" s="1085">
        <v>1</v>
      </c>
      <c r="F36" s="1082">
        <v>0</v>
      </c>
      <c r="G36" s="1083">
        <f t="shared" si="1"/>
        <v>0</v>
      </c>
    </row>
    <row r="37" spans="1:24">
      <c r="B37" s="125"/>
      <c r="C37" s="150"/>
      <c r="D37" s="146"/>
      <c r="E37" s="1085"/>
      <c r="F37" s="1082"/>
      <c r="G37" s="1083"/>
    </row>
    <row r="38" spans="1:24">
      <c r="B38" s="151" t="s">
        <v>43</v>
      </c>
      <c r="C38" s="1086" t="s">
        <v>1390</v>
      </c>
      <c r="D38" s="1103"/>
      <c r="E38" s="1088"/>
      <c r="F38" s="1089"/>
      <c r="G38" s="263">
        <f>SUM(G26:G36)</f>
        <v>0</v>
      </c>
    </row>
    <row r="39" spans="1:24" s="8" customFormat="1">
      <c r="A39" s="1"/>
      <c r="B39" s="125"/>
      <c r="C39" s="126"/>
      <c r="D39" s="140"/>
      <c r="E39" s="128"/>
      <c r="F39" s="129"/>
      <c r="G39" s="130"/>
      <c r="I39" s="1"/>
      <c r="J39" s="1"/>
      <c r="K39" s="1"/>
      <c r="L39" s="1"/>
      <c r="M39" s="1"/>
      <c r="N39" s="1"/>
      <c r="O39" s="1"/>
      <c r="P39" s="1"/>
      <c r="Q39" s="1"/>
      <c r="R39" s="1"/>
      <c r="S39" s="1"/>
      <c r="T39" s="1"/>
      <c r="U39" s="1"/>
      <c r="V39" s="1"/>
      <c r="W39" s="1"/>
      <c r="X39" s="1"/>
    </row>
    <row r="40" spans="1:24" s="8" customFormat="1" ht="24">
      <c r="A40" s="1"/>
      <c r="B40" s="157" t="s">
        <v>50</v>
      </c>
      <c r="C40" s="158" t="s">
        <v>51</v>
      </c>
      <c r="D40" s="158" t="s">
        <v>52</v>
      </c>
      <c r="E40" s="160" t="s">
        <v>53</v>
      </c>
      <c r="F40" s="161" t="s">
        <v>54</v>
      </c>
      <c r="G40" s="162" t="s">
        <v>55</v>
      </c>
      <c r="I40" s="1"/>
      <c r="J40" s="1"/>
      <c r="K40" s="1"/>
      <c r="L40" s="1"/>
      <c r="M40" s="1"/>
      <c r="N40" s="1"/>
      <c r="O40" s="1"/>
      <c r="P40" s="1"/>
      <c r="Q40" s="1"/>
      <c r="R40" s="1"/>
      <c r="S40" s="1"/>
      <c r="T40" s="1"/>
      <c r="U40" s="1"/>
      <c r="V40" s="1"/>
      <c r="W40" s="1"/>
      <c r="X40" s="1"/>
    </row>
    <row r="41" spans="1:24" s="8" customFormat="1">
      <c r="A41" s="1"/>
      <c r="B41" s="125"/>
      <c r="C41" s="163"/>
      <c r="D41" s="140"/>
      <c r="E41" s="128"/>
      <c r="F41" s="129"/>
      <c r="G41" s="130"/>
      <c r="I41" s="1"/>
      <c r="J41" s="1"/>
      <c r="K41" s="1"/>
      <c r="L41" s="1"/>
      <c r="M41" s="1"/>
      <c r="N41" s="1"/>
      <c r="O41" s="1"/>
      <c r="P41" s="1"/>
      <c r="Q41" s="1"/>
      <c r="R41" s="1"/>
      <c r="S41" s="1"/>
      <c r="T41" s="1"/>
      <c r="U41" s="1"/>
      <c r="V41" s="1"/>
      <c r="W41" s="1"/>
      <c r="X41" s="1"/>
    </row>
    <row r="42" spans="1:24" s="8" customFormat="1" ht="40.5">
      <c r="A42" s="1"/>
      <c r="B42" s="131" t="s">
        <v>45</v>
      </c>
      <c r="C42" s="164" t="s">
        <v>871</v>
      </c>
      <c r="D42" s="165"/>
      <c r="E42" s="134"/>
      <c r="F42" s="135"/>
      <c r="G42" s="136"/>
      <c r="I42" s="1"/>
      <c r="J42" s="1"/>
      <c r="K42" s="1"/>
      <c r="L42" s="1"/>
      <c r="M42" s="1"/>
      <c r="N42" s="1"/>
      <c r="O42" s="1"/>
      <c r="P42" s="1"/>
      <c r="Q42" s="1"/>
      <c r="R42" s="1"/>
      <c r="S42" s="1"/>
      <c r="T42" s="1"/>
      <c r="U42" s="1"/>
      <c r="V42" s="1"/>
      <c r="W42" s="1"/>
      <c r="X42" s="1"/>
    </row>
    <row r="43" spans="1:24" s="8" customFormat="1" ht="67.5" customHeight="1">
      <c r="A43" s="1"/>
      <c r="B43" s="2399" t="s">
        <v>72</v>
      </c>
      <c r="C43" s="2400"/>
      <c r="D43" s="2400"/>
      <c r="E43" s="2400"/>
      <c r="F43" s="2400"/>
      <c r="G43" s="2401"/>
      <c r="I43" s="1"/>
      <c r="J43" s="1"/>
      <c r="K43" s="1"/>
      <c r="L43" s="1"/>
      <c r="M43" s="1"/>
      <c r="N43" s="1"/>
      <c r="O43" s="1"/>
      <c r="P43" s="1"/>
      <c r="Q43" s="1"/>
      <c r="R43" s="1"/>
      <c r="S43" s="1"/>
      <c r="T43" s="1"/>
      <c r="U43" s="1"/>
      <c r="V43" s="1"/>
      <c r="W43" s="1"/>
      <c r="X43" s="1"/>
    </row>
    <row r="44" spans="1:24" s="8" customFormat="1" ht="27" customHeight="1">
      <c r="A44" s="1"/>
      <c r="B44" s="167">
        <v>1</v>
      </c>
      <c r="C44" s="139" t="s">
        <v>73</v>
      </c>
      <c r="D44" s="140" t="s">
        <v>74</v>
      </c>
      <c r="E44" s="1091">
        <v>32.4</v>
      </c>
      <c r="F44" s="1092">
        <v>0</v>
      </c>
      <c r="G44" s="1093">
        <f t="shared" ref="G44:G64" si="2">E44*F44</f>
        <v>0</v>
      </c>
      <c r="I44" s="1"/>
      <c r="J44" s="1"/>
      <c r="K44" s="1"/>
      <c r="L44" s="1"/>
      <c r="M44" s="1"/>
      <c r="N44" s="1"/>
      <c r="O44" s="1"/>
      <c r="P44" s="1"/>
      <c r="Q44" s="1"/>
      <c r="R44" s="1"/>
      <c r="S44" s="1"/>
      <c r="T44" s="1"/>
      <c r="U44" s="1"/>
      <c r="V44" s="1"/>
      <c r="W44" s="1"/>
      <c r="X44" s="1"/>
    </row>
    <row r="45" spans="1:24" s="8" customFormat="1" ht="41.25" customHeight="1">
      <c r="A45" s="1"/>
      <c r="B45" s="717">
        <v>2</v>
      </c>
      <c r="C45" s="139" t="s">
        <v>75</v>
      </c>
      <c r="D45" s="140" t="s">
        <v>74</v>
      </c>
      <c r="E45" s="1091">
        <f>E26*1.5*1.2*0.15</f>
        <v>210.33</v>
      </c>
      <c r="F45" s="1092">
        <v>0</v>
      </c>
      <c r="G45" s="1093">
        <f t="shared" si="2"/>
        <v>0</v>
      </c>
      <c r="I45" s="1"/>
      <c r="J45" s="1"/>
      <c r="K45" s="1"/>
      <c r="L45" s="1"/>
      <c r="M45" s="1"/>
      <c r="N45" s="1"/>
      <c r="O45" s="1"/>
      <c r="P45" s="1"/>
      <c r="Q45" s="1"/>
      <c r="R45" s="1"/>
      <c r="S45" s="1"/>
      <c r="T45" s="1"/>
      <c r="U45" s="1"/>
      <c r="V45" s="1"/>
      <c r="W45" s="1"/>
      <c r="X45" s="1"/>
    </row>
    <row r="46" spans="1:24" s="8" customFormat="1" ht="41.25" customHeight="1">
      <c r="A46" s="1"/>
      <c r="B46" s="167">
        <v>3</v>
      </c>
      <c r="C46" s="139" t="s">
        <v>76</v>
      </c>
      <c r="D46" s="145" t="s">
        <v>74</v>
      </c>
      <c r="E46" s="1094">
        <f>E26*1.5*1.2*0.85</f>
        <v>1191.8700000000001</v>
      </c>
      <c r="F46" s="1092">
        <v>0</v>
      </c>
      <c r="G46" s="142">
        <f t="shared" si="2"/>
        <v>0</v>
      </c>
      <c r="I46" s="1"/>
      <c r="J46" s="1"/>
      <c r="K46" s="1"/>
      <c r="L46" s="1"/>
      <c r="M46" s="1"/>
      <c r="N46" s="1"/>
      <c r="O46" s="1"/>
      <c r="P46" s="1"/>
      <c r="Q46" s="1"/>
      <c r="R46" s="1"/>
      <c r="S46" s="1"/>
      <c r="T46" s="1"/>
      <c r="U46" s="1"/>
      <c r="V46" s="1"/>
      <c r="W46" s="1"/>
      <c r="X46" s="1"/>
    </row>
    <row r="47" spans="1:24" s="8" customFormat="1" ht="27.75" customHeight="1">
      <c r="A47" s="1"/>
      <c r="B47" s="717">
        <v>4</v>
      </c>
      <c r="C47" s="126" t="s">
        <v>77</v>
      </c>
      <c r="D47" s="140" t="s">
        <v>78</v>
      </c>
      <c r="E47" s="1094">
        <f>E26*1.5</f>
        <v>1168.5</v>
      </c>
      <c r="F47" s="1092">
        <v>0</v>
      </c>
      <c r="G47" s="1083">
        <f t="shared" si="2"/>
        <v>0</v>
      </c>
      <c r="I47" s="1"/>
      <c r="J47" s="1"/>
      <c r="K47" s="1"/>
      <c r="L47" s="1"/>
      <c r="M47" s="1"/>
      <c r="N47" s="1"/>
      <c r="O47" s="1"/>
      <c r="P47" s="1"/>
      <c r="Q47" s="1"/>
      <c r="R47" s="1"/>
      <c r="S47" s="1"/>
      <c r="T47" s="1"/>
      <c r="U47" s="1"/>
      <c r="V47" s="1"/>
      <c r="W47" s="1"/>
      <c r="X47" s="1"/>
    </row>
    <row r="48" spans="1:24" s="8" customFormat="1" ht="27.75" customHeight="1">
      <c r="A48" s="1"/>
      <c r="B48" s="167">
        <v>5</v>
      </c>
      <c r="C48" s="126" t="s">
        <v>79</v>
      </c>
      <c r="D48" s="145" t="s">
        <v>78</v>
      </c>
      <c r="E48" s="1094">
        <f>E26</f>
        <v>779</v>
      </c>
      <c r="F48" s="1092">
        <v>0</v>
      </c>
      <c r="G48" s="1083">
        <f t="shared" si="2"/>
        <v>0</v>
      </c>
      <c r="I48" s="1"/>
      <c r="J48" s="1"/>
      <c r="K48" s="1"/>
      <c r="L48" s="1"/>
      <c r="M48" s="1"/>
      <c r="N48" s="1"/>
      <c r="O48" s="1"/>
      <c r="P48" s="1"/>
      <c r="Q48" s="1"/>
      <c r="R48" s="1"/>
      <c r="S48" s="1"/>
      <c r="T48" s="1"/>
      <c r="U48" s="1"/>
      <c r="V48" s="1"/>
      <c r="W48" s="1"/>
      <c r="X48" s="1"/>
    </row>
    <row r="49" spans="1:24" s="8" customFormat="1" ht="27.75" customHeight="1">
      <c r="A49" s="1"/>
      <c r="B49" s="717">
        <v>6</v>
      </c>
      <c r="C49" s="139" t="s">
        <v>247</v>
      </c>
      <c r="D49" s="145" t="s">
        <v>74</v>
      </c>
      <c r="E49" s="1094">
        <f>E26*1.2*1</f>
        <v>934.8</v>
      </c>
      <c r="F49" s="1092">
        <v>0</v>
      </c>
      <c r="G49" s="1083">
        <f t="shared" si="2"/>
        <v>0</v>
      </c>
      <c r="I49" s="1"/>
      <c r="J49" s="1"/>
      <c r="K49" s="1"/>
      <c r="L49" s="1"/>
      <c r="M49" s="1"/>
      <c r="N49" s="1"/>
      <c r="O49" s="1"/>
      <c r="P49" s="1"/>
      <c r="Q49" s="1"/>
      <c r="R49" s="1"/>
      <c r="S49" s="1"/>
      <c r="T49" s="1"/>
      <c r="U49" s="1"/>
      <c r="V49" s="1"/>
      <c r="W49" s="1"/>
      <c r="X49" s="1"/>
    </row>
    <row r="50" spans="1:24" s="8" customFormat="1" ht="40.5" customHeight="1">
      <c r="A50" s="1"/>
      <c r="B50" s="167">
        <v>7</v>
      </c>
      <c r="C50" s="139" t="s">
        <v>82</v>
      </c>
      <c r="D50" s="146" t="s">
        <v>74</v>
      </c>
      <c r="E50" s="1094">
        <f>E26*1.5*0.4</f>
        <v>467.40000000000003</v>
      </c>
      <c r="F50" s="1092">
        <v>0</v>
      </c>
      <c r="G50" s="1083">
        <f t="shared" si="2"/>
        <v>0</v>
      </c>
      <c r="I50" s="1"/>
      <c r="J50" s="1"/>
      <c r="K50" s="1"/>
      <c r="L50" s="1"/>
      <c r="M50" s="1"/>
      <c r="N50" s="1"/>
      <c r="O50" s="1"/>
      <c r="P50" s="1"/>
      <c r="Q50" s="1"/>
      <c r="R50" s="1"/>
      <c r="S50" s="1"/>
      <c r="T50" s="1"/>
      <c r="U50" s="1"/>
      <c r="V50" s="1"/>
      <c r="W50" s="1"/>
      <c r="X50" s="1"/>
    </row>
    <row r="51" spans="1:24" s="8" customFormat="1" ht="27" customHeight="1">
      <c r="A51" s="1"/>
      <c r="B51" s="717">
        <v>8</v>
      </c>
      <c r="C51" s="1095" t="s">
        <v>85</v>
      </c>
      <c r="D51" s="140" t="s">
        <v>57</v>
      </c>
      <c r="E51" s="1094">
        <v>10</v>
      </c>
      <c r="F51" s="1092">
        <v>0</v>
      </c>
      <c r="G51" s="1083">
        <f t="shared" si="2"/>
        <v>0</v>
      </c>
      <c r="I51" s="1"/>
      <c r="J51" s="1"/>
      <c r="K51" s="1"/>
      <c r="L51" s="1"/>
      <c r="M51" s="1"/>
      <c r="N51" s="1"/>
      <c r="O51" s="1"/>
      <c r="P51" s="1"/>
      <c r="Q51" s="1"/>
      <c r="R51" s="1"/>
      <c r="S51" s="1"/>
      <c r="T51" s="1"/>
      <c r="U51" s="1"/>
      <c r="V51" s="1"/>
      <c r="W51" s="1"/>
      <c r="X51" s="1"/>
    </row>
    <row r="52" spans="1:24" s="8" customFormat="1" ht="27" customHeight="1">
      <c r="A52" s="1"/>
      <c r="B52" s="167">
        <v>9</v>
      </c>
      <c r="C52" s="1095" t="s">
        <v>1391</v>
      </c>
      <c r="D52" s="140" t="s">
        <v>78</v>
      </c>
      <c r="E52" s="1094">
        <f>(E26-162)*1.2</f>
        <v>740.4</v>
      </c>
      <c r="F52" s="1092">
        <v>0</v>
      </c>
      <c r="G52" s="1083">
        <f t="shared" si="2"/>
        <v>0</v>
      </c>
      <c r="I52" s="1"/>
      <c r="J52" s="1"/>
      <c r="K52" s="1"/>
      <c r="L52" s="1"/>
      <c r="M52" s="1"/>
      <c r="N52" s="1"/>
      <c r="O52" s="1"/>
      <c r="P52" s="1"/>
      <c r="Q52" s="1"/>
      <c r="R52" s="1"/>
      <c r="S52" s="1"/>
      <c r="T52" s="1"/>
      <c r="U52" s="1"/>
      <c r="V52" s="1"/>
      <c r="W52" s="1"/>
      <c r="X52" s="1"/>
    </row>
    <row r="53" spans="1:24" s="8" customFormat="1" ht="63.75" customHeight="1">
      <c r="A53" s="1"/>
      <c r="B53" s="717">
        <v>10</v>
      </c>
      <c r="C53" s="397" t="s">
        <v>1471</v>
      </c>
      <c r="D53" s="145" t="s">
        <v>78</v>
      </c>
      <c r="E53" s="1094">
        <v>10</v>
      </c>
      <c r="F53" s="1092">
        <v>0</v>
      </c>
      <c r="G53" s="1083">
        <f t="shared" si="2"/>
        <v>0</v>
      </c>
      <c r="I53" s="1"/>
      <c r="J53" s="1"/>
      <c r="K53" s="1"/>
      <c r="L53" s="1"/>
      <c r="M53" s="1"/>
      <c r="N53" s="1"/>
      <c r="O53" s="1"/>
      <c r="P53" s="1"/>
      <c r="Q53" s="1"/>
      <c r="R53" s="1"/>
      <c r="S53" s="1"/>
      <c r="T53" s="1"/>
      <c r="U53" s="1"/>
      <c r="V53" s="1"/>
      <c r="W53" s="1"/>
      <c r="X53" s="1"/>
    </row>
    <row r="54" spans="1:24" s="8" customFormat="1" ht="14.25" customHeight="1">
      <c r="A54" s="1"/>
      <c r="B54" s="167">
        <v>11</v>
      </c>
      <c r="C54" s="139" t="s">
        <v>264</v>
      </c>
      <c r="D54" s="145" t="s">
        <v>74</v>
      </c>
      <c r="E54" s="128">
        <f>E45+E46-E49-(E52*0.05)</f>
        <v>430.38000000000011</v>
      </c>
      <c r="F54" s="1092">
        <v>0</v>
      </c>
      <c r="G54" s="142">
        <f t="shared" si="2"/>
        <v>0</v>
      </c>
      <c r="I54" s="1"/>
      <c r="J54" s="1"/>
      <c r="K54" s="1"/>
      <c r="L54" s="1"/>
      <c r="M54" s="1"/>
      <c r="N54" s="1"/>
      <c r="O54" s="1"/>
      <c r="P54" s="1"/>
      <c r="Q54" s="1"/>
      <c r="R54" s="1"/>
      <c r="S54" s="1"/>
      <c r="T54" s="1"/>
      <c r="U54" s="1"/>
      <c r="V54" s="1"/>
      <c r="W54" s="1"/>
      <c r="X54" s="1"/>
    </row>
    <row r="55" spans="1:24" s="8" customFormat="1">
      <c r="A55" s="1"/>
      <c r="B55" s="717">
        <v>12</v>
      </c>
      <c r="C55" s="139" t="s">
        <v>265</v>
      </c>
      <c r="D55" s="145" t="s">
        <v>74</v>
      </c>
      <c r="E55" s="128">
        <f>E54</f>
        <v>430.38000000000011</v>
      </c>
      <c r="F55" s="1092">
        <v>0</v>
      </c>
      <c r="G55" s="142">
        <f t="shared" si="2"/>
        <v>0</v>
      </c>
      <c r="I55" s="1"/>
      <c r="J55" s="1"/>
      <c r="K55" s="1"/>
      <c r="L55" s="1"/>
      <c r="M55" s="1"/>
      <c r="N55" s="1"/>
      <c r="O55" s="1"/>
      <c r="P55" s="1"/>
      <c r="Q55" s="1"/>
      <c r="R55" s="1"/>
      <c r="S55" s="1"/>
      <c r="T55" s="1"/>
      <c r="U55" s="1"/>
      <c r="V55" s="1"/>
      <c r="W55" s="1"/>
      <c r="X55" s="1"/>
    </row>
    <row r="56" spans="1:24" s="8" customFormat="1" ht="27.75" customHeight="1">
      <c r="A56" s="1"/>
      <c r="B56" s="167">
        <v>13</v>
      </c>
      <c r="C56" s="126" t="s">
        <v>95</v>
      </c>
      <c r="D56" s="140" t="s">
        <v>74</v>
      </c>
      <c r="E56" s="1094">
        <f>E26*0.75*0.1</f>
        <v>58.425000000000004</v>
      </c>
      <c r="F56" s="1092">
        <v>0</v>
      </c>
      <c r="G56" s="1083">
        <f t="shared" si="2"/>
        <v>0</v>
      </c>
      <c r="I56" s="1"/>
      <c r="J56" s="1"/>
      <c r="K56" s="1"/>
      <c r="L56" s="1"/>
      <c r="M56" s="1"/>
      <c r="N56" s="1"/>
      <c r="O56" s="1"/>
      <c r="P56" s="1"/>
      <c r="Q56" s="1"/>
      <c r="R56" s="1"/>
      <c r="S56" s="1"/>
      <c r="T56" s="1"/>
      <c r="U56" s="1"/>
      <c r="V56" s="1"/>
      <c r="W56" s="1"/>
      <c r="X56" s="1"/>
    </row>
    <row r="57" spans="1:24" s="8" customFormat="1" ht="27.75" customHeight="1">
      <c r="A57" s="1"/>
      <c r="B57" s="2408">
        <v>14</v>
      </c>
      <c r="C57" s="177" t="s">
        <v>83</v>
      </c>
      <c r="D57" s="146" t="s">
        <v>252</v>
      </c>
      <c r="E57" s="1094">
        <v>3</v>
      </c>
      <c r="F57" s="1092">
        <v>0</v>
      </c>
      <c r="G57" s="1083">
        <f>E57*F57</f>
        <v>0</v>
      </c>
      <c r="I57" s="1"/>
      <c r="J57" s="1"/>
      <c r="K57" s="1"/>
      <c r="L57" s="1"/>
      <c r="M57" s="1"/>
      <c r="N57" s="1"/>
      <c r="O57" s="1"/>
      <c r="P57" s="1"/>
      <c r="Q57" s="1"/>
      <c r="R57" s="1"/>
      <c r="S57" s="1"/>
      <c r="T57" s="1"/>
      <c r="U57" s="1"/>
      <c r="V57" s="1"/>
      <c r="W57" s="1"/>
      <c r="X57" s="1"/>
    </row>
    <row r="58" spans="1:24" s="8" customFormat="1" ht="12.75" customHeight="1">
      <c r="A58" s="1"/>
      <c r="B58" s="2608"/>
      <c r="C58" s="178" t="s">
        <v>84</v>
      </c>
      <c r="D58" s="146" t="s">
        <v>57</v>
      </c>
      <c r="E58" s="1094">
        <v>21</v>
      </c>
      <c r="F58" s="1082"/>
      <c r="G58" s="1083"/>
      <c r="I58" s="1"/>
      <c r="J58" s="1"/>
      <c r="K58" s="1"/>
      <c r="L58" s="1"/>
      <c r="M58" s="1"/>
      <c r="N58" s="1"/>
      <c r="O58" s="1"/>
      <c r="P58" s="1"/>
      <c r="Q58" s="1"/>
      <c r="R58" s="1"/>
      <c r="S58" s="1"/>
      <c r="T58" s="1"/>
      <c r="U58" s="1"/>
      <c r="V58" s="1"/>
      <c r="W58" s="1"/>
      <c r="X58" s="1"/>
    </row>
    <row r="59" spans="1:24" s="8" customFormat="1" ht="54.75" customHeight="1">
      <c r="A59" s="1"/>
      <c r="B59" s="2408">
        <v>15</v>
      </c>
      <c r="C59" s="722" t="s">
        <v>1477</v>
      </c>
      <c r="D59" s="194" t="s">
        <v>66</v>
      </c>
      <c r="E59" s="719">
        <v>2</v>
      </c>
      <c r="F59" s="1092">
        <v>0</v>
      </c>
      <c r="G59" s="1093">
        <f>E59*F59</f>
        <v>0</v>
      </c>
      <c r="I59" s="1"/>
      <c r="J59" s="1"/>
      <c r="K59" s="1"/>
      <c r="L59" s="1"/>
      <c r="M59" s="1"/>
      <c r="N59" s="1"/>
      <c r="O59" s="1"/>
      <c r="P59" s="1"/>
      <c r="Q59" s="1"/>
      <c r="R59" s="1"/>
      <c r="S59" s="1"/>
      <c r="T59" s="1"/>
      <c r="U59" s="1"/>
      <c r="V59" s="1"/>
      <c r="W59" s="1"/>
      <c r="X59" s="1"/>
    </row>
    <row r="60" spans="1:24" s="8" customFormat="1" ht="12.75" customHeight="1">
      <c r="A60" s="1"/>
      <c r="B60" s="2418"/>
      <c r="C60" s="722" t="s">
        <v>1482</v>
      </c>
      <c r="D60" s="194" t="s">
        <v>57</v>
      </c>
      <c r="E60" s="719">
        <v>15</v>
      </c>
      <c r="F60" s="1092">
        <v>0</v>
      </c>
      <c r="G60" s="1093"/>
      <c r="I60" s="1"/>
      <c r="J60" s="1"/>
      <c r="K60" s="1"/>
      <c r="L60" s="1"/>
      <c r="M60" s="1"/>
      <c r="N60" s="1"/>
      <c r="O60" s="1"/>
      <c r="P60" s="1"/>
      <c r="Q60" s="1"/>
      <c r="R60" s="1"/>
      <c r="S60" s="1"/>
      <c r="T60" s="1"/>
      <c r="U60" s="1"/>
      <c r="V60" s="1"/>
      <c r="W60" s="1"/>
      <c r="X60" s="1"/>
    </row>
    <row r="61" spans="1:24" s="8" customFormat="1" ht="40.5" customHeight="1">
      <c r="A61" s="1"/>
      <c r="B61" s="717">
        <v>16</v>
      </c>
      <c r="C61" s="1096" t="s">
        <v>1393</v>
      </c>
      <c r="D61" s="182" t="s">
        <v>74</v>
      </c>
      <c r="E61" s="1097">
        <v>5</v>
      </c>
      <c r="F61" s="1082">
        <v>0</v>
      </c>
      <c r="G61" s="1083">
        <f t="shared" si="2"/>
        <v>0</v>
      </c>
      <c r="I61" s="1"/>
      <c r="J61" s="1"/>
      <c r="K61" s="1"/>
      <c r="L61" s="1"/>
      <c r="M61" s="1"/>
      <c r="N61" s="1"/>
      <c r="O61" s="1"/>
      <c r="P61" s="1"/>
      <c r="Q61" s="1"/>
      <c r="R61" s="1"/>
      <c r="S61" s="1"/>
      <c r="T61" s="1"/>
      <c r="U61" s="1"/>
      <c r="V61" s="1"/>
      <c r="W61" s="1"/>
      <c r="X61" s="1"/>
    </row>
    <row r="62" spans="1:24" s="8" customFormat="1" ht="39" customHeight="1">
      <c r="A62" s="1"/>
      <c r="B62" s="717">
        <v>17</v>
      </c>
      <c r="C62" s="1096" t="s">
        <v>270</v>
      </c>
      <c r="D62" s="182" t="s">
        <v>66</v>
      </c>
      <c r="E62" s="1097">
        <v>82</v>
      </c>
      <c r="F62" s="1082">
        <v>0</v>
      </c>
      <c r="G62" s="1083">
        <f t="shared" si="2"/>
        <v>0</v>
      </c>
      <c r="I62" s="1"/>
      <c r="J62" s="1"/>
      <c r="K62" s="1"/>
      <c r="L62" s="1"/>
      <c r="M62" s="1"/>
      <c r="N62" s="1"/>
      <c r="O62" s="1"/>
      <c r="P62" s="1"/>
      <c r="Q62" s="1"/>
      <c r="R62" s="1"/>
      <c r="S62" s="1"/>
      <c r="T62" s="1"/>
      <c r="U62" s="1"/>
      <c r="V62" s="1"/>
      <c r="W62" s="1"/>
      <c r="X62" s="1"/>
    </row>
    <row r="63" spans="1:24" s="8" customFormat="1" ht="24">
      <c r="A63" s="1"/>
      <c r="B63" s="717">
        <v>18</v>
      </c>
      <c r="C63" s="1096" t="s">
        <v>99</v>
      </c>
      <c r="D63" s="182" t="s">
        <v>74</v>
      </c>
      <c r="E63" s="1097">
        <v>4</v>
      </c>
      <c r="F63" s="1082">
        <v>0</v>
      </c>
      <c r="G63" s="1083">
        <f t="shared" si="2"/>
        <v>0</v>
      </c>
      <c r="I63" s="1"/>
      <c r="J63" s="1"/>
      <c r="K63" s="1"/>
      <c r="L63" s="1"/>
      <c r="M63" s="1"/>
      <c r="N63" s="1"/>
      <c r="O63" s="1"/>
      <c r="P63" s="1"/>
      <c r="Q63" s="1"/>
      <c r="R63" s="1"/>
      <c r="S63" s="1"/>
      <c r="T63" s="1"/>
      <c r="U63" s="1"/>
      <c r="V63" s="1"/>
      <c r="W63" s="1"/>
      <c r="X63" s="1"/>
    </row>
    <row r="64" spans="1:24" s="8" customFormat="1" ht="27.75" customHeight="1">
      <c r="A64" s="1"/>
      <c r="B64" s="717">
        <v>19</v>
      </c>
      <c r="C64" s="1096" t="s">
        <v>100</v>
      </c>
      <c r="D64" s="182" t="s">
        <v>65</v>
      </c>
      <c r="E64" s="1097">
        <v>18</v>
      </c>
      <c r="F64" s="1082">
        <v>0</v>
      </c>
      <c r="G64" s="1083">
        <f t="shared" si="2"/>
        <v>0</v>
      </c>
      <c r="I64" s="1"/>
      <c r="J64" s="1"/>
      <c r="K64" s="1"/>
      <c r="L64" s="1"/>
      <c r="M64" s="1"/>
      <c r="N64" s="1"/>
      <c r="O64" s="1"/>
      <c r="P64" s="1"/>
      <c r="Q64" s="1"/>
      <c r="R64" s="1"/>
      <c r="S64" s="1"/>
      <c r="T64" s="1"/>
      <c r="U64" s="1"/>
      <c r="V64" s="1"/>
      <c r="W64" s="1"/>
      <c r="X64" s="1"/>
    </row>
    <row r="65" spans="1:24" s="8" customFormat="1">
      <c r="A65" s="1"/>
      <c r="B65" s="167"/>
      <c r="C65" s="1098"/>
      <c r="D65" s="1099"/>
      <c r="E65" s="1100"/>
      <c r="F65" s="1101"/>
      <c r="G65" s="1102"/>
      <c r="I65" s="1"/>
      <c r="J65" s="1"/>
      <c r="K65" s="1"/>
      <c r="L65" s="1"/>
      <c r="M65" s="1"/>
      <c r="N65" s="1"/>
      <c r="O65" s="1"/>
      <c r="P65" s="1"/>
      <c r="Q65" s="1"/>
      <c r="R65" s="1"/>
      <c r="S65" s="1"/>
      <c r="T65" s="1"/>
      <c r="U65" s="1"/>
      <c r="V65" s="1"/>
      <c r="W65" s="1"/>
      <c r="X65" s="1"/>
    </row>
    <row r="66" spans="1:24" s="8" customFormat="1">
      <c r="A66" s="1"/>
      <c r="B66" s="151" t="s">
        <v>45</v>
      </c>
      <c r="C66" s="1086" t="s">
        <v>101</v>
      </c>
      <c r="D66" s="1103"/>
      <c r="E66" s="1088"/>
      <c r="F66" s="1089"/>
      <c r="G66" s="263">
        <f>SUM(G44:G64)</f>
        <v>0</v>
      </c>
      <c r="I66" s="1"/>
      <c r="J66" s="1"/>
      <c r="K66" s="1"/>
      <c r="L66" s="1"/>
      <c r="M66" s="1"/>
      <c r="N66" s="1"/>
      <c r="O66" s="1"/>
      <c r="P66" s="1"/>
      <c r="Q66" s="1"/>
      <c r="R66" s="1"/>
      <c r="S66" s="1"/>
      <c r="T66" s="1"/>
      <c r="U66" s="1"/>
      <c r="V66" s="1"/>
      <c r="W66" s="1"/>
      <c r="X66" s="1"/>
    </row>
    <row r="67" spans="1:24" s="8" customFormat="1">
      <c r="A67" s="1"/>
      <c r="B67" s="67"/>
      <c r="C67" s="68"/>
      <c r="D67" s="1188"/>
      <c r="E67" s="1104"/>
      <c r="F67" s="1105"/>
      <c r="G67" s="1106"/>
      <c r="I67" s="1"/>
      <c r="J67" s="1"/>
      <c r="K67" s="1"/>
      <c r="L67" s="1"/>
      <c r="M67" s="1"/>
      <c r="N67" s="1"/>
      <c r="O67" s="1"/>
      <c r="P67" s="1"/>
      <c r="Q67" s="1"/>
      <c r="R67" s="1"/>
      <c r="S67" s="1"/>
      <c r="T67" s="1"/>
      <c r="U67" s="1"/>
      <c r="V67" s="1"/>
      <c r="W67" s="1"/>
      <c r="X67" s="1"/>
    </row>
    <row r="68" spans="1:24" s="8" customFormat="1" ht="24">
      <c r="A68" s="1"/>
      <c r="B68" s="119" t="s">
        <v>50</v>
      </c>
      <c r="C68" s="120" t="s">
        <v>51</v>
      </c>
      <c r="D68" s="120" t="s">
        <v>52</v>
      </c>
      <c r="E68" s="122" t="s">
        <v>53</v>
      </c>
      <c r="F68" s="123" t="s">
        <v>54</v>
      </c>
      <c r="G68" s="124" t="s">
        <v>55</v>
      </c>
      <c r="I68" s="1"/>
      <c r="J68" s="1"/>
      <c r="K68" s="1"/>
      <c r="L68" s="1"/>
      <c r="M68" s="1"/>
      <c r="N68" s="1"/>
      <c r="O68" s="1"/>
      <c r="P68" s="1"/>
      <c r="Q68" s="1"/>
      <c r="R68" s="1"/>
      <c r="S68" s="1"/>
      <c r="T68" s="1"/>
      <c r="U68" s="1"/>
      <c r="V68" s="1"/>
      <c r="W68" s="1"/>
      <c r="X68" s="1"/>
    </row>
    <row r="69" spans="1:24" s="8" customFormat="1">
      <c r="A69" s="1"/>
      <c r="B69" s="125"/>
      <c r="C69" s="126"/>
      <c r="D69" s="140"/>
      <c r="E69" s="719"/>
      <c r="F69" s="1107"/>
      <c r="G69" s="731"/>
      <c r="I69" s="1"/>
      <c r="J69" s="1"/>
      <c r="K69" s="1"/>
      <c r="L69" s="1"/>
      <c r="M69" s="1"/>
      <c r="N69" s="1"/>
      <c r="O69" s="1"/>
      <c r="P69" s="1"/>
      <c r="Q69" s="1"/>
      <c r="R69" s="1"/>
      <c r="S69" s="1"/>
      <c r="T69" s="1"/>
      <c r="U69" s="1"/>
      <c r="V69" s="1"/>
      <c r="W69" s="1"/>
      <c r="X69" s="1"/>
    </row>
    <row r="70" spans="1:24" s="8" customFormat="1" ht="20.25">
      <c r="A70" s="1"/>
      <c r="B70" s="186" t="s">
        <v>47</v>
      </c>
      <c r="C70" s="187" t="s">
        <v>48</v>
      </c>
      <c r="D70" s="165"/>
      <c r="E70" s="134"/>
      <c r="F70" s="135"/>
      <c r="G70" s="136"/>
      <c r="I70" s="1"/>
      <c r="J70" s="1"/>
      <c r="K70" s="1"/>
      <c r="L70" s="1"/>
      <c r="M70" s="1"/>
      <c r="N70" s="1"/>
      <c r="O70" s="1"/>
      <c r="P70" s="1"/>
      <c r="Q70" s="1"/>
      <c r="R70" s="1"/>
      <c r="S70" s="1"/>
      <c r="T70" s="1"/>
      <c r="U70" s="1"/>
      <c r="V70" s="1"/>
      <c r="W70" s="1"/>
      <c r="X70" s="1"/>
    </row>
    <row r="71" spans="1:24" s="8" customFormat="1">
      <c r="A71" s="1"/>
      <c r="B71" s="1108" t="s">
        <v>38</v>
      </c>
      <c r="C71" s="1109"/>
      <c r="D71" s="2235"/>
      <c r="E71" s="1109"/>
      <c r="F71" s="1109"/>
      <c r="G71" s="1110"/>
      <c r="I71" s="1"/>
      <c r="J71" s="1"/>
      <c r="K71" s="1"/>
      <c r="L71" s="1"/>
      <c r="M71" s="1"/>
      <c r="N71" s="1"/>
      <c r="O71" s="1"/>
      <c r="P71" s="1"/>
      <c r="Q71" s="1"/>
      <c r="R71" s="1"/>
      <c r="S71" s="1"/>
      <c r="T71" s="1"/>
      <c r="U71" s="1"/>
      <c r="V71" s="1"/>
      <c r="W71" s="1"/>
      <c r="X71" s="1"/>
    </row>
    <row r="72" spans="1:24" s="8" customFormat="1">
      <c r="A72" s="1"/>
      <c r="B72" s="1111" t="s">
        <v>39</v>
      </c>
      <c r="C72" s="1112"/>
      <c r="D72" s="2236"/>
      <c r="E72" s="1112"/>
      <c r="F72" s="1112"/>
      <c r="G72" s="1113"/>
      <c r="I72" s="1"/>
      <c r="J72" s="1"/>
      <c r="K72" s="1"/>
      <c r="L72" s="1"/>
      <c r="M72" s="1"/>
      <c r="N72" s="1"/>
      <c r="O72" s="1"/>
      <c r="P72" s="1"/>
      <c r="Q72" s="1"/>
      <c r="R72" s="1"/>
      <c r="S72" s="1"/>
      <c r="T72" s="1"/>
      <c r="U72" s="1"/>
      <c r="V72" s="1"/>
      <c r="W72" s="1"/>
      <c r="X72" s="1"/>
    </row>
    <row r="73" spans="1:24" s="8" customFormat="1">
      <c r="A73" s="1"/>
      <c r="B73" s="1108" t="s">
        <v>4</v>
      </c>
      <c r="C73" s="1109"/>
      <c r="D73" s="2237"/>
      <c r="E73" s="1109"/>
      <c r="F73" s="1109"/>
      <c r="G73" s="1110"/>
      <c r="I73" s="1"/>
      <c r="J73" s="1"/>
      <c r="K73" s="1"/>
      <c r="L73" s="1"/>
      <c r="M73" s="1"/>
      <c r="N73" s="1"/>
      <c r="O73" s="1"/>
      <c r="P73" s="1"/>
      <c r="Q73" s="1"/>
      <c r="R73" s="1"/>
      <c r="S73" s="1"/>
      <c r="T73" s="1"/>
      <c r="U73" s="1"/>
      <c r="V73" s="1"/>
      <c r="W73" s="1"/>
      <c r="X73" s="1"/>
    </row>
    <row r="74" spans="1:24" s="8" customFormat="1">
      <c r="A74" s="1"/>
      <c r="B74" s="1111" t="s">
        <v>5</v>
      </c>
      <c r="C74" s="1112"/>
      <c r="D74" s="2236"/>
      <c r="E74" s="1112"/>
      <c r="F74" s="1112"/>
      <c r="G74" s="1113"/>
      <c r="I74" s="1"/>
      <c r="J74" s="1"/>
      <c r="K74" s="1"/>
      <c r="L74" s="1"/>
      <c r="M74" s="1"/>
      <c r="N74" s="1"/>
      <c r="O74" s="1"/>
      <c r="P74" s="1"/>
      <c r="Q74" s="1"/>
      <c r="R74" s="1"/>
      <c r="S74" s="1"/>
      <c r="T74" s="1"/>
      <c r="U74" s="1"/>
      <c r="V74" s="1"/>
      <c r="W74" s="1"/>
      <c r="X74" s="1"/>
    </row>
    <row r="75" spans="1:24" s="8" customFormat="1">
      <c r="A75" s="1"/>
      <c r="B75" s="2399" t="s">
        <v>271</v>
      </c>
      <c r="C75" s="2400"/>
      <c r="D75" s="2400"/>
      <c r="E75" s="2400"/>
      <c r="F75" s="2400"/>
      <c r="G75" s="2401"/>
      <c r="I75" s="1"/>
      <c r="J75" s="1"/>
      <c r="K75" s="1"/>
      <c r="L75" s="1"/>
      <c r="M75" s="1"/>
      <c r="N75" s="1"/>
      <c r="O75" s="1"/>
      <c r="P75" s="1"/>
      <c r="Q75" s="1"/>
      <c r="R75" s="1"/>
      <c r="S75" s="1"/>
      <c r="T75" s="1"/>
      <c r="U75" s="1"/>
      <c r="V75" s="1"/>
      <c r="W75" s="1"/>
      <c r="X75" s="1"/>
    </row>
    <row r="76" spans="1:24" s="8" customFormat="1">
      <c r="A76" s="1"/>
      <c r="B76" s="2399" t="s">
        <v>104</v>
      </c>
      <c r="C76" s="2400"/>
      <c r="D76" s="2400"/>
      <c r="E76" s="2400"/>
      <c r="F76" s="2400"/>
      <c r="G76" s="2401"/>
      <c r="I76" s="1"/>
      <c r="J76" s="1"/>
      <c r="K76" s="1"/>
      <c r="L76" s="1"/>
      <c r="M76" s="1"/>
      <c r="N76" s="1"/>
      <c r="O76" s="1"/>
      <c r="P76" s="1"/>
      <c r="Q76" s="1"/>
      <c r="R76" s="1"/>
      <c r="S76" s="1"/>
      <c r="T76" s="1"/>
      <c r="U76" s="1"/>
      <c r="V76" s="1"/>
      <c r="W76" s="1"/>
      <c r="X76" s="1"/>
    </row>
    <row r="77" spans="1:24" s="8" customFormat="1">
      <c r="A77" s="1"/>
      <c r="B77" s="2399" t="s">
        <v>105</v>
      </c>
      <c r="C77" s="2400"/>
      <c r="D77" s="2400"/>
      <c r="E77" s="2400"/>
      <c r="F77" s="2400"/>
      <c r="G77" s="2401"/>
      <c r="I77" s="1"/>
      <c r="J77" s="1"/>
      <c r="K77" s="1"/>
      <c r="L77" s="1"/>
      <c r="M77" s="1"/>
      <c r="N77" s="1"/>
      <c r="O77" s="1"/>
      <c r="P77" s="1"/>
      <c r="Q77" s="1"/>
      <c r="R77" s="1"/>
      <c r="S77" s="1"/>
      <c r="T77" s="1"/>
      <c r="U77" s="1"/>
      <c r="V77" s="1"/>
      <c r="W77" s="1"/>
      <c r="X77" s="1"/>
    </row>
    <row r="78" spans="1:24" s="8" customFormat="1">
      <c r="A78" s="1"/>
      <c r="B78" s="1115"/>
      <c r="C78" s="1116"/>
      <c r="D78" s="2238"/>
      <c r="E78" s="1116"/>
      <c r="F78" s="1116"/>
      <c r="G78" s="1117"/>
      <c r="I78" s="1"/>
      <c r="J78" s="1"/>
      <c r="K78" s="1"/>
      <c r="L78" s="1"/>
      <c r="M78" s="1"/>
      <c r="N78" s="1"/>
      <c r="O78" s="1"/>
      <c r="P78" s="1"/>
      <c r="Q78" s="1"/>
      <c r="R78" s="1"/>
      <c r="S78" s="1"/>
      <c r="T78" s="1"/>
      <c r="U78" s="1"/>
      <c r="V78" s="1"/>
      <c r="W78" s="1"/>
      <c r="X78" s="1"/>
    </row>
    <row r="79" spans="1:24" ht="24">
      <c r="B79" s="188">
        <v>1</v>
      </c>
      <c r="C79" s="189" t="s">
        <v>106</v>
      </c>
      <c r="D79" s="190"/>
      <c r="E79" s="719"/>
      <c r="F79" s="1107"/>
      <c r="G79" s="731"/>
    </row>
    <row r="80" spans="1:24">
      <c r="B80" s="191"/>
      <c r="C80" s="192" t="s">
        <v>107</v>
      </c>
      <c r="D80" s="190" t="s">
        <v>57</v>
      </c>
      <c r="E80" s="719">
        <f>187*0.9</f>
        <v>168.3</v>
      </c>
      <c r="F80" s="1092">
        <v>0</v>
      </c>
      <c r="G80" s="1093">
        <f t="shared" ref="G80:G90" si="3">E80*F80</f>
        <v>0</v>
      </c>
    </row>
    <row r="81" spans="2:10" ht="24">
      <c r="B81" s="191"/>
      <c r="C81" s="192" t="s">
        <v>884</v>
      </c>
      <c r="D81" s="190" t="s">
        <v>57</v>
      </c>
      <c r="E81" s="719">
        <f>187*0.1</f>
        <v>18.7</v>
      </c>
      <c r="F81" s="1092">
        <v>0</v>
      </c>
      <c r="G81" s="1093">
        <f t="shared" si="3"/>
        <v>0</v>
      </c>
    </row>
    <row r="82" spans="2:10">
      <c r="B82" s="191"/>
      <c r="C82" s="192" t="s">
        <v>226</v>
      </c>
      <c r="D82" s="190" t="s">
        <v>57</v>
      </c>
      <c r="E82" s="719">
        <f>592*0.9</f>
        <v>532.80000000000007</v>
      </c>
      <c r="F82" s="1092">
        <v>0</v>
      </c>
      <c r="G82" s="1093">
        <f t="shared" si="3"/>
        <v>0</v>
      </c>
    </row>
    <row r="83" spans="2:10" ht="24">
      <c r="B83" s="191"/>
      <c r="C83" s="192" t="s">
        <v>227</v>
      </c>
      <c r="D83" s="190" t="s">
        <v>57</v>
      </c>
      <c r="E83" s="719">
        <f>592*0.1</f>
        <v>59.2</v>
      </c>
      <c r="F83" s="1092">
        <v>0</v>
      </c>
      <c r="G83" s="1093">
        <f t="shared" si="3"/>
        <v>0</v>
      </c>
      <c r="J83" s="1118"/>
    </row>
    <row r="84" spans="2:10">
      <c r="B84" s="191"/>
      <c r="C84" s="192" t="s">
        <v>109</v>
      </c>
      <c r="D84" s="190" t="s">
        <v>57</v>
      </c>
      <c r="E84" s="719">
        <f>240*0.9</f>
        <v>216</v>
      </c>
      <c r="F84" s="1092">
        <v>0</v>
      </c>
      <c r="G84" s="1093">
        <f t="shared" si="3"/>
        <v>0</v>
      </c>
      <c r="J84" s="1118"/>
    </row>
    <row r="85" spans="2:10" ht="24">
      <c r="B85" s="191"/>
      <c r="C85" s="192" t="s">
        <v>110</v>
      </c>
      <c r="D85" s="190" t="s">
        <v>57</v>
      </c>
      <c r="E85" s="719">
        <f>240*0.1</f>
        <v>24</v>
      </c>
      <c r="F85" s="1092">
        <v>0</v>
      </c>
      <c r="G85" s="1093">
        <f t="shared" si="3"/>
        <v>0</v>
      </c>
      <c r="J85" s="1118"/>
    </row>
    <row r="86" spans="2:10" ht="36">
      <c r="B86" s="2404" t="s">
        <v>111</v>
      </c>
      <c r="C86" s="193" t="s">
        <v>112</v>
      </c>
      <c r="D86" s="194"/>
      <c r="E86" s="719"/>
      <c r="F86" s="1092"/>
      <c r="G86" s="1093"/>
      <c r="J86" s="1118"/>
    </row>
    <row r="87" spans="2:10">
      <c r="B87" s="2405"/>
      <c r="C87" s="195" t="s">
        <v>113</v>
      </c>
      <c r="D87" s="194" t="s">
        <v>57</v>
      </c>
      <c r="E87" s="719">
        <v>30</v>
      </c>
      <c r="F87" s="1092">
        <v>0</v>
      </c>
      <c r="G87" s="1093">
        <f>E87*F87</f>
        <v>0</v>
      </c>
      <c r="J87" s="1119"/>
    </row>
    <row r="88" spans="2:10">
      <c r="B88" s="2405"/>
      <c r="C88" s="195" t="s">
        <v>274</v>
      </c>
      <c r="D88" s="194" t="s">
        <v>57</v>
      </c>
      <c r="E88" s="719">
        <v>50</v>
      </c>
      <c r="F88" s="1092">
        <v>0</v>
      </c>
      <c r="G88" s="1093">
        <f>E88*F88</f>
        <v>0</v>
      </c>
    </row>
    <row r="89" spans="2:10">
      <c r="B89" s="2413"/>
      <c r="C89" s="195" t="s">
        <v>275</v>
      </c>
      <c r="D89" s="194" t="s">
        <v>57</v>
      </c>
      <c r="E89" s="719">
        <v>90</v>
      </c>
      <c r="F89" s="1092">
        <v>0</v>
      </c>
      <c r="G89" s="1093">
        <f>E89*F89</f>
        <v>0</v>
      </c>
    </row>
    <row r="90" spans="2:10" ht="36">
      <c r="B90" s="196">
        <v>2</v>
      </c>
      <c r="C90" s="197" t="s">
        <v>114</v>
      </c>
      <c r="D90" s="145" t="s">
        <v>57</v>
      </c>
      <c r="E90" s="732">
        <f>SUM(E80:E85)</f>
        <v>1019.0000000000001</v>
      </c>
      <c r="F90" s="1092">
        <v>0</v>
      </c>
      <c r="G90" s="1093">
        <f t="shared" si="3"/>
        <v>0</v>
      </c>
    </row>
    <row r="91" spans="2:10" ht="36">
      <c r="B91" s="199" t="s">
        <v>115</v>
      </c>
      <c r="C91" s="197" t="s">
        <v>116</v>
      </c>
      <c r="D91" s="145" t="s">
        <v>57</v>
      </c>
      <c r="E91" s="732">
        <f>E90</f>
        <v>1019.0000000000001</v>
      </c>
      <c r="F91" s="1092">
        <v>0</v>
      </c>
      <c r="G91" s="1093">
        <f>E91*F91</f>
        <v>0</v>
      </c>
    </row>
    <row r="92" spans="2:10" ht="24">
      <c r="B92" s="199" t="s">
        <v>117</v>
      </c>
      <c r="C92" s="197" t="s">
        <v>118</v>
      </c>
      <c r="D92" s="145" t="s">
        <v>57</v>
      </c>
      <c r="E92" s="732">
        <f>E90</f>
        <v>1019.0000000000001</v>
      </c>
      <c r="F92" s="1092">
        <v>0</v>
      </c>
      <c r="G92" s="1093">
        <f>E92*F92</f>
        <v>0</v>
      </c>
    </row>
    <row r="93" spans="2:10" ht="36">
      <c r="B93" s="199" t="s">
        <v>119</v>
      </c>
      <c r="C93" s="197" t="s">
        <v>120</v>
      </c>
      <c r="D93" s="145" t="s">
        <v>57</v>
      </c>
      <c r="E93" s="732">
        <f>E90</f>
        <v>1019.0000000000001</v>
      </c>
      <c r="F93" s="1092">
        <v>0</v>
      </c>
      <c r="G93" s="1093">
        <f>E93*F93</f>
        <v>0</v>
      </c>
    </row>
    <row r="94" spans="2:10" ht="24">
      <c r="B94" s="188">
        <v>3</v>
      </c>
      <c r="C94" s="200" t="s">
        <v>121</v>
      </c>
      <c r="D94" s="140"/>
      <c r="E94" s="719"/>
      <c r="F94" s="1107">
        <v>0</v>
      </c>
      <c r="G94" s="731"/>
    </row>
    <row r="95" spans="2:10">
      <c r="B95" s="201" t="s">
        <v>122</v>
      </c>
      <c r="C95" s="212" t="s">
        <v>127</v>
      </c>
      <c r="D95" s="1228"/>
      <c r="E95" s="214"/>
      <c r="F95" s="215">
        <v>0</v>
      </c>
      <c r="G95" s="216"/>
    </row>
    <row r="96" spans="2:10">
      <c r="B96" s="218"/>
      <c r="C96" s="212" t="s">
        <v>128</v>
      </c>
      <c r="D96" s="2239"/>
      <c r="E96" s="736"/>
      <c r="F96" s="1601"/>
      <c r="G96" s="1121"/>
    </row>
    <row r="97" spans="2:7">
      <c r="B97" s="218"/>
      <c r="C97" s="219" t="s">
        <v>129</v>
      </c>
      <c r="D97" s="1228" t="s">
        <v>66</v>
      </c>
      <c r="E97" s="214">
        <v>2</v>
      </c>
      <c r="F97" s="1599">
        <v>0</v>
      </c>
      <c r="G97" s="221">
        <f t="shared" ref="G97:G115" si="4">E97*F97</f>
        <v>0</v>
      </c>
    </row>
    <row r="98" spans="2:7" ht="36">
      <c r="B98" s="218"/>
      <c r="C98" s="222" t="s">
        <v>130</v>
      </c>
      <c r="D98" s="1228" t="s">
        <v>66</v>
      </c>
      <c r="E98" s="214">
        <v>2</v>
      </c>
      <c r="F98" s="1599">
        <v>0</v>
      </c>
      <c r="G98" s="221">
        <f t="shared" si="4"/>
        <v>0</v>
      </c>
    </row>
    <row r="99" spans="2:7">
      <c r="B99" s="218"/>
      <c r="C99" s="222" t="s">
        <v>183</v>
      </c>
      <c r="D99" s="1228" t="s">
        <v>66</v>
      </c>
      <c r="E99" s="214">
        <v>2</v>
      </c>
      <c r="F99" s="1599">
        <v>0</v>
      </c>
      <c r="G99" s="221">
        <f t="shared" si="4"/>
        <v>0</v>
      </c>
    </row>
    <row r="100" spans="2:7">
      <c r="B100" s="218"/>
      <c r="C100" s="222" t="s">
        <v>131</v>
      </c>
      <c r="D100" s="1228" t="s">
        <v>66</v>
      </c>
      <c r="E100" s="214">
        <v>2</v>
      </c>
      <c r="F100" s="1599">
        <v>0</v>
      </c>
      <c r="G100" s="221">
        <f t="shared" si="4"/>
        <v>0</v>
      </c>
    </row>
    <row r="101" spans="2:7">
      <c r="B101" s="218"/>
      <c r="C101" s="222" t="s">
        <v>132</v>
      </c>
      <c r="D101" s="1228" t="s">
        <v>66</v>
      </c>
      <c r="E101" s="214">
        <v>4</v>
      </c>
      <c r="F101" s="1599">
        <v>0</v>
      </c>
      <c r="G101" s="221">
        <f t="shared" si="4"/>
        <v>0</v>
      </c>
    </row>
    <row r="102" spans="2:7">
      <c r="B102" s="218"/>
      <c r="C102" s="222" t="s">
        <v>133</v>
      </c>
      <c r="D102" s="1228" t="s">
        <v>66</v>
      </c>
      <c r="E102" s="214">
        <v>4</v>
      </c>
      <c r="F102" s="1599">
        <v>0</v>
      </c>
      <c r="G102" s="221">
        <f t="shared" si="4"/>
        <v>0</v>
      </c>
    </row>
    <row r="103" spans="2:7">
      <c r="B103" s="218"/>
      <c r="C103" s="222" t="s">
        <v>134</v>
      </c>
      <c r="D103" s="1228" t="s">
        <v>66</v>
      </c>
      <c r="E103" s="214">
        <v>2</v>
      </c>
      <c r="F103" s="1599">
        <v>0</v>
      </c>
      <c r="G103" s="221">
        <f t="shared" si="4"/>
        <v>0</v>
      </c>
    </row>
    <row r="104" spans="2:7">
      <c r="B104" s="218"/>
      <c r="C104" s="222" t="s">
        <v>135</v>
      </c>
      <c r="D104" s="1228" t="s">
        <v>66</v>
      </c>
      <c r="E104" s="214">
        <v>2</v>
      </c>
      <c r="F104" s="1599">
        <v>0</v>
      </c>
      <c r="G104" s="221">
        <f t="shared" si="4"/>
        <v>0</v>
      </c>
    </row>
    <row r="105" spans="2:7">
      <c r="B105" s="218"/>
      <c r="C105" s="212" t="s">
        <v>318</v>
      </c>
      <c r="D105" s="2239"/>
      <c r="E105" s="736"/>
      <c r="F105" s="1599"/>
      <c r="G105" s="221"/>
    </row>
    <row r="106" spans="2:7">
      <c r="B106" s="218"/>
      <c r="C106" s="219" t="s">
        <v>319</v>
      </c>
      <c r="D106" s="1228" t="s">
        <v>66</v>
      </c>
      <c r="E106" s="214">
        <v>3</v>
      </c>
      <c r="F106" s="1599">
        <v>0</v>
      </c>
      <c r="G106" s="221">
        <f t="shared" si="4"/>
        <v>0</v>
      </c>
    </row>
    <row r="107" spans="2:7" ht="36">
      <c r="B107" s="218"/>
      <c r="C107" s="222" t="s">
        <v>283</v>
      </c>
      <c r="D107" s="1228" t="s">
        <v>66</v>
      </c>
      <c r="E107" s="214">
        <v>3</v>
      </c>
      <c r="F107" s="1599">
        <v>0</v>
      </c>
      <c r="G107" s="221">
        <f t="shared" si="4"/>
        <v>0</v>
      </c>
    </row>
    <row r="108" spans="2:7">
      <c r="B108" s="218"/>
      <c r="C108" s="222" t="s">
        <v>183</v>
      </c>
      <c r="D108" s="1228" t="s">
        <v>66</v>
      </c>
      <c r="E108" s="214">
        <v>3</v>
      </c>
      <c r="F108" s="1599">
        <v>0</v>
      </c>
      <c r="G108" s="221">
        <f t="shared" si="4"/>
        <v>0</v>
      </c>
    </row>
    <row r="109" spans="2:7">
      <c r="B109" s="218"/>
      <c r="C109" s="222" t="s">
        <v>131</v>
      </c>
      <c r="D109" s="1228" t="s">
        <v>66</v>
      </c>
      <c r="E109" s="214">
        <v>3</v>
      </c>
      <c r="F109" s="1599">
        <v>0</v>
      </c>
      <c r="G109" s="221">
        <f t="shared" si="4"/>
        <v>0</v>
      </c>
    </row>
    <row r="110" spans="2:7">
      <c r="B110" s="218"/>
      <c r="C110" s="1133" t="s">
        <v>166</v>
      </c>
      <c r="D110" s="1228" t="s">
        <v>66</v>
      </c>
      <c r="E110" s="214">
        <v>6</v>
      </c>
      <c r="F110" s="1599">
        <v>0</v>
      </c>
      <c r="G110" s="221">
        <f t="shared" si="4"/>
        <v>0</v>
      </c>
    </row>
    <row r="111" spans="2:7">
      <c r="B111" s="218"/>
      <c r="C111" s="1133" t="s">
        <v>167</v>
      </c>
      <c r="D111" s="1228" t="s">
        <v>66</v>
      </c>
      <c r="E111" s="214">
        <v>6</v>
      </c>
      <c r="F111" s="1599">
        <v>0</v>
      </c>
      <c r="G111" s="221">
        <f t="shared" si="4"/>
        <v>0</v>
      </c>
    </row>
    <row r="112" spans="2:7">
      <c r="B112" s="218"/>
      <c r="C112" s="1133" t="s">
        <v>229</v>
      </c>
      <c r="D112" s="1228" t="s">
        <v>66</v>
      </c>
      <c r="E112" s="214">
        <v>6</v>
      </c>
      <c r="F112" s="1599">
        <v>0</v>
      </c>
      <c r="G112" s="221">
        <f t="shared" si="4"/>
        <v>0</v>
      </c>
    </row>
    <row r="113" spans="2:7">
      <c r="B113" s="218"/>
      <c r="C113" s="1133" t="s">
        <v>230</v>
      </c>
      <c r="D113" s="1228" t="s">
        <v>66</v>
      </c>
      <c r="E113" s="214">
        <v>6</v>
      </c>
      <c r="F113" s="1599">
        <v>0</v>
      </c>
      <c r="G113" s="221">
        <f t="shared" si="4"/>
        <v>0</v>
      </c>
    </row>
    <row r="114" spans="2:7">
      <c r="B114" s="218"/>
      <c r="C114" s="1133" t="s">
        <v>134</v>
      </c>
      <c r="D114" s="1228" t="s">
        <v>66</v>
      </c>
      <c r="E114" s="214">
        <v>3</v>
      </c>
      <c r="F114" s="1599">
        <v>0</v>
      </c>
      <c r="G114" s="221">
        <f t="shared" si="4"/>
        <v>0</v>
      </c>
    </row>
    <row r="115" spans="2:7">
      <c r="B115" s="218"/>
      <c r="C115" s="1134" t="s">
        <v>135</v>
      </c>
      <c r="D115" s="1228" t="s">
        <v>66</v>
      </c>
      <c r="E115" s="214">
        <v>3</v>
      </c>
      <c r="F115" s="1599">
        <v>0</v>
      </c>
      <c r="G115" s="221">
        <f t="shared" si="4"/>
        <v>0</v>
      </c>
    </row>
    <row r="116" spans="2:7">
      <c r="B116" s="201" t="s">
        <v>126</v>
      </c>
      <c r="C116" s="238" t="s">
        <v>320</v>
      </c>
      <c r="D116" s="260"/>
      <c r="E116" s="240"/>
      <c r="F116" s="241"/>
      <c r="G116" s="242"/>
    </row>
    <row r="117" spans="2:7">
      <c r="B117" s="218"/>
      <c r="C117" s="238" t="s">
        <v>326</v>
      </c>
      <c r="D117" s="185"/>
      <c r="E117" s="741"/>
      <c r="F117" s="1611"/>
      <c r="G117" s="263"/>
    </row>
    <row r="118" spans="2:7" ht="28.5" customHeight="1">
      <c r="B118" s="218"/>
      <c r="C118" s="1123" t="s">
        <v>322</v>
      </c>
      <c r="D118" s="260" t="s">
        <v>66</v>
      </c>
      <c r="E118" s="240">
        <v>3</v>
      </c>
      <c r="F118" s="1609">
        <v>0</v>
      </c>
      <c r="G118" s="245">
        <f t="shared" ref="G118:G120" si="5">E118*F118</f>
        <v>0</v>
      </c>
    </row>
    <row r="119" spans="2:7">
      <c r="B119" s="218"/>
      <c r="C119" s="246" t="s">
        <v>325</v>
      </c>
      <c r="D119" s="260" t="s">
        <v>66</v>
      </c>
      <c r="E119" s="240">
        <v>3</v>
      </c>
      <c r="F119" s="1609">
        <v>0</v>
      </c>
      <c r="G119" s="245">
        <f t="shared" si="5"/>
        <v>0</v>
      </c>
    </row>
    <row r="120" spans="2:7">
      <c r="B120" s="218"/>
      <c r="C120" s="247" t="s">
        <v>135</v>
      </c>
      <c r="D120" s="260" t="s">
        <v>66</v>
      </c>
      <c r="E120" s="240">
        <v>3</v>
      </c>
      <c r="F120" s="1609">
        <v>0</v>
      </c>
      <c r="G120" s="245">
        <f t="shared" si="5"/>
        <v>0</v>
      </c>
    </row>
    <row r="121" spans="2:7">
      <c r="B121" s="201" t="s">
        <v>136</v>
      </c>
      <c r="C121" s="223" t="s">
        <v>137</v>
      </c>
      <c r="D121" s="1232"/>
      <c r="E121" s="225"/>
      <c r="F121" s="226"/>
      <c r="G121" s="227"/>
    </row>
    <row r="122" spans="2:7">
      <c r="B122" s="218"/>
      <c r="C122" s="223" t="s">
        <v>138</v>
      </c>
      <c r="D122" s="2240"/>
      <c r="E122" s="738"/>
      <c r="F122" s="1605"/>
      <c r="G122" s="1125"/>
    </row>
    <row r="123" spans="2:7">
      <c r="B123" s="218"/>
      <c r="C123" s="228" t="s">
        <v>129</v>
      </c>
      <c r="D123" s="1232" t="s">
        <v>66</v>
      </c>
      <c r="E123" s="225">
        <v>1</v>
      </c>
      <c r="F123" s="1603">
        <v>0</v>
      </c>
      <c r="G123" s="230">
        <f t="shared" ref="G123:G138" si="6">E123*F123</f>
        <v>0</v>
      </c>
    </row>
    <row r="124" spans="2:7">
      <c r="B124" s="218"/>
      <c r="C124" s="228" t="s">
        <v>139</v>
      </c>
      <c r="D124" s="1232" t="s">
        <v>66</v>
      </c>
      <c r="E124" s="225">
        <v>2</v>
      </c>
      <c r="F124" s="1603">
        <v>0</v>
      </c>
      <c r="G124" s="230">
        <f t="shared" si="6"/>
        <v>0</v>
      </c>
    </row>
    <row r="125" spans="2:7">
      <c r="B125" s="218"/>
      <c r="C125" s="231" t="s">
        <v>140</v>
      </c>
      <c r="D125" s="1232" t="s">
        <v>66</v>
      </c>
      <c r="E125" s="225">
        <v>1</v>
      </c>
      <c r="F125" s="1603">
        <v>0</v>
      </c>
      <c r="G125" s="230">
        <f t="shared" si="6"/>
        <v>0</v>
      </c>
    </row>
    <row r="126" spans="2:7">
      <c r="B126" s="218"/>
      <c r="C126" s="231" t="s">
        <v>141</v>
      </c>
      <c r="D126" s="1232" t="s">
        <v>66</v>
      </c>
      <c r="E126" s="225">
        <v>1</v>
      </c>
      <c r="F126" s="1603">
        <v>0</v>
      </c>
      <c r="G126" s="230">
        <f t="shared" si="6"/>
        <v>0</v>
      </c>
    </row>
    <row r="127" spans="2:7">
      <c r="B127" s="218"/>
      <c r="C127" s="231" t="s">
        <v>142</v>
      </c>
      <c r="D127" s="1232" t="s">
        <v>66</v>
      </c>
      <c r="E127" s="225">
        <v>1</v>
      </c>
      <c r="F127" s="1603">
        <v>0</v>
      </c>
      <c r="G127" s="230">
        <f t="shared" si="6"/>
        <v>0</v>
      </c>
    </row>
    <row r="128" spans="2:7">
      <c r="B128" s="218"/>
      <c r="C128" s="231" t="s">
        <v>143</v>
      </c>
      <c r="D128" s="1232" t="s">
        <v>66</v>
      </c>
      <c r="E128" s="225">
        <v>1</v>
      </c>
      <c r="F128" s="1603">
        <v>0</v>
      </c>
      <c r="G128" s="230">
        <f t="shared" si="6"/>
        <v>0</v>
      </c>
    </row>
    <row r="129" spans="2:7">
      <c r="B129" s="218"/>
      <c r="C129" s="231" t="s">
        <v>2250</v>
      </c>
      <c r="D129" s="1232" t="s">
        <v>66</v>
      </c>
      <c r="E129" s="225">
        <v>1</v>
      </c>
      <c r="F129" s="1603">
        <v>0</v>
      </c>
      <c r="G129" s="230">
        <f t="shared" si="6"/>
        <v>0</v>
      </c>
    </row>
    <row r="130" spans="2:7">
      <c r="B130" s="218"/>
      <c r="C130" s="231" t="s">
        <v>145</v>
      </c>
      <c r="D130" s="1232" t="s">
        <v>66</v>
      </c>
      <c r="E130" s="225">
        <v>1</v>
      </c>
      <c r="F130" s="1603">
        <v>0</v>
      </c>
      <c r="G130" s="230">
        <f t="shared" si="6"/>
        <v>0</v>
      </c>
    </row>
    <row r="131" spans="2:7">
      <c r="B131" s="218"/>
      <c r="C131" s="231" t="s">
        <v>146</v>
      </c>
      <c r="D131" s="1232" t="s">
        <v>66</v>
      </c>
      <c r="E131" s="225">
        <v>1</v>
      </c>
      <c r="F131" s="1603">
        <v>0</v>
      </c>
      <c r="G131" s="230">
        <f t="shared" si="6"/>
        <v>0</v>
      </c>
    </row>
    <row r="132" spans="2:7">
      <c r="B132" s="218"/>
      <c r="C132" s="739" t="s">
        <v>147</v>
      </c>
      <c r="D132" s="1232" t="s">
        <v>66</v>
      </c>
      <c r="E132" s="225">
        <v>1</v>
      </c>
      <c r="F132" s="1603">
        <v>0</v>
      </c>
      <c r="G132" s="230">
        <f t="shared" si="6"/>
        <v>0</v>
      </c>
    </row>
    <row r="133" spans="2:7">
      <c r="B133" s="218"/>
      <c r="C133" s="739" t="s">
        <v>188</v>
      </c>
      <c r="D133" s="1232" t="s">
        <v>66</v>
      </c>
      <c r="E133" s="225">
        <v>1</v>
      </c>
      <c r="F133" s="1603">
        <v>0</v>
      </c>
      <c r="G133" s="230">
        <f t="shared" si="6"/>
        <v>0</v>
      </c>
    </row>
    <row r="134" spans="2:7">
      <c r="B134" s="218"/>
      <c r="C134" s="739" t="s">
        <v>132</v>
      </c>
      <c r="D134" s="1232" t="s">
        <v>66</v>
      </c>
      <c r="E134" s="225">
        <v>2</v>
      </c>
      <c r="F134" s="1603">
        <v>0</v>
      </c>
      <c r="G134" s="230">
        <f t="shared" si="6"/>
        <v>0</v>
      </c>
    </row>
    <row r="135" spans="2:7">
      <c r="B135" s="218"/>
      <c r="C135" s="739" t="s">
        <v>148</v>
      </c>
      <c r="D135" s="1232" t="s">
        <v>66</v>
      </c>
      <c r="E135" s="225">
        <v>2</v>
      </c>
      <c r="F135" s="1603">
        <v>0</v>
      </c>
      <c r="G135" s="230">
        <f t="shared" si="6"/>
        <v>0</v>
      </c>
    </row>
    <row r="136" spans="2:7">
      <c r="B136" s="218"/>
      <c r="C136" s="739" t="s">
        <v>149</v>
      </c>
      <c r="D136" s="1232" t="s">
        <v>66</v>
      </c>
      <c r="E136" s="225">
        <v>1</v>
      </c>
      <c r="F136" s="1603">
        <v>0</v>
      </c>
      <c r="G136" s="230">
        <f t="shared" si="6"/>
        <v>0</v>
      </c>
    </row>
    <row r="137" spans="2:7">
      <c r="B137" s="218"/>
      <c r="C137" s="739" t="s">
        <v>150</v>
      </c>
      <c r="D137" s="1232" t="s">
        <v>66</v>
      </c>
      <c r="E137" s="225">
        <v>3</v>
      </c>
      <c r="F137" s="1603">
        <v>0</v>
      </c>
      <c r="G137" s="230">
        <f t="shared" si="6"/>
        <v>0</v>
      </c>
    </row>
    <row r="138" spans="2:7">
      <c r="B138" s="218"/>
      <c r="C138" s="740" t="s">
        <v>135</v>
      </c>
      <c r="D138" s="1232" t="s">
        <v>66</v>
      </c>
      <c r="E138" s="225">
        <v>1</v>
      </c>
      <c r="F138" s="1603">
        <v>0</v>
      </c>
      <c r="G138" s="230">
        <f t="shared" si="6"/>
        <v>0</v>
      </c>
    </row>
    <row r="139" spans="2:7">
      <c r="B139" s="201" t="s">
        <v>151</v>
      </c>
      <c r="C139" s="212" t="s">
        <v>152</v>
      </c>
      <c r="D139" s="1228"/>
      <c r="E139" s="214"/>
      <c r="F139" s="215"/>
      <c r="G139" s="216"/>
    </row>
    <row r="140" spans="2:7">
      <c r="B140" s="218"/>
      <c r="C140" s="212" t="s">
        <v>153</v>
      </c>
      <c r="D140" s="2239"/>
      <c r="E140" s="736"/>
      <c r="F140" s="1601"/>
      <c r="G140" s="1121"/>
    </row>
    <row r="141" spans="2:7">
      <c r="B141" s="218"/>
      <c r="C141" s="219" t="s">
        <v>129</v>
      </c>
      <c r="D141" s="1228" t="s">
        <v>66</v>
      </c>
      <c r="E141" s="214">
        <v>2</v>
      </c>
      <c r="F141" s="1599">
        <v>0</v>
      </c>
      <c r="G141" s="221">
        <f t="shared" ref="G141:G151" si="7">E141*F141</f>
        <v>0</v>
      </c>
    </row>
    <row r="142" spans="2:7" ht="24">
      <c r="B142" s="218"/>
      <c r="C142" s="222" t="s">
        <v>154</v>
      </c>
      <c r="D142" s="1228" t="s">
        <v>66</v>
      </c>
      <c r="E142" s="214">
        <v>2</v>
      </c>
      <c r="F142" s="1599">
        <v>0</v>
      </c>
      <c r="G142" s="221">
        <f t="shared" si="7"/>
        <v>0</v>
      </c>
    </row>
    <row r="143" spans="2:7">
      <c r="B143" s="218"/>
      <c r="C143" s="222" t="s">
        <v>155</v>
      </c>
      <c r="D143" s="1228" t="s">
        <v>66</v>
      </c>
      <c r="E143" s="214">
        <v>2</v>
      </c>
      <c r="F143" s="1599">
        <v>0</v>
      </c>
      <c r="G143" s="221">
        <f t="shared" si="7"/>
        <v>0</v>
      </c>
    </row>
    <row r="144" spans="2:7">
      <c r="B144" s="218"/>
      <c r="C144" s="222" t="s">
        <v>330</v>
      </c>
      <c r="D144" s="1228" t="s">
        <v>66</v>
      </c>
      <c r="E144" s="214">
        <v>2</v>
      </c>
      <c r="F144" s="1599">
        <v>0</v>
      </c>
      <c r="G144" s="221">
        <f t="shared" si="7"/>
        <v>0</v>
      </c>
    </row>
    <row r="145" spans="2:7">
      <c r="B145" s="218"/>
      <c r="C145" s="222" t="s">
        <v>157</v>
      </c>
      <c r="D145" s="1228" t="s">
        <v>66</v>
      </c>
      <c r="E145" s="214">
        <v>2</v>
      </c>
      <c r="F145" s="1599">
        <v>0</v>
      </c>
      <c r="G145" s="221">
        <f t="shared" si="7"/>
        <v>0</v>
      </c>
    </row>
    <row r="146" spans="2:7">
      <c r="B146" s="218"/>
      <c r="C146" s="234" t="s">
        <v>158</v>
      </c>
      <c r="D146" s="1228" t="s">
        <v>66</v>
      </c>
      <c r="E146" s="214">
        <v>2</v>
      </c>
      <c r="F146" s="1599">
        <v>0</v>
      </c>
      <c r="G146" s="221">
        <f t="shared" si="7"/>
        <v>0</v>
      </c>
    </row>
    <row r="147" spans="2:7">
      <c r="B147" s="218"/>
      <c r="C147" s="234" t="s">
        <v>190</v>
      </c>
      <c r="D147" s="1228" t="s">
        <v>66</v>
      </c>
      <c r="E147" s="214">
        <v>2</v>
      </c>
      <c r="F147" s="1599">
        <v>0</v>
      </c>
      <c r="G147" s="221">
        <f t="shared" si="7"/>
        <v>0</v>
      </c>
    </row>
    <row r="148" spans="2:7">
      <c r="B148" s="218"/>
      <c r="C148" s="234" t="s">
        <v>132</v>
      </c>
      <c r="D148" s="1228" t="s">
        <v>66</v>
      </c>
      <c r="E148" s="214">
        <v>4</v>
      </c>
      <c r="F148" s="1599">
        <v>0</v>
      </c>
      <c r="G148" s="221">
        <f t="shared" si="7"/>
        <v>0</v>
      </c>
    </row>
    <row r="149" spans="2:7">
      <c r="B149" s="218"/>
      <c r="C149" s="234" t="s">
        <v>148</v>
      </c>
      <c r="D149" s="1228" t="s">
        <v>66</v>
      </c>
      <c r="E149" s="214">
        <v>4</v>
      </c>
      <c r="F149" s="1599">
        <v>0</v>
      </c>
      <c r="G149" s="221">
        <f t="shared" si="7"/>
        <v>0</v>
      </c>
    </row>
    <row r="150" spans="2:7">
      <c r="B150" s="218"/>
      <c r="C150" s="234" t="s">
        <v>150</v>
      </c>
      <c r="D150" s="1228" t="s">
        <v>66</v>
      </c>
      <c r="E150" s="214">
        <v>2</v>
      </c>
      <c r="F150" s="1599">
        <v>0</v>
      </c>
      <c r="G150" s="221">
        <f t="shared" si="7"/>
        <v>0</v>
      </c>
    </row>
    <row r="151" spans="2:7">
      <c r="B151" s="218"/>
      <c r="C151" s="235" t="s">
        <v>135</v>
      </c>
      <c r="D151" s="1228" t="s">
        <v>66</v>
      </c>
      <c r="E151" s="214">
        <v>2</v>
      </c>
      <c r="F151" s="1599">
        <v>0</v>
      </c>
      <c r="G151" s="221">
        <f t="shared" si="7"/>
        <v>0</v>
      </c>
    </row>
    <row r="152" spans="2:7" ht="24">
      <c r="B152" s="199" t="s">
        <v>1416</v>
      </c>
      <c r="C152" s="212" t="s">
        <v>332</v>
      </c>
      <c r="D152" s="2239" t="s">
        <v>66</v>
      </c>
      <c r="E152" s="736">
        <v>2</v>
      </c>
      <c r="F152" s="220">
        <v>0</v>
      </c>
      <c r="G152" s="221">
        <f>E152*F152</f>
        <v>0</v>
      </c>
    </row>
    <row r="153" spans="2:7">
      <c r="B153" s="201" t="s">
        <v>159</v>
      </c>
      <c r="C153" s="223" t="s">
        <v>886</v>
      </c>
      <c r="D153" s="1232"/>
      <c r="E153" s="225"/>
      <c r="F153" s="226"/>
      <c r="G153" s="227"/>
    </row>
    <row r="154" spans="2:7">
      <c r="B154" s="218"/>
      <c r="C154" s="223" t="s">
        <v>220</v>
      </c>
      <c r="D154" s="2240"/>
      <c r="E154" s="738"/>
      <c r="F154" s="1768"/>
      <c r="G154" s="1714"/>
    </row>
    <row r="155" spans="2:7" ht="24">
      <c r="B155" s="218"/>
      <c r="C155" s="228" t="s">
        <v>2249</v>
      </c>
      <c r="D155" s="1232" t="s">
        <v>66</v>
      </c>
      <c r="E155" s="225">
        <v>2</v>
      </c>
      <c r="F155" s="1768">
        <v>0</v>
      </c>
      <c r="G155" s="1714">
        <f t="shared" ref="G155:G184" si="8">E155*F155</f>
        <v>0</v>
      </c>
    </row>
    <row r="156" spans="2:7">
      <c r="B156" s="218"/>
      <c r="C156" s="739" t="s">
        <v>184</v>
      </c>
      <c r="D156" s="1232" t="s">
        <v>66</v>
      </c>
      <c r="E156" s="225">
        <v>4</v>
      </c>
      <c r="F156" s="1768">
        <v>0</v>
      </c>
      <c r="G156" s="1714">
        <f t="shared" si="8"/>
        <v>0</v>
      </c>
    </row>
    <row r="157" spans="2:7">
      <c r="B157" s="218"/>
      <c r="C157" s="739" t="s">
        <v>132</v>
      </c>
      <c r="D157" s="1232" t="s">
        <v>66</v>
      </c>
      <c r="E157" s="225">
        <v>2</v>
      </c>
      <c r="F157" s="1768">
        <v>0</v>
      </c>
      <c r="G157" s="1714">
        <f t="shared" si="8"/>
        <v>0</v>
      </c>
    </row>
    <row r="158" spans="2:7">
      <c r="B158" s="218"/>
      <c r="C158" s="739" t="s">
        <v>150</v>
      </c>
      <c r="D158" s="1232" t="s">
        <v>66</v>
      </c>
      <c r="E158" s="225">
        <v>2</v>
      </c>
      <c r="F158" s="1768">
        <v>0</v>
      </c>
      <c r="G158" s="1714">
        <f t="shared" si="8"/>
        <v>0</v>
      </c>
    </row>
    <row r="159" spans="2:7">
      <c r="B159" s="218"/>
      <c r="C159" s="740" t="s">
        <v>135</v>
      </c>
      <c r="D159" s="1232" t="s">
        <v>66</v>
      </c>
      <c r="E159" s="225">
        <v>2</v>
      </c>
      <c r="F159" s="1768">
        <v>0</v>
      </c>
      <c r="G159" s="1714">
        <f t="shared" si="8"/>
        <v>0</v>
      </c>
    </row>
    <row r="160" spans="2:7">
      <c r="B160" s="218"/>
      <c r="C160" s="223" t="s">
        <v>888</v>
      </c>
      <c r="D160" s="2240"/>
      <c r="E160" s="738"/>
      <c r="F160" s="1768"/>
      <c r="G160" s="1714"/>
    </row>
    <row r="161" spans="2:7" ht="24">
      <c r="B161" s="218"/>
      <c r="C161" s="228" t="s">
        <v>2251</v>
      </c>
      <c r="D161" s="1232" t="s">
        <v>66</v>
      </c>
      <c r="E161" s="225">
        <v>1</v>
      </c>
      <c r="F161" s="1768">
        <v>0</v>
      </c>
      <c r="G161" s="1714">
        <f t="shared" si="8"/>
        <v>0</v>
      </c>
    </row>
    <row r="162" spans="2:7">
      <c r="B162" s="218"/>
      <c r="C162" s="232" t="s">
        <v>184</v>
      </c>
      <c r="D162" s="1232" t="s">
        <v>66</v>
      </c>
      <c r="E162" s="225">
        <v>2</v>
      </c>
      <c r="F162" s="1768">
        <v>0</v>
      </c>
      <c r="G162" s="1714">
        <f t="shared" si="8"/>
        <v>0</v>
      </c>
    </row>
    <row r="163" spans="2:7">
      <c r="B163" s="218"/>
      <c r="C163" s="232" t="s">
        <v>166</v>
      </c>
      <c r="D163" s="1232" t="s">
        <v>66</v>
      </c>
      <c r="E163" s="225">
        <v>1</v>
      </c>
      <c r="F163" s="1768">
        <v>0</v>
      </c>
      <c r="G163" s="1714">
        <f t="shared" si="8"/>
        <v>0</v>
      </c>
    </row>
    <row r="164" spans="2:7">
      <c r="B164" s="218"/>
      <c r="C164" s="232" t="s">
        <v>167</v>
      </c>
      <c r="D164" s="1232" t="s">
        <v>66</v>
      </c>
      <c r="E164" s="225">
        <v>1</v>
      </c>
      <c r="F164" s="1768">
        <v>0</v>
      </c>
      <c r="G164" s="1714">
        <f t="shared" si="8"/>
        <v>0</v>
      </c>
    </row>
    <row r="165" spans="2:7">
      <c r="B165" s="218"/>
      <c r="C165" s="232" t="s">
        <v>229</v>
      </c>
      <c r="D165" s="1232" t="s">
        <v>66</v>
      </c>
      <c r="E165" s="225">
        <v>1</v>
      </c>
      <c r="F165" s="1768">
        <v>0</v>
      </c>
      <c r="G165" s="1714">
        <f t="shared" si="8"/>
        <v>0</v>
      </c>
    </row>
    <row r="166" spans="2:7">
      <c r="B166" s="218"/>
      <c r="C166" s="232" t="s">
        <v>230</v>
      </c>
      <c r="D166" s="1232" t="s">
        <v>66</v>
      </c>
      <c r="E166" s="225">
        <v>1</v>
      </c>
      <c r="F166" s="1768">
        <v>0</v>
      </c>
      <c r="G166" s="1714">
        <f t="shared" si="8"/>
        <v>0</v>
      </c>
    </row>
    <row r="167" spans="2:7">
      <c r="B167" s="218"/>
      <c r="C167" s="232" t="s">
        <v>150</v>
      </c>
      <c r="D167" s="1232" t="s">
        <v>66</v>
      </c>
      <c r="E167" s="225">
        <v>1</v>
      </c>
      <c r="F167" s="1768">
        <v>0</v>
      </c>
      <c r="G167" s="1714">
        <f t="shared" si="8"/>
        <v>0</v>
      </c>
    </row>
    <row r="168" spans="2:7">
      <c r="B168" s="218"/>
      <c r="C168" s="233" t="s">
        <v>135</v>
      </c>
      <c r="D168" s="1232" t="s">
        <v>66</v>
      </c>
      <c r="E168" s="225">
        <v>1</v>
      </c>
      <c r="F168" s="1768">
        <v>0</v>
      </c>
      <c r="G168" s="1714">
        <f t="shared" si="8"/>
        <v>0</v>
      </c>
    </row>
    <row r="169" spans="2:7">
      <c r="B169" s="218"/>
      <c r="C169" s="223" t="s">
        <v>196</v>
      </c>
      <c r="D169" s="2240"/>
      <c r="E169" s="738"/>
      <c r="F169" s="1768"/>
      <c r="G169" s="1714"/>
    </row>
    <row r="170" spans="2:7" ht="24">
      <c r="B170" s="218"/>
      <c r="C170" s="228" t="s">
        <v>2248</v>
      </c>
      <c r="D170" s="1232" t="s">
        <v>66</v>
      </c>
      <c r="E170" s="225">
        <v>1</v>
      </c>
      <c r="F170" s="1768">
        <v>0</v>
      </c>
      <c r="G170" s="1714">
        <f t="shared" si="8"/>
        <v>0</v>
      </c>
    </row>
    <row r="171" spans="2:7">
      <c r="B171" s="218"/>
      <c r="C171" s="232" t="s">
        <v>132</v>
      </c>
      <c r="D171" s="1232" t="s">
        <v>66</v>
      </c>
      <c r="E171" s="225">
        <v>3</v>
      </c>
      <c r="F171" s="1768">
        <v>0</v>
      </c>
      <c r="G171" s="1714">
        <f t="shared" si="8"/>
        <v>0</v>
      </c>
    </row>
    <row r="172" spans="2:7">
      <c r="B172" s="218"/>
      <c r="C172" s="232" t="s">
        <v>148</v>
      </c>
      <c r="D172" s="1232" t="s">
        <v>66</v>
      </c>
      <c r="E172" s="225">
        <v>3</v>
      </c>
      <c r="F172" s="1768">
        <v>0</v>
      </c>
      <c r="G172" s="1714">
        <f t="shared" si="8"/>
        <v>0</v>
      </c>
    </row>
    <row r="173" spans="2:7">
      <c r="B173" s="218"/>
      <c r="C173" s="232" t="s">
        <v>150</v>
      </c>
      <c r="D173" s="1232" t="s">
        <v>66</v>
      </c>
      <c r="E173" s="225">
        <v>1</v>
      </c>
      <c r="F173" s="1768">
        <v>0</v>
      </c>
      <c r="G173" s="1714">
        <f t="shared" si="8"/>
        <v>0</v>
      </c>
    </row>
    <row r="174" spans="2:7">
      <c r="B174" s="218"/>
      <c r="C174" s="233" t="s">
        <v>135</v>
      </c>
      <c r="D174" s="1232" t="s">
        <v>66</v>
      </c>
      <c r="E174" s="225">
        <v>1</v>
      </c>
      <c r="F174" s="1768">
        <v>0</v>
      </c>
      <c r="G174" s="1714">
        <f t="shared" si="8"/>
        <v>0</v>
      </c>
    </row>
    <row r="175" spans="2:7">
      <c r="B175" s="218"/>
      <c r="C175" s="223" t="s">
        <v>228</v>
      </c>
      <c r="D175" s="2240"/>
      <c r="E175" s="738"/>
      <c r="F175" s="1768"/>
      <c r="G175" s="1714"/>
    </row>
    <row r="176" spans="2:7" ht="24">
      <c r="B176" s="218"/>
      <c r="C176" s="228" t="s">
        <v>2247</v>
      </c>
      <c r="D176" s="1232" t="s">
        <v>66</v>
      </c>
      <c r="E176" s="225">
        <v>1</v>
      </c>
      <c r="F176" s="1768">
        <v>0</v>
      </c>
      <c r="G176" s="1714">
        <f t="shared" si="8"/>
        <v>0</v>
      </c>
    </row>
    <row r="177" spans="2:8">
      <c r="B177" s="218"/>
      <c r="C177" s="739" t="s">
        <v>132</v>
      </c>
      <c r="D177" s="1232" t="s">
        <v>66</v>
      </c>
      <c r="E177" s="225">
        <v>2</v>
      </c>
      <c r="F177" s="1768">
        <v>0</v>
      </c>
      <c r="G177" s="1714">
        <f t="shared" si="8"/>
        <v>0</v>
      </c>
    </row>
    <row r="178" spans="2:8">
      <c r="B178" s="218"/>
      <c r="C178" s="739" t="s">
        <v>166</v>
      </c>
      <c r="D178" s="1232" t="s">
        <v>66</v>
      </c>
      <c r="E178" s="225">
        <v>1</v>
      </c>
      <c r="F178" s="1768">
        <v>0</v>
      </c>
      <c r="G178" s="1714">
        <f t="shared" si="8"/>
        <v>0</v>
      </c>
    </row>
    <row r="179" spans="2:8">
      <c r="B179" s="218"/>
      <c r="C179" s="739" t="s">
        <v>148</v>
      </c>
      <c r="D179" s="1232" t="s">
        <v>66</v>
      </c>
      <c r="E179" s="225">
        <v>2</v>
      </c>
      <c r="F179" s="1768">
        <v>0</v>
      </c>
      <c r="G179" s="1714">
        <f t="shared" si="8"/>
        <v>0</v>
      </c>
    </row>
    <row r="180" spans="2:8">
      <c r="B180" s="218"/>
      <c r="C180" s="739" t="s">
        <v>167</v>
      </c>
      <c r="D180" s="1232" t="s">
        <v>66</v>
      </c>
      <c r="E180" s="225">
        <v>1</v>
      </c>
      <c r="F180" s="1768">
        <v>0</v>
      </c>
      <c r="G180" s="1714">
        <f t="shared" si="8"/>
        <v>0</v>
      </c>
    </row>
    <row r="181" spans="2:8">
      <c r="B181" s="218"/>
      <c r="C181" s="739" t="s">
        <v>229</v>
      </c>
      <c r="D181" s="1232" t="s">
        <v>66</v>
      </c>
      <c r="E181" s="225">
        <v>1</v>
      </c>
      <c r="F181" s="1768">
        <v>0</v>
      </c>
      <c r="G181" s="1714">
        <f t="shared" si="8"/>
        <v>0</v>
      </c>
    </row>
    <row r="182" spans="2:8">
      <c r="B182" s="218"/>
      <c r="C182" s="739" t="s">
        <v>230</v>
      </c>
      <c r="D182" s="1232" t="s">
        <v>66</v>
      </c>
      <c r="E182" s="225">
        <v>1</v>
      </c>
      <c r="F182" s="1768">
        <v>0</v>
      </c>
      <c r="G182" s="1714">
        <f t="shared" si="8"/>
        <v>0</v>
      </c>
    </row>
    <row r="183" spans="2:8">
      <c r="B183" s="218"/>
      <c r="C183" s="739" t="s">
        <v>150</v>
      </c>
      <c r="D183" s="1232" t="s">
        <v>66</v>
      </c>
      <c r="E183" s="225">
        <v>1</v>
      </c>
      <c r="F183" s="1768">
        <v>0</v>
      </c>
      <c r="G183" s="1714">
        <f t="shared" si="8"/>
        <v>0</v>
      </c>
    </row>
    <row r="184" spans="2:8">
      <c r="B184" s="218"/>
      <c r="C184" s="740" t="s">
        <v>135</v>
      </c>
      <c r="D184" s="1232" t="s">
        <v>66</v>
      </c>
      <c r="E184" s="225">
        <v>1</v>
      </c>
      <c r="F184" s="1768">
        <v>0</v>
      </c>
      <c r="G184" s="1714">
        <f t="shared" si="8"/>
        <v>0</v>
      </c>
    </row>
    <row r="185" spans="2:8">
      <c r="B185" s="218"/>
      <c r="C185" s="223" t="s">
        <v>1395</v>
      </c>
      <c r="D185" s="2240"/>
      <c r="E185" s="738"/>
      <c r="F185" s="1605"/>
      <c r="G185" s="1646"/>
    </row>
    <row r="186" spans="2:8" s="217" customFormat="1">
      <c r="B186" s="218"/>
      <c r="C186" s="1655" t="s">
        <v>230</v>
      </c>
      <c r="D186" s="1232" t="s">
        <v>66</v>
      </c>
      <c r="E186" s="225">
        <v>2</v>
      </c>
      <c r="F186" s="1768">
        <v>0</v>
      </c>
      <c r="G186" s="1714">
        <f t="shared" ref="G186:G188" si="9">E186*F186</f>
        <v>0</v>
      </c>
      <c r="H186" s="1703"/>
    </row>
    <row r="187" spans="2:8" s="217" customFormat="1">
      <c r="B187" s="218"/>
      <c r="C187" s="1655" t="s">
        <v>2255</v>
      </c>
      <c r="D187" s="1232" t="s">
        <v>66</v>
      </c>
      <c r="E187" s="225">
        <v>2</v>
      </c>
      <c r="F187" s="1768">
        <v>0</v>
      </c>
      <c r="G187" s="1714">
        <f t="shared" si="9"/>
        <v>0</v>
      </c>
      <c r="H187" s="1703"/>
    </row>
    <row r="188" spans="2:8" s="217" customFormat="1">
      <c r="B188" s="218"/>
      <c r="C188" s="1655" t="s">
        <v>1444</v>
      </c>
      <c r="D188" s="1232" t="s">
        <v>66</v>
      </c>
      <c r="E188" s="225">
        <v>2</v>
      </c>
      <c r="F188" s="1768">
        <v>0</v>
      </c>
      <c r="G188" s="1714">
        <f t="shared" si="9"/>
        <v>0</v>
      </c>
      <c r="H188" s="1703"/>
    </row>
    <row r="189" spans="2:8">
      <c r="B189" s="201" t="s">
        <v>168</v>
      </c>
      <c r="C189" s="238" t="s">
        <v>169</v>
      </c>
      <c r="D189" s="260"/>
      <c r="E189" s="240"/>
      <c r="F189" s="241"/>
      <c r="G189" s="242"/>
    </row>
    <row r="190" spans="2:8">
      <c r="B190" s="218"/>
      <c r="C190" s="238" t="s">
        <v>170</v>
      </c>
      <c r="D190" s="185"/>
      <c r="E190" s="741"/>
      <c r="F190" s="1611"/>
      <c r="G190" s="263"/>
    </row>
    <row r="191" spans="2:8" ht="36">
      <c r="B191" s="218"/>
      <c r="C191" s="243" t="s">
        <v>2246</v>
      </c>
      <c r="D191" s="260" t="s">
        <v>66</v>
      </c>
      <c r="E191" s="240">
        <v>5</v>
      </c>
      <c r="F191" s="1609">
        <v>0</v>
      </c>
      <c r="G191" s="245">
        <f t="shared" ref="G191:G199" si="10">E191*F191</f>
        <v>0</v>
      </c>
    </row>
    <row r="192" spans="2:8">
      <c r="B192" s="218"/>
      <c r="C192" s="1129" t="s">
        <v>171</v>
      </c>
      <c r="D192" s="260" t="s">
        <v>66</v>
      </c>
      <c r="E192" s="240">
        <v>5</v>
      </c>
      <c r="F192" s="1609">
        <v>0</v>
      </c>
      <c r="G192" s="245">
        <f t="shared" si="10"/>
        <v>0</v>
      </c>
    </row>
    <row r="193" spans="2:7">
      <c r="B193" s="218"/>
      <c r="C193" s="1130" t="s">
        <v>135</v>
      </c>
      <c r="D193" s="260" t="s">
        <v>66</v>
      </c>
      <c r="E193" s="240">
        <v>5</v>
      </c>
      <c r="F193" s="1609">
        <v>0</v>
      </c>
      <c r="G193" s="245">
        <f t="shared" si="10"/>
        <v>0</v>
      </c>
    </row>
    <row r="194" spans="2:7">
      <c r="B194" s="218"/>
      <c r="C194" s="247" t="s">
        <v>891</v>
      </c>
      <c r="D194" s="260" t="s">
        <v>66</v>
      </c>
      <c r="E194" s="240">
        <v>5</v>
      </c>
      <c r="F194" s="1609">
        <v>0</v>
      </c>
      <c r="G194" s="245">
        <f t="shared" si="10"/>
        <v>0</v>
      </c>
    </row>
    <row r="195" spans="2:7">
      <c r="B195" s="218"/>
      <c r="C195" s="238" t="s">
        <v>234</v>
      </c>
      <c r="D195" s="185"/>
      <c r="E195" s="741"/>
      <c r="F195" s="1609"/>
      <c r="G195" s="245"/>
    </row>
    <row r="196" spans="2:7" ht="36">
      <c r="B196" s="218"/>
      <c r="C196" s="243" t="s">
        <v>2245</v>
      </c>
      <c r="D196" s="260" t="s">
        <v>66</v>
      </c>
      <c r="E196" s="240">
        <v>29</v>
      </c>
      <c r="F196" s="1609">
        <v>0</v>
      </c>
      <c r="G196" s="245">
        <f t="shared" si="10"/>
        <v>0</v>
      </c>
    </row>
    <row r="197" spans="2:7">
      <c r="B197" s="218"/>
      <c r="C197" s="246" t="s">
        <v>171</v>
      </c>
      <c r="D197" s="260" t="s">
        <v>66</v>
      </c>
      <c r="E197" s="240">
        <v>29</v>
      </c>
      <c r="F197" s="1609">
        <v>0</v>
      </c>
      <c r="G197" s="245">
        <f t="shared" si="10"/>
        <v>0</v>
      </c>
    </row>
    <row r="198" spans="2:7">
      <c r="B198" s="218"/>
      <c r="C198" s="247" t="s">
        <v>135</v>
      </c>
      <c r="D198" s="260" t="s">
        <v>66</v>
      </c>
      <c r="E198" s="240">
        <v>29</v>
      </c>
      <c r="F198" s="1609">
        <v>0</v>
      </c>
      <c r="G198" s="245">
        <f t="shared" si="10"/>
        <v>0</v>
      </c>
    </row>
    <row r="199" spans="2:7">
      <c r="B199" s="218"/>
      <c r="C199" s="247" t="s">
        <v>891</v>
      </c>
      <c r="D199" s="260" t="s">
        <v>66</v>
      </c>
      <c r="E199" s="240">
        <v>29</v>
      </c>
      <c r="F199" s="1609">
        <v>0</v>
      </c>
      <c r="G199" s="245">
        <f t="shared" si="10"/>
        <v>0</v>
      </c>
    </row>
    <row r="200" spans="2:7">
      <c r="B200" s="201" t="s">
        <v>172</v>
      </c>
      <c r="C200" s="742" t="s">
        <v>173</v>
      </c>
      <c r="D200" s="743"/>
      <c r="E200" s="744"/>
      <c r="F200" s="1131"/>
      <c r="G200" s="1132"/>
    </row>
    <row r="201" spans="2:7" ht="60">
      <c r="B201" s="218"/>
      <c r="C201" s="745" t="s">
        <v>174</v>
      </c>
      <c r="D201" s="743" t="s">
        <v>66</v>
      </c>
      <c r="E201" s="747">
        <v>1</v>
      </c>
      <c r="F201" s="1172">
        <v>0</v>
      </c>
      <c r="G201" s="1173">
        <f>E201*F201</f>
        <v>0</v>
      </c>
    </row>
    <row r="202" spans="2:7">
      <c r="B202" s="258" t="s">
        <v>47</v>
      </c>
      <c r="C202" s="259" t="s">
        <v>1396</v>
      </c>
      <c r="D202" s="260"/>
      <c r="E202" s="261"/>
      <c r="F202" s="262"/>
      <c r="G202" s="263">
        <f>SUM(G80:G201)</f>
        <v>0</v>
      </c>
    </row>
  </sheetData>
  <mergeCells count="7">
    <mergeCell ref="B86:B89"/>
    <mergeCell ref="B43:G43"/>
    <mergeCell ref="B57:B58"/>
    <mergeCell ref="B59:B60"/>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3A60-2BD8-4907-8C53-733BEAD8CEA1}">
  <sheetPr>
    <tabColor rgb="FF00B0F0"/>
  </sheetPr>
  <dimension ref="A2:Y230"/>
  <sheetViews>
    <sheetView showZeros="0" topLeftCell="A29"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425781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53" width="10.42578125" style="1"/>
    <col min="254" max="254" width="7.42578125" style="1" customWidth="1"/>
    <col min="255" max="255" width="37.42578125" style="1" customWidth="1"/>
    <col min="256" max="256" width="10.42578125" style="1"/>
    <col min="257" max="257" width="9.28515625" style="1" customWidth="1"/>
    <col min="258" max="259" width="12.140625" style="1" customWidth="1"/>
    <col min="260" max="260" width="16" style="1" customWidth="1"/>
    <col min="261" max="261" width="26.28515625" style="1" customWidth="1"/>
    <col min="262" max="509" width="10.42578125" style="1"/>
    <col min="510" max="510" width="7.42578125" style="1" customWidth="1"/>
    <col min="511" max="511" width="37.42578125" style="1" customWidth="1"/>
    <col min="512" max="512" width="10.42578125" style="1"/>
    <col min="513" max="513" width="9.28515625" style="1" customWidth="1"/>
    <col min="514" max="515" width="12.140625" style="1" customWidth="1"/>
    <col min="516" max="516" width="16" style="1" customWidth="1"/>
    <col min="517" max="517" width="26.28515625" style="1" customWidth="1"/>
    <col min="518" max="765" width="10.42578125" style="1"/>
    <col min="766" max="766" width="7.42578125" style="1" customWidth="1"/>
    <col min="767" max="767" width="37.42578125" style="1" customWidth="1"/>
    <col min="768" max="768" width="10.42578125" style="1"/>
    <col min="769" max="769" width="9.28515625" style="1" customWidth="1"/>
    <col min="770" max="771" width="12.140625" style="1" customWidth="1"/>
    <col min="772" max="772" width="16" style="1" customWidth="1"/>
    <col min="773" max="773" width="26.28515625" style="1" customWidth="1"/>
    <col min="774" max="1021" width="10.42578125" style="1"/>
    <col min="1022" max="1022" width="7.42578125" style="1" customWidth="1"/>
    <col min="1023" max="1023" width="37.42578125" style="1" customWidth="1"/>
    <col min="1024" max="1024" width="10.42578125" style="1"/>
    <col min="1025" max="1025" width="9.28515625" style="1" customWidth="1"/>
    <col min="1026" max="1027" width="12.140625" style="1" customWidth="1"/>
    <col min="1028" max="1028" width="16" style="1" customWidth="1"/>
    <col min="1029" max="1029" width="26.28515625" style="1" customWidth="1"/>
    <col min="1030" max="1277" width="10.42578125" style="1"/>
    <col min="1278" max="1278" width="7.42578125" style="1" customWidth="1"/>
    <col min="1279" max="1279" width="37.42578125" style="1" customWidth="1"/>
    <col min="1280" max="1280" width="10.42578125" style="1"/>
    <col min="1281" max="1281" width="9.28515625" style="1" customWidth="1"/>
    <col min="1282" max="1283" width="12.140625" style="1" customWidth="1"/>
    <col min="1284" max="1284" width="16" style="1" customWidth="1"/>
    <col min="1285" max="1285" width="26.28515625" style="1" customWidth="1"/>
    <col min="1286" max="1533" width="10.42578125" style="1"/>
    <col min="1534" max="1534" width="7.42578125" style="1" customWidth="1"/>
    <col min="1535" max="1535" width="37.42578125" style="1" customWidth="1"/>
    <col min="1536" max="1536" width="10.42578125" style="1"/>
    <col min="1537" max="1537" width="9.28515625" style="1" customWidth="1"/>
    <col min="1538" max="1539" width="12.140625" style="1" customWidth="1"/>
    <col min="1540" max="1540" width="16" style="1" customWidth="1"/>
    <col min="1541" max="1541" width="26.28515625" style="1" customWidth="1"/>
    <col min="1542" max="1789" width="10.42578125" style="1"/>
    <col min="1790" max="1790" width="7.42578125" style="1" customWidth="1"/>
    <col min="1791" max="1791" width="37.42578125" style="1" customWidth="1"/>
    <col min="1792" max="1792" width="10.42578125" style="1"/>
    <col min="1793" max="1793" width="9.28515625" style="1" customWidth="1"/>
    <col min="1794" max="1795" width="12.140625" style="1" customWidth="1"/>
    <col min="1796" max="1796" width="16" style="1" customWidth="1"/>
    <col min="1797" max="1797" width="26.28515625" style="1" customWidth="1"/>
    <col min="1798" max="2045" width="10.42578125" style="1"/>
    <col min="2046" max="2046" width="7.42578125" style="1" customWidth="1"/>
    <col min="2047" max="2047" width="37.42578125" style="1" customWidth="1"/>
    <col min="2048" max="2048" width="10.42578125" style="1"/>
    <col min="2049" max="2049" width="9.28515625" style="1" customWidth="1"/>
    <col min="2050" max="2051" width="12.140625" style="1" customWidth="1"/>
    <col min="2052" max="2052" width="16" style="1" customWidth="1"/>
    <col min="2053" max="2053" width="26.28515625" style="1" customWidth="1"/>
    <col min="2054" max="2301" width="10.42578125" style="1"/>
    <col min="2302" max="2302" width="7.42578125" style="1" customWidth="1"/>
    <col min="2303" max="2303" width="37.42578125" style="1" customWidth="1"/>
    <col min="2304" max="2304" width="10.42578125" style="1"/>
    <col min="2305" max="2305" width="9.28515625" style="1" customWidth="1"/>
    <col min="2306" max="2307" width="12.140625" style="1" customWidth="1"/>
    <col min="2308" max="2308" width="16" style="1" customWidth="1"/>
    <col min="2309" max="2309" width="26.28515625" style="1" customWidth="1"/>
    <col min="2310" max="2557" width="10.42578125" style="1"/>
    <col min="2558" max="2558" width="7.42578125" style="1" customWidth="1"/>
    <col min="2559" max="2559" width="37.42578125" style="1" customWidth="1"/>
    <col min="2560" max="2560" width="10.42578125" style="1"/>
    <col min="2561" max="2561" width="9.28515625" style="1" customWidth="1"/>
    <col min="2562" max="2563" width="12.140625" style="1" customWidth="1"/>
    <col min="2564" max="2564" width="16" style="1" customWidth="1"/>
    <col min="2565" max="2565" width="26.28515625" style="1" customWidth="1"/>
    <col min="2566" max="2813" width="10.42578125" style="1"/>
    <col min="2814" max="2814" width="7.42578125" style="1" customWidth="1"/>
    <col min="2815" max="2815" width="37.42578125" style="1" customWidth="1"/>
    <col min="2816" max="2816" width="10.42578125" style="1"/>
    <col min="2817" max="2817" width="9.28515625" style="1" customWidth="1"/>
    <col min="2818" max="2819" width="12.140625" style="1" customWidth="1"/>
    <col min="2820" max="2820" width="16" style="1" customWidth="1"/>
    <col min="2821" max="2821" width="26.28515625" style="1" customWidth="1"/>
    <col min="2822" max="3069" width="10.42578125" style="1"/>
    <col min="3070" max="3070" width="7.42578125" style="1" customWidth="1"/>
    <col min="3071" max="3071" width="37.42578125" style="1" customWidth="1"/>
    <col min="3072" max="3072" width="10.42578125" style="1"/>
    <col min="3073" max="3073" width="9.28515625" style="1" customWidth="1"/>
    <col min="3074" max="3075" width="12.140625" style="1" customWidth="1"/>
    <col min="3076" max="3076" width="16" style="1" customWidth="1"/>
    <col min="3077" max="3077" width="26.28515625" style="1" customWidth="1"/>
    <col min="3078" max="3325" width="10.42578125" style="1"/>
    <col min="3326" max="3326" width="7.42578125" style="1" customWidth="1"/>
    <col min="3327" max="3327" width="37.42578125" style="1" customWidth="1"/>
    <col min="3328" max="3328" width="10.42578125" style="1"/>
    <col min="3329" max="3329" width="9.28515625" style="1" customWidth="1"/>
    <col min="3330" max="3331" width="12.140625" style="1" customWidth="1"/>
    <col min="3332" max="3332" width="16" style="1" customWidth="1"/>
    <col min="3333" max="3333" width="26.28515625" style="1" customWidth="1"/>
    <col min="3334" max="3581" width="10.42578125" style="1"/>
    <col min="3582" max="3582" width="7.42578125" style="1" customWidth="1"/>
    <col min="3583" max="3583" width="37.42578125" style="1" customWidth="1"/>
    <col min="3584" max="3584" width="10.42578125" style="1"/>
    <col min="3585" max="3585" width="9.28515625" style="1" customWidth="1"/>
    <col min="3586" max="3587" width="12.140625" style="1" customWidth="1"/>
    <col min="3588" max="3588" width="16" style="1" customWidth="1"/>
    <col min="3589" max="3589" width="26.28515625" style="1" customWidth="1"/>
    <col min="3590" max="3837" width="10.42578125" style="1"/>
    <col min="3838" max="3838" width="7.42578125" style="1" customWidth="1"/>
    <col min="3839" max="3839" width="37.42578125" style="1" customWidth="1"/>
    <col min="3840" max="3840" width="10.42578125" style="1"/>
    <col min="3841" max="3841" width="9.28515625" style="1" customWidth="1"/>
    <col min="3842" max="3843" width="12.140625" style="1" customWidth="1"/>
    <col min="3844" max="3844" width="16" style="1" customWidth="1"/>
    <col min="3845" max="3845" width="26.28515625" style="1" customWidth="1"/>
    <col min="3846" max="4093" width="10.42578125" style="1"/>
    <col min="4094" max="4094" width="7.42578125" style="1" customWidth="1"/>
    <col min="4095" max="4095" width="37.42578125" style="1" customWidth="1"/>
    <col min="4096" max="4096" width="10.42578125" style="1"/>
    <col min="4097" max="4097" width="9.28515625" style="1" customWidth="1"/>
    <col min="4098" max="4099" width="12.140625" style="1" customWidth="1"/>
    <col min="4100" max="4100" width="16" style="1" customWidth="1"/>
    <col min="4101" max="4101" width="26.28515625" style="1" customWidth="1"/>
    <col min="4102" max="4349" width="10.42578125" style="1"/>
    <col min="4350" max="4350" width="7.42578125" style="1" customWidth="1"/>
    <col min="4351" max="4351" width="37.42578125" style="1" customWidth="1"/>
    <col min="4352" max="4352" width="10.42578125" style="1"/>
    <col min="4353" max="4353" width="9.28515625" style="1" customWidth="1"/>
    <col min="4354" max="4355" width="12.140625" style="1" customWidth="1"/>
    <col min="4356" max="4356" width="16" style="1" customWidth="1"/>
    <col min="4357" max="4357" width="26.28515625" style="1" customWidth="1"/>
    <col min="4358" max="4605" width="10.42578125" style="1"/>
    <col min="4606" max="4606" width="7.42578125" style="1" customWidth="1"/>
    <col min="4607" max="4607" width="37.42578125" style="1" customWidth="1"/>
    <col min="4608" max="4608" width="10.42578125" style="1"/>
    <col min="4609" max="4609" width="9.28515625" style="1" customWidth="1"/>
    <col min="4610" max="4611" width="12.140625" style="1" customWidth="1"/>
    <col min="4612" max="4612" width="16" style="1" customWidth="1"/>
    <col min="4613" max="4613" width="26.28515625" style="1" customWidth="1"/>
    <col min="4614" max="4861" width="10.42578125" style="1"/>
    <col min="4862" max="4862" width="7.42578125" style="1" customWidth="1"/>
    <col min="4863" max="4863" width="37.42578125" style="1" customWidth="1"/>
    <col min="4864" max="4864" width="10.42578125" style="1"/>
    <col min="4865" max="4865" width="9.28515625" style="1" customWidth="1"/>
    <col min="4866" max="4867" width="12.140625" style="1" customWidth="1"/>
    <col min="4868" max="4868" width="16" style="1" customWidth="1"/>
    <col min="4869" max="4869" width="26.28515625" style="1" customWidth="1"/>
    <col min="4870" max="5117" width="10.42578125" style="1"/>
    <col min="5118" max="5118" width="7.42578125" style="1" customWidth="1"/>
    <col min="5119" max="5119" width="37.42578125" style="1" customWidth="1"/>
    <col min="5120" max="5120" width="10.42578125" style="1"/>
    <col min="5121" max="5121" width="9.28515625" style="1" customWidth="1"/>
    <col min="5122" max="5123" width="12.140625" style="1" customWidth="1"/>
    <col min="5124" max="5124" width="16" style="1" customWidth="1"/>
    <col min="5125" max="5125" width="26.28515625" style="1" customWidth="1"/>
    <col min="5126" max="5373" width="10.42578125" style="1"/>
    <col min="5374" max="5374" width="7.42578125" style="1" customWidth="1"/>
    <col min="5375" max="5375" width="37.42578125" style="1" customWidth="1"/>
    <col min="5376" max="5376" width="10.42578125" style="1"/>
    <col min="5377" max="5377" width="9.28515625" style="1" customWidth="1"/>
    <col min="5378" max="5379" width="12.140625" style="1" customWidth="1"/>
    <col min="5380" max="5380" width="16" style="1" customWidth="1"/>
    <col min="5381" max="5381" width="26.28515625" style="1" customWidth="1"/>
    <col min="5382" max="5629" width="10.42578125" style="1"/>
    <col min="5630" max="5630" width="7.42578125" style="1" customWidth="1"/>
    <col min="5631" max="5631" width="37.42578125" style="1" customWidth="1"/>
    <col min="5632" max="5632" width="10.42578125" style="1"/>
    <col min="5633" max="5633" width="9.28515625" style="1" customWidth="1"/>
    <col min="5634" max="5635" width="12.140625" style="1" customWidth="1"/>
    <col min="5636" max="5636" width="16" style="1" customWidth="1"/>
    <col min="5637" max="5637" width="26.28515625" style="1" customWidth="1"/>
    <col min="5638" max="5885" width="10.42578125" style="1"/>
    <col min="5886" max="5886" width="7.42578125" style="1" customWidth="1"/>
    <col min="5887" max="5887" width="37.42578125" style="1" customWidth="1"/>
    <col min="5888" max="5888" width="10.42578125" style="1"/>
    <col min="5889" max="5889" width="9.28515625" style="1" customWidth="1"/>
    <col min="5890" max="5891" width="12.140625" style="1" customWidth="1"/>
    <col min="5892" max="5892" width="16" style="1" customWidth="1"/>
    <col min="5893" max="5893" width="26.28515625" style="1" customWidth="1"/>
    <col min="5894" max="6141" width="10.42578125" style="1"/>
    <col min="6142" max="6142" width="7.42578125" style="1" customWidth="1"/>
    <col min="6143" max="6143" width="37.42578125" style="1" customWidth="1"/>
    <col min="6144" max="6144" width="10.42578125" style="1"/>
    <col min="6145" max="6145" width="9.28515625" style="1" customWidth="1"/>
    <col min="6146" max="6147" width="12.140625" style="1" customWidth="1"/>
    <col min="6148" max="6148" width="16" style="1" customWidth="1"/>
    <col min="6149" max="6149" width="26.28515625" style="1" customWidth="1"/>
    <col min="6150" max="6397" width="10.42578125" style="1"/>
    <col min="6398" max="6398" width="7.42578125" style="1" customWidth="1"/>
    <col min="6399" max="6399" width="37.42578125" style="1" customWidth="1"/>
    <col min="6400" max="6400" width="10.42578125" style="1"/>
    <col min="6401" max="6401" width="9.28515625" style="1" customWidth="1"/>
    <col min="6402" max="6403" width="12.140625" style="1" customWidth="1"/>
    <col min="6404" max="6404" width="16" style="1" customWidth="1"/>
    <col min="6405" max="6405" width="26.28515625" style="1" customWidth="1"/>
    <col min="6406" max="6653" width="10.42578125" style="1"/>
    <col min="6654" max="6654" width="7.42578125" style="1" customWidth="1"/>
    <col min="6655" max="6655" width="37.42578125" style="1" customWidth="1"/>
    <col min="6656" max="6656" width="10.42578125" style="1"/>
    <col min="6657" max="6657" width="9.28515625" style="1" customWidth="1"/>
    <col min="6658" max="6659" width="12.140625" style="1" customWidth="1"/>
    <col min="6660" max="6660" width="16" style="1" customWidth="1"/>
    <col min="6661" max="6661" width="26.28515625" style="1" customWidth="1"/>
    <col min="6662" max="6909" width="10.42578125" style="1"/>
    <col min="6910" max="6910" width="7.42578125" style="1" customWidth="1"/>
    <col min="6911" max="6911" width="37.42578125" style="1" customWidth="1"/>
    <col min="6912" max="6912" width="10.42578125" style="1"/>
    <col min="6913" max="6913" width="9.28515625" style="1" customWidth="1"/>
    <col min="6914" max="6915" width="12.140625" style="1" customWidth="1"/>
    <col min="6916" max="6916" width="16" style="1" customWidth="1"/>
    <col min="6917" max="6917" width="26.28515625" style="1" customWidth="1"/>
    <col min="6918" max="7165" width="10.42578125" style="1"/>
    <col min="7166" max="7166" width="7.42578125" style="1" customWidth="1"/>
    <col min="7167" max="7167" width="37.42578125" style="1" customWidth="1"/>
    <col min="7168" max="7168" width="10.42578125" style="1"/>
    <col min="7169" max="7169" width="9.28515625" style="1" customWidth="1"/>
    <col min="7170" max="7171" width="12.140625" style="1" customWidth="1"/>
    <col min="7172" max="7172" width="16" style="1" customWidth="1"/>
    <col min="7173" max="7173" width="26.28515625" style="1" customWidth="1"/>
    <col min="7174" max="7421" width="10.42578125" style="1"/>
    <col min="7422" max="7422" width="7.42578125" style="1" customWidth="1"/>
    <col min="7423" max="7423" width="37.42578125" style="1" customWidth="1"/>
    <col min="7424" max="7424" width="10.42578125" style="1"/>
    <col min="7425" max="7425" width="9.28515625" style="1" customWidth="1"/>
    <col min="7426" max="7427" width="12.140625" style="1" customWidth="1"/>
    <col min="7428" max="7428" width="16" style="1" customWidth="1"/>
    <col min="7429" max="7429" width="26.28515625" style="1" customWidth="1"/>
    <col min="7430" max="7677" width="10.42578125" style="1"/>
    <col min="7678" max="7678" width="7.42578125" style="1" customWidth="1"/>
    <col min="7679" max="7679" width="37.42578125" style="1" customWidth="1"/>
    <col min="7680" max="7680" width="10.42578125" style="1"/>
    <col min="7681" max="7681" width="9.28515625" style="1" customWidth="1"/>
    <col min="7682" max="7683" width="12.140625" style="1" customWidth="1"/>
    <col min="7684" max="7684" width="16" style="1" customWidth="1"/>
    <col min="7685" max="7685" width="26.28515625" style="1" customWidth="1"/>
    <col min="7686" max="7933" width="10.42578125" style="1"/>
    <col min="7934" max="7934" width="7.42578125" style="1" customWidth="1"/>
    <col min="7935" max="7935" width="37.42578125" style="1" customWidth="1"/>
    <col min="7936" max="7936" width="10.42578125" style="1"/>
    <col min="7937" max="7937" width="9.28515625" style="1" customWidth="1"/>
    <col min="7938" max="7939" width="12.140625" style="1" customWidth="1"/>
    <col min="7940" max="7940" width="16" style="1" customWidth="1"/>
    <col min="7941" max="7941" width="26.28515625" style="1" customWidth="1"/>
    <col min="7942" max="8189" width="10.42578125" style="1"/>
    <col min="8190" max="8190" width="7.42578125" style="1" customWidth="1"/>
    <col min="8191" max="8191" width="37.42578125" style="1" customWidth="1"/>
    <col min="8192" max="8192" width="10.42578125" style="1"/>
    <col min="8193" max="8193" width="9.28515625" style="1" customWidth="1"/>
    <col min="8194" max="8195" width="12.140625" style="1" customWidth="1"/>
    <col min="8196" max="8196" width="16" style="1" customWidth="1"/>
    <col min="8197" max="8197" width="26.28515625" style="1" customWidth="1"/>
    <col min="8198" max="8445" width="10.42578125" style="1"/>
    <col min="8446" max="8446" width="7.42578125" style="1" customWidth="1"/>
    <col min="8447" max="8447" width="37.42578125" style="1" customWidth="1"/>
    <col min="8448" max="8448" width="10.42578125" style="1"/>
    <col min="8449" max="8449" width="9.28515625" style="1" customWidth="1"/>
    <col min="8450" max="8451" width="12.140625" style="1" customWidth="1"/>
    <col min="8452" max="8452" width="16" style="1" customWidth="1"/>
    <col min="8453" max="8453" width="26.28515625" style="1" customWidth="1"/>
    <col min="8454" max="8701" width="10.42578125" style="1"/>
    <col min="8702" max="8702" width="7.42578125" style="1" customWidth="1"/>
    <col min="8703" max="8703" width="37.42578125" style="1" customWidth="1"/>
    <col min="8704" max="8704" width="10.42578125" style="1"/>
    <col min="8705" max="8705" width="9.28515625" style="1" customWidth="1"/>
    <col min="8706" max="8707" width="12.140625" style="1" customWidth="1"/>
    <col min="8708" max="8708" width="16" style="1" customWidth="1"/>
    <col min="8709" max="8709" width="26.28515625" style="1" customWidth="1"/>
    <col min="8710" max="8957" width="10.42578125" style="1"/>
    <col min="8958" max="8958" width="7.42578125" style="1" customWidth="1"/>
    <col min="8959" max="8959" width="37.42578125" style="1" customWidth="1"/>
    <col min="8960" max="8960" width="10.42578125" style="1"/>
    <col min="8961" max="8961" width="9.28515625" style="1" customWidth="1"/>
    <col min="8962" max="8963" width="12.140625" style="1" customWidth="1"/>
    <col min="8964" max="8964" width="16" style="1" customWidth="1"/>
    <col min="8965" max="8965" width="26.28515625" style="1" customWidth="1"/>
    <col min="8966" max="9213" width="10.42578125" style="1"/>
    <col min="9214" max="9214" width="7.42578125" style="1" customWidth="1"/>
    <col min="9215" max="9215" width="37.42578125" style="1" customWidth="1"/>
    <col min="9216" max="9216" width="10.42578125" style="1"/>
    <col min="9217" max="9217" width="9.28515625" style="1" customWidth="1"/>
    <col min="9218" max="9219" width="12.140625" style="1" customWidth="1"/>
    <col min="9220" max="9220" width="16" style="1" customWidth="1"/>
    <col min="9221" max="9221" width="26.28515625" style="1" customWidth="1"/>
    <col min="9222" max="9469" width="10.42578125" style="1"/>
    <col min="9470" max="9470" width="7.42578125" style="1" customWidth="1"/>
    <col min="9471" max="9471" width="37.42578125" style="1" customWidth="1"/>
    <col min="9472" max="9472" width="10.42578125" style="1"/>
    <col min="9473" max="9473" width="9.28515625" style="1" customWidth="1"/>
    <col min="9474" max="9475" width="12.140625" style="1" customWidth="1"/>
    <col min="9476" max="9476" width="16" style="1" customWidth="1"/>
    <col min="9477" max="9477" width="26.28515625" style="1" customWidth="1"/>
    <col min="9478" max="9725" width="10.42578125" style="1"/>
    <col min="9726" max="9726" width="7.42578125" style="1" customWidth="1"/>
    <col min="9727" max="9727" width="37.42578125" style="1" customWidth="1"/>
    <col min="9728" max="9728" width="10.42578125" style="1"/>
    <col min="9729" max="9729" width="9.28515625" style="1" customWidth="1"/>
    <col min="9730" max="9731" width="12.140625" style="1" customWidth="1"/>
    <col min="9732" max="9732" width="16" style="1" customWidth="1"/>
    <col min="9733" max="9733" width="26.28515625" style="1" customWidth="1"/>
    <col min="9734" max="9981" width="10.42578125" style="1"/>
    <col min="9982" max="9982" width="7.42578125" style="1" customWidth="1"/>
    <col min="9983" max="9983" width="37.42578125" style="1" customWidth="1"/>
    <col min="9984" max="9984" width="10.42578125" style="1"/>
    <col min="9985" max="9985" width="9.28515625" style="1" customWidth="1"/>
    <col min="9986" max="9987" width="12.140625" style="1" customWidth="1"/>
    <col min="9988" max="9988" width="16" style="1" customWidth="1"/>
    <col min="9989" max="9989" width="26.28515625" style="1" customWidth="1"/>
    <col min="9990" max="10237" width="10.42578125" style="1"/>
    <col min="10238" max="10238" width="7.42578125" style="1" customWidth="1"/>
    <col min="10239" max="10239" width="37.42578125" style="1" customWidth="1"/>
    <col min="10240" max="10240" width="10.42578125" style="1"/>
    <col min="10241" max="10241" width="9.28515625" style="1" customWidth="1"/>
    <col min="10242" max="10243" width="12.140625" style="1" customWidth="1"/>
    <col min="10244" max="10244" width="16" style="1" customWidth="1"/>
    <col min="10245" max="10245" width="26.28515625" style="1" customWidth="1"/>
    <col min="10246" max="10493" width="10.42578125" style="1"/>
    <col min="10494" max="10494" width="7.42578125" style="1" customWidth="1"/>
    <col min="10495" max="10495" width="37.42578125" style="1" customWidth="1"/>
    <col min="10496" max="10496" width="10.42578125" style="1"/>
    <col min="10497" max="10497" width="9.28515625" style="1" customWidth="1"/>
    <col min="10498" max="10499" width="12.140625" style="1" customWidth="1"/>
    <col min="10500" max="10500" width="16" style="1" customWidth="1"/>
    <col min="10501" max="10501" width="26.28515625" style="1" customWidth="1"/>
    <col min="10502" max="10749" width="10.42578125" style="1"/>
    <col min="10750" max="10750" width="7.42578125" style="1" customWidth="1"/>
    <col min="10751" max="10751" width="37.42578125" style="1" customWidth="1"/>
    <col min="10752" max="10752" width="10.42578125" style="1"/>
    <col min="10753" max="10753" width="9.28515625" style="1" customWidth="1"/>
    <col min="10754" max="10755" width="12.140625" style="1" customWidth="1"/>
    <col min="10756" max="10756" width="16" style="1" customWidth="1"/>
    <col min="10757" max="10757" width="26.28515625" style="1" customWidth="1"/>
    <col min="10758" max="11005" width="10.42578125" style="1"/>
    <col min="11006" max="11006" width="7.42578125" style="1" customWidth="1"/>
    <col min="11007" max="11007" width="37.42578125" style="1" customWidth="1"/>
    <col min="11008" max="11008" width="10.42578125" style="1"/>
    <col min="11009" max="11009" width="9.28515625" style="1" customWidth="1"/>
    <col min="11010" max="11011" width="12.140625" style="1" customWidth="1"/>
    <col min="11012" max="11012" width="16" style="1" customWidth="1"/>
    <col min="11013" max="11013" width="26.28515625" style="1" customWidth="1"/>
    <col min="11014" max="11261" width="10.42578125" style="1"/>
    <col min="11262" max="11262" width="7.42578125" style="1" customWidth="1"/>
    <col min="11263" max="11263" width="37.42578125" style="1" customWidth="1"/>
    <col min="11264" max="11264" width="10.42578125" style="1"/>
    <col min="11265" max="11265" width="9.28515625" style="1" customWidth="1"/>
    <col min="11266" max="11267" width="12.140625" style="1" customWidth="1"/>
    <col min="11268" max="11268" width="16" style="1" customWidth="1"/>
    <col min="11269" max="11269" width="26.28515625" style="1" customWidth="1"/>
    <col min="11270" max="11517" width="10.42578125" style="1"/>
    <col min="11518" max="11518" width="7.42578125" style="1" customWidth="1"/>
    <col min="11519" max="11519" width="37.42578125" style="1" customWidth="1"/>
    <col min="11520" max="11520" width="10.42578125" style="1"/>
    <col min="11521" max="11521" width="9.28515625" style="1" customWidth="1"/>
    <col min="11522" max="11523" width="12.140625" style="1" customWidth="1"/>
    <col min="11524" max="11524" width="16" style="1" customWidth="1"/>
    <col min="11525" max="11525" width="26.28515625" style="1" customWidth="1"/>
    <col min="11526" max="11773" width="10.42578125" style="1"/>
    <col min="11774" max="11774" width="7.42578125" style="1" customWidth="1"/>
    <col min="11775" max="11775" width="37.42578125" style="1" customWidth="1"/>
    <col min="11776" max="11776" width="10.42578125" style="1"/>
    <col min="11777" max="11777" width="9.28515625" style="1" customWidth="1"/>
    <col min="11778" max="11779" width="12.140625" style="1" customWidth="1"/>
    <col min="11780" max="11780" width="16" style="1" customWidth="1"/>
    <col min="11781" max="11781" width="26.28515625" style="1" customWidth="1"/>
    <col min="11782" max="12029" width="10.42578125" style="1"/>
    <col min="12030" max="12030" width="7.42578125" style="1" customWidth="1"/>
    <col min="12031" max="12031" width="37.42578125" style="1" customWidth="1"/>
    <col min="12032" max="12032" width="10.42578125" style="1"/>
    <col min="12033" max="12033" width="9.28515625" style="1" customWidth="1"/>
    <col min="12034" max="12035" width="12.140625" style="1" customWidth="1"/>
    <col min="12036" max="12036" width="16" style="1" customWidth="1"/>
    <col min="12037" max="12037" width="26.28515625" style="1" customWidth="1"/>
    <col min="12038" max="12285" width="10.42578125" style="1"/>
    <col min="12286" max="12286" width="7.42578125" style="1" customWidth="1"/>
    <col min="12287" max="12287" width="37.42578125" style="1" customWidth="1"/>
    <col min="12288" max="12288" width="10.42578125" style="1"/>
    <col min="12289" max="12289" width="9.28515625" style="1" customWidth="1"/>
    <col min="12290" max="12291" width="12.140625" style="1" customWidth="1"/>
    <col min="12292" max="12292" width="16" style="1" customWidth="1"/>
    <col min="12293" max="12293" width="26.28515625" style="1" customWidth="1"/>
    <col min="12294" max="12541" width="10.42578125" style="1"/>
    <col min="12542" max="12542" width="7.42578125" style="1" customWidth="1"/>
    <col min="12543" max="12543" width="37.42578125" style="1" customWidth="1"/>
    <col min="12544" max="12544" width="10.42578125" style="1"/>
    <col min="12545" max="12545" width="9.28515625" style="1" customWidth="1"/>
    <col min="12546" max="12547" width="12.140625" style="1" customWidth="1"/>
    <col min="12548" max="12548" width="16" style="1" customWidth="1"/>
    <col min="12549" max="12549" width="26.28515625" style="1" customWidth="1"/>
    <col min="12550" max="12797" width="10.42578125" style="1"/>
    <col min="12798" max="12798" width="7.42578125" style="1" customWidth="1"/>
    <col min="12799" max="12799" width="37.42578125" style="1" customWidth="1"/>
    <col min="12800" max="12800" width="10.42578125" style="1"/>
    <col min="12801" max="12801" width="9.28515625" style="1" customWidth="1"/>
    <col min="12802" max="12803" width="12.140625" style="1" customWidth="1"/>
    <col min="12804" max="12804" width="16" style="1" customWidth="1"/>
    <col min="12805" max="12805" width="26.28515625" style="1" customWidth="1"/>
    <col min="12806" max="13053" width="10.42578125" style="1"/>
    <col min="13054" max="13054" width="7.42578125" style="1" customWidth="1"/>
    <col min="13055" max="13055" width="37.42578125" style="1" customWidth="1"/>
    <col min="13056" max="13056" width="10.42578125" style="1"/>
    <col min="13057" max="13057" width="9.28515625" style="1" customWidth="1"/>
    <col min="13058" max="13059" width="12.140625" style="1" customWidth="1"/>
    <col min="13060" max="13060" width="16" style="1" customWidth="1"/>
    <col min="13061" max="13061" width="26.28515625" style="1" customWidth="1"/>
    <col min="13062" max="13309" width="10.42578125" style="1"/>
    <col min="13310" max="13310" width="7.42578125" style="1" customWidth="1"/>
    <col min="13311" max="13311" width="37.42578125" style="1" customWidth="1"/>
    <col min="13312" max="13312" width="10.42578125" style="1"/>
    <col min="13313" max="13313" width="9.28515625" style="1" customWidth="1"/>
    <col min="13314" max="13315" width="12.140625" style="1" customWidth="1"/>
    <col min="13316" max="13316" width="16" style="1" customWidth="1"/>
    <col min="13317" max="13317" width="26.28515625" style="1" customWidth="1"/>
    <col min="13318" max="13565" width="10.42578125" style="1"/>
    <col min="13566" max="13566" width="7.42578125" style="1" customWidth="1"/>
    <col min="13567" max="13567" width="37.42578125" style="1" customWidth="1"/>
    <col min="13568" max="13568" width="10.42578125" style="1"/>
    <col min="13569" max="13569" width="9.28515625" style="1" customWidth="1"/>
    <col min="13570" max="13571" width="12.140625" style="1" customWidth="1"/>
    <col min="13572" max="13572" width="16" style="1" customWidth="1"/>
    <col min="13573" max="13573" width="26.28515625" style="1" customWidth="1"/>
    <col min="13574" max="13821" width="10.42578125" style="1"/>
    <col min="13822" max="13822" width="7.42578125" style="1" customWidth="1"/>
    <col min="13823" max="13823" width="37.42578125" style="1" customWidth="1"/>
    <col min="13824" max="13824" width="10.42578125" style="1"/>
    <col min="13825" max="13825" width="9.28515625" style="1" customWidth="1"/>
    <col min="13826" max="13827" width="12.140625" style="1" customWidth="1"/>
    <col min="13828" max="13828" width="16" style="1" customWidth="1"/>
    <col min="13829" max="13829" width="26.28515625" style="1" customWidth="1"/>
    <col min="13830" max="14077" width="10.42578125" style="1"/>
    <col min="14078" max="14078" width="7.42578125" style="1" customWidth="1"/>
    <col min="14079" max="14079" width="37.42578125" style="1" customWidth="1"/>
    <col min="14080" max="14080" width="10.42578125" style="1"/>
    <col min="14081" max="14081" width="9.28515625" style="1" customWidth="1"/>
    <col min="14082" max="14083" width="12.140625" style="1" customWidth="1"/>
    <col min="14084" max="14084" width="16" style="1" customWidth="1"/>
    <col min="14085" max="14085" width="26.28515625" style="1" customWidth="1"/>
    <col min="14086" max="14333" width="10.42578125" style="1"/>
    <col min="14334" max="14334" width="7.42578125" style="1" customWidth="1"/>
    <col min="14335" max="14335" width="37.42578125" style="1" customWidth="1"/>
    <col min="14336" max="14336" width="10.42578125" style="1"/>
    <col min="14337" max="14337" width="9.28515625" style="1" customWidth="1"/>
    <col min="14338" max="14339" width="12.140625" style="1" customWidth="1"/>
    <col min="14340" max="14340" width="16" style="1" customWidth="1"/>
    <col min="14341" max="14341" width="26.28515625" style="1" customWidth="1"/>
    <col min="14342" max="14589" width="10.42578125" style="1"/>
    <col min="14590" max="14590" width="7.42578125" style="1" customWidth="1"/>
    <col min="14591" max="14591" width="37.42578125" style="1" customWidth="1"/>
    <col min="14592" max="14592" width="10.42578125" style="1"/>
    <col min="14593" max="14593" width="9.28515625" style="1" customWidth="1"/>
    <col min="14594" max="14595" width="12.140625" style="1" customWidth="1"/>
    <col min="14596" max="14596" width="16" style="1" customWidth="1"/>
    <col min="14597" max="14597" width="26.28515625" style="1" customWidth="1"/>
    <col min="14598" max="14845" width="10.42578125" style="1"/>
    <col min="14846" max="14846" width="7.42578125" style="1" customWidth="1"/>
    <col min="14847" max="14847" width="37.42578125" style="1" customWidth="1"/>
    <col min="14848" max="14848" width="10.42578125" style="1"/>
    <col min="14849" max="14849" width="9.28515625" style="1" customWidth="1"/>
    <col min="14850" max="14851" width="12.140625" style="1" customWidth="1"/>
    <col min="14852" max="14852" width="16" style="1" customWidth="1"/>
    <col min="14853" max="14853" width="26.28515625" style="1" customWidth="1"/>
    <col min="14854" max="15101" width="10.42578125" style="1"/>
    <col min="15102" max="15102" width="7.42578125" style="1" customWidth="1"/>
    <col min="15103" max="15103" width="37.42578125" style="1" customWidth="1"/>
    <col min="15104" max="15104" width="10.42578125" style="1"/>
    <col min="15105" max="15105" width="9.28515625" style="1" customWidth="1"/>
    <col min="15106" max="15107" width="12.140625" style="1" customWidth="1"/>
    <col min="15108" max="15108" width="16" style="1" customWidth="1"/>
    <col min="15109" max="15109" width="26.28515625" style="1" customWidth="1"/>
    <col min="15110" max="15357" width="10.42578125" style="1"/>
    <col min="15358" max="15358" width="7.42578125" style="1" customWidth="1"/>
    <col min="15359" max="15359" width="37.42578125" style="1" customWidth="1"/>
    <col min="15360" max="15360" width="10.42578125" style="1"/>
    <col min="15361" max="15361" width="9.28515625" style="1" customWidth="1"/>
    <col min="15362" max="15363" width="12.140625" style="1" customWidth="1"/>
    <col min="15364" max="15364" width="16" style="1" customWidth="1"/>
    <col min="15365" max="15365" width="26.28515625" style="1" customWidth="1"/>
    <col min="15366" max="15613" width="10.42578125" style="1"/>
    <col min="15614" max="15614" width="7.42578125" style="1" customWidth="1"/>
    <col min="15615" max="15615" width="37.42578125" style="1" customWidth="1"/>
    <col min="15616" max="15616" width="10.42578125" style="1"/>
    <col min="15617" max="15617" width="9.28515625" style="1" customWidth="1"/>
    <col min="15618" max="15619" width="12.140625" style="1" customWidth="1"/>
    <col min="15620" max="15620" width="16" style="1" customWidth="1"/>
    <col min="15621" max="15621" width="26.28515625" style="1" customWidth="1"/>
    <col min="15622" max="15869" width="10.42578125" style="1"/>
    <col min="15870" max="15870" width="7.42578125" style="1" customWidth="1"/>
    <col min="15871" max="15871" width="37.42578125" style="1" customWidth="1"/>
    <col min="15872" max="15872" width="10.42578125" style="1"/>
    <col min="15873" max="15873" width="9.28515625" style="1" customWidth="1"/>
    <col min="15874" max="15875" width="12.140625" style="1" customWidth="1"/>
    <col min="15876" max="15876" width="16" style="1" customWidth="1"/>
    <col min="15877" max="15877" width="26.28515625" style="1" customWidth="1"/>
    <col min="15878" max="16125" width="10.42578125" style="1"/>
    <col min="16126" max="16126" width="7.42578125" style="1" customWidth="1"/>
    <col min="16127" max="16127" width="37.42578125" style="1" customWidth="1"/>
    <col min="16128" max="16128" width="10.42578125" style="1"/>
    <col min="16129" max="16129" width="9.28515625" style="1" customWidth="1"/>
    <col min="16130" max="16131" width="12.140625" style="1" customWidth="1"/>
    <col min="16132" max="16132" width="16" style="1" customWidth="1"/>
    <col min="16133" max="16133" width="26.28515625" style="1" customWidth="1"/>
    <col min="16134" max="16384" width="10.42578125" style="1"/>
  </cols>
  <sheetData>
    <row r="2" spans="1:25" ht="16.149999999999999" customHeight="1">
      <c r="B2" s="2"/>
      <c r="C2" s="72" t="s">
        <v>0</v>
      </c>
      <c r="D2" s="4"/>
      <c r="E2" s="5"/>
      <c r="F2" s="671"/>
      <c r="G2" s="672" t="s">
        <v>1</v>
      </c>
    </row>
    <row r="4" spans="1:25" s="73" customFormat="1" ht="15">
      <c r="B4" s="74" t="s">
        <v>35</v>
      </c>
      <c r="C4" s="673" t="s">
        <v>1483</v>
      </c>
      <c r="D4" s="1175"/>
      <c r="E4" s="77"/>
      <c r="F4" s="674"/>
      <c r="G4" s="79"/>
      <c r="H4" s="37"/>
    </row>
    <row r="5" spans="1:25" s="73" customFormat="1" ht="12" customHeight="1">
      <c r="B5" s="80"/>
      <c r="C5" s="81"/>
      <c r="D5" s="1176"/>
      <c r="E5" s="83"/>
      <c r="F5" s="675"/>
      <c r="G5" s="85"/>
      <c r="H5" s="37"/>
    </row>
    <row r="6" spans="1:25" s="86" customFormat="1" ht="21" customHeight="1">
      <c r="B6" s="676" t="s">
        <v>37</v>
      </c>
      <c r="C6" s="677" t="s">
        <v>1484</v>
      </c>
      <c r="D6" s="2233"/>
      <c r="E6" s="679"/>
      <c r="F6" s="680"/>
      <c r="G6" s="681"/>
      <c r="H6" s="27"/>
    </row>
    <row r="7" spans="1:25" s="86" customFormat="1" ht="21" customHeight="1">
      <c r="B7" s="1146"/>
      <c r="C7" s="1147"/>
      <c r="D7" s="1976"/>
      <c r="E7" s="1149"/>
      <c r="F7" s="1150"/>
      <c r="G7" s="1151"/>
      <c r="H7" s="27"/>
    </row>
    <row r="8" spans="1:25" s="86" customFormat="1" ht="14.25">
      <c r="B8" s="682" t="s">
        <v>551</v>
      </c>
      <c r="C8" s="683" t="s">
        <v>1485</v>
      </c>
      <c r="D8" s="2234"/>
      <c r="E8" s="685"/>
      <c r="F8" s="686"/>
      <c r="G8" s="687"/>
      <c r="H8" s="27"/>
    </row>
    <row r="9" spans="1:25" s="86" customFormat="1" ht="14.25">
      <c r="B9" s="80"/>
      <c r="C9" s="81"/>
      <c r="D9" s="1176"/>
      <c r="E9" s="83"/>
      <c r="F9" s="675"/>
      <c r="G9" s="88"/>
      <c r="H9" s="27"/>
    </row>
    <row r="10" spans="1:25" s="14" customFormat="1" ht="18" customHeight="1">
      <c r="A10" s="9"/>
      <c r="B10" s="10" t="s">
        <v>38</v>
      </c>
      <c r="C10" s="11"/>
      <c r="D10" s="1177"/>
      <c r="E10" s="12"/>
      <c r="F10" s="688"/>
      <c r="G10" s="13"/>
    </row>
    <row r="11" spans="1:25" s="14" customFormat="1" ht="18" customHeight="1">
      <c r="A11" s="15"/>
      <c r="B11" s="16" t="s">
        <v>39</v>
      </c>
      <c r="C11" s="17"/>
      <c r="D11" s="1179"/>
      <c r="E11" s="19"/>
      <c r="F11" s="689"/>
      <c r="G11" s="18"/>
    </row>
    <row r="12" spans="1:25" s="14" customFormat="1" ht="18" customHeight="1">
      <c r="A12" s="9"/>
      <c r="B12" s="10" t="s">
        <v>4</v>
      </c>
      <c r="C12" s="11"/>
      <c r="D12" s="1180"/>
      <c r="E12" s="12"/>
      <c r="F12" s="688"/>
      <c r="G12" s="13"/>
    </row>
    <row r="13" spans="1:25" s="14" customFormat="1" ht="18" customHeight="1">
      <c r="A13" s="15"/>
      <c r="B13" s="16" t="s">
        <v>5</v>
      </c>
      <c r="C13" s="17"/>
      <c r="D13" s="1181"/>
      <c r="E13" s="19"/>
      <c r="F13" s="689"/>
      <c r="G13" s="18"/>
    </row>
    <row r="14" spans="1:25" s="86" customFormat="1" ht="14.25">
      <c r="B14" s="89"/>
      <c r="C14" s="90"/>
      <c r="D14" s="1182"/>
      <c r="E14" s="92"/>
      <c r="F14" s="690"/>
      <c r="G14" s="94"/>
      <c r="H14" s="27"/>
    </row>
    <row r="15" spans="1:25" s="86" customFormat="1" ht="18.75" customHeight="1">
      <c r="B15" s="95"/>
      <c r="C15" s="96" t="s">
        <v>40</v>
      </c>
      <c r="D15" s="1183"/>
      <c r="E15" s="98"/>
      <c r="F15" s="691"/>
      <c r="G15" s="100"/>
      <c r="H15" s="27"/>
    </row>
    <row r="16" spans="1:25" s="101" customFormat="1" ht="18.75" customHeight="1">
      <c r="B16" s="95" t="s">
        <v>41</v>
      </c>
      <c r="C16" s="96" t="s">
        <v>42</v>
      </c>
      <c r="D16" s="1183"/>
      <c r="E16" s="104"/>
      <c r="F16" s="692"/>
      <c r="G16" s="106" t="s">
        <v>10</v>
      </c>
      <c r="H16" s="37"/>
      <c r="I16" s="73"/>
      <c r="J16" s="73"/>
      <c r="K16" s="73"/>
      <c r="L16" s="73"/>
      <c r="M16" s="73"/>
      <c r="N16" s="73"/>
      <c r="O16" s="73"/>
      <c r="P16" s="73"/>
      <c r="Q16" s="73"/>
      <c r="R16" s="73"/>
      <c r="S16" s="73"/>
      <c r="T16" s="73"/>
      <c r="U16" s="73"/>
      <c r="V16" s="73"/>
      <c r="W16" s="73"/>
      <c r="X16" s="73"/>
      <c r="Y16" s="73"/>
    </row>
    <row r="17" spans="2:25" s="101" customFormat="1" ht="18.75" customHeight="1">
      <c r="B17" s="693" t="s">
        <v>43</v>
      </c>
      <c r="C17" s="694" t="s">
        <v>44</v>
      </c>
      <c r="D17" s="1185"/>
      <c r="E17" s="110"/>
      <c r="F17" s="695"/>
      <c r="G17" s="1408">
        <f>G40</f>
        <v>0</v>
      </c>
      <c r="H17" s="37"/>
      <c r="I17" s="73"/>
      <c r="J17" s="73"/>
      <c r="K17" s="73"/>
      <c r="L17" s="73"/>
      <c r="M17" s="73"/>
      <c r="N17" s="73"/>
      <c r="O17" s="73"/>
      <c r="P17" s="73"/>
      <c r="Q17" s="73"/>
      <c r="R17" s="73"/>
      <c r="S17" s="73"/>
      <c r="T17" s="73"/>
      <c r="U17" s="73"/>
      <c r="V17" s="73"/>
      <c r="W17" s="73"/>
      <c r="X17" s="73"/>
      <c r="Y17" s="73"/>
    </row>
    <row r="18" spans="2:25" s="101" customFormat="1" ht="18.75" customHeight="1">
      <c r="B18" s="693" t="s">
        <v>45</v>
      </c>
      <c r="C18" s="694" t="s">
        <v>46</v>
      </c>
      <c r="D18" s="1185"/>
      <c r="E18" s="110"/>
      <c r="F18" s="695"/>
      <c r="G18" s="1408">
        <f>G68</f>
        <v>0</v>
      </c>
      <c r="H18" s="37"/>
      <c r="I18" s="73"/>
      <c r="J18" s="73"/>
      <c r="K18" s="73"/>
      <c r="L18" s="73"/>
      <c r="M18" s="73"/>
      <c r="N18" s="73"/>
      <c r="O18" s="73"/>
      <c r="P18" s="73"/>
      <c r="Q18" s="73"/>
      <c r="R18" s="73"/>
      <c r="S18" s="73"/>
      <c r="T18" s="73"/>
      <c r="U18" s="73"/>
      <c r="V18" s="73"/>
      <c r="W18" s="73"/>
      <c r="X18" s="73"/>
      <c r="Y18" s="73"/>
    </row>
    <row r="19" spans="2:25" s="101" customFormat="1" ht="18.75" customHeight="1">
      <c r="B19" s="693" t="s">
        <v>47</v>
      </c>
      <c r="C19" s="694" t="s">
        <v>48</v>
      </c>
      <c r="D19" s="1185"/>
      <c r="E19" s="110"/>
      <c r="F19" s="695"/>
      <c r="G19" s="1408">
        <f>G230</f>
        <v>0</v>
      </c>
      <c r="H19" s="37"/>
      <c r="I19" s="73"/>
      <c r="J19" s="73"/>
      <c r="K19" s="73"/>
      <c r="L19" s="73"/>
      <c r="M19" s="73"/>
      <c r="N19" s="73"/>
      <c r="O19" s="73"/>
      <c r="P19" s="73"/>
      <c r="Q19" s="73"/>
      <c r="R19" s="73"/>
      <c r="S19" s="73"/>
      <c r="T19" s="73"/>
      <c r="U19" s="73"/>
      <c r="V19" s="73"/>
      <c r="W19" s="73"/>
      <c r="X19" s="73"/>
      <c r="Y19" s="73"/>
    </row>
    <row r="20" spans="2:25" s="101" customFormat="1" ht="18.75" customHeight="1">
      <c r="B20" s="113"/>
      <c r="C20" s="114" t="s">
        <v>49</v>
      </c>
      <c r="D20" s="1187"/>
      <c r="E20" s="116"/>
      <c r="F20" s="2372"/>
      <c r="G20" s="1415">
        <f>SUM(G17:G19)</f>
        <v>0</v>
      </c>
      <c r="H20" s="37"/>
      <c r="I20" s="73"/>
      <c r="J20" s="73"/>
      <c r="K20" s="73"/>
      <c r="L20" s="73"/>
      <c r="M20" s="73"/>
      <c r="N20" s="73"/>
      <c r="O20" s="73"/>
      <c r="P20" s="73"/>
      <c r="Q20" s="73"/>
      <c r="R20" s="73"/>
      <c r="S20" s="73"/>
      <c r="T20" s="73"/>
      <c r="U20" s="73"/>
      <c r="V20" s="73"/>
      <c r="W20" s="73"/>
      <c r="X20" s="73"/>
      <c r="Y20" s="73"/>
    </row>
    <row r="21" spans="2:25">
      <c r="B21" s="61"/>
      <c r="C21" s="62"/>
      <c r="D21" s="63"/>
      <c r="E21" s="64"/>
      <c r="F21" s="701"/>
    </row>
    <row r="22" spans="2:25">
      <c r="G22" s="118"/>
    </row>
    <row r="23" spans="2:25" ht="24">
      <c r="B23" s="119" t="s">
        <v>41</v>
      </c>
      <c r="C23" s="120" t="s">
        <v>51</v>
      </c>
      <c r="D23" s="120" t="s">
        <v>52</v>
      </c>
      <c r="E23" s="122" t="s">
        <v>53</v>
      </c>
      <c r="F23" s="756" t="s">
        <v>54</v>
      </c>
      <c r="G23" s="124" t="s">
        <v>55</v>
      </c>
    </row>
    <row r="24" spans="2:25">
      <c r="B24" s="125"/>
      <c r="C24" s="126"/>
      <c r="D24" s="140"/>
      <c r="E24" s="128"/>
      <c r="F24" s="708"/>
      <c r="G24" s="130"/>
    </row>
    <row r="25" spans="2:25" s="138" customFormat="1" ht="20.25">
      <c r="B25" s="131" t="s">
        <v>43</v>
      </c>
      <c r="C25" s="132" t="s">
        <v>44</v>
      </c>
      <c r="D25" s="165"/>
      <c r="E25" s="134"/>
      <c r="F25" s="709"/>
      <c r="G25" s="136"/>
      <c r="H25" s="137"/>
    </row>
    <row r="26" spans="2:25" ht="24">
      <c r="B26" s="125">
        <v>1</v>
      </c>
      <c r="C26" s="144" t="s">
        <v>56</v>
      </c>
      <c r="D26" s="140" t="s">
        <v>57</v>
      </c>
      <c r="E26" s="1081">
        <v>1030</v>
      </c>
      <c r="F26" s="1082">
        <v>0</v>
      </c>
      <c r="G26" s="1083">
        <f t="shared" ref="G26" si="0">E26*F26</f>
        <v>0</v>
      </c>
    </row>
    <row r="27" spans="2:25">
      <c r="B27" s="125">
        <v>2</v>
      </c>
      <c r="C27" s="144" t="s">
        <v>58</v>
      </c>
      <c r="D27" s="140" t="s">
        <v>57</v>
      </c>
      <c r="E27" s="1081">
        <f>E26</f>
        <v>1030</v>
      </c>
      <c r="F27" s="1082">
        <v>0</v>
      </c>
      <c r="G27" s="1083">
        <f>E27*F27</f>
        <v>0</v>
      </c>
    </row>
    <row r="28" spans="2:25" ht="51.75" customHeight="1">
      <c r="B28" s="125">
        <v>3</v>
      </c>
      <c r="C28" s="144" t="s">
        <v>245</v>
      </c>
      <c r="D28" s="140" t="s">
        <v>60</v>
      </c>
      <c r="E28" s="1081">
        <v>1</v>
      </c>
      <c r="F28" s="1082">
        <v>0</v>
      </c>
      <c r="G28" s="1083">
        <f t="shared" ref="G28:G38" si="1">E28*F28</f>
        <v>0</v>
      </c>
    </row>
    <row r="29" spans="2:25" ht="132">
      <c r="B29" s="125">
        <v>4</v>
      </c>
      <c r="C29" s="144" t="s">
        <v>61</v>
      </c>
      <c r="D29" s="145" t="s">
        <v>60</v>
      </c>
      <c r="E29" s="1081">
        <v>1</v>
      </c>
      <c r="F29" s="1082">
        <v>0</v>
      </c>
      <c r="G29" s="1083">
        <f t="shared" si="1"/>
        <v>0</v>
      </c>
    </row>
    <row r="30" spans="2:25" ht="28.5" customHeight="1">
      <c r="B30" s="125">
        <v>5</v>
      </c>
      <c r="C30" s="144" t="s">
        <v>1389</v>
      </c>
      <c r="D30" s="146" t="s">
        <v>60</v>
      </c>
      <c r="E30" s="1081">
        <v>4</v>
      </c>
      <c r="F30" s="1082">
        <v>0</v>
      </c>
      <c r="G30" s="1083">
        <f t="shared" si="1"/>
        <v>0</v>
      </c>
    </row>
    <row r="31" spans="2:25" ht="27.75" customHeight="1">
      <c r="B31" s="125">
        <v>6</v>
      </c>
      <c r="C31" s="1084" t="s">
        <v>63</v>
      </c>
      <c r="D31" s="140" t="s">
        <v>57</v>
      </c>
      <c r="E31" s="1081">
        <f>E26</f>
        <v>1030</v>
      </c>
      <c r="F31" s="1082">
        <v>0</v>
      </c>
      <c r="G31" s="1083">
        <f t="shared" si="1"/>
        <v>0</v>
      </c>
    </row>
    <row r="32" spans="2:25" ht="52.5" customHeight="1">
      <c r="B32" s="125">
        <v>7</v>
      </c>
      <c r="C32" s="1084" t="s">
        <v>64</v>
      </c>
      <c r="D32" s="146" t="s">
        <v>60</v>
      </c>
      <c r="E32" s="1081">
        <v>1</v>
      </c>
      <c r="F32" s="1082">
        <v>0</v>
      </c>
      <c r="G32" s="1083">
        <f t="shared" si="1"/>
        <v>0</v>
      </c>
    </row>
    <row r="33" spans="1:25" ht="60">
      <c r="B33" s="125">
        <v>8</v>
      </c>
      <c r="C33" s="1080" t="s">
        <v>2292</v>
      </c>
      <c r="D33" s="146" t="s">
        <v>66</v>
      </c>
      <c r="E33" s="1081">
        <v>29</v>
      </c>
      <c r="F33" s="1082">
        <v>0</v>
      </c>
      <c r="G33" s="1083">
        <f t="shared" si="1"/>
        <v>0</v>
      </c>
    </row>
    <row r="34" spans="1:25" ht="36">
      <c r="B34" s="125">
        <v>9</v>
      </c>
      <c r="C34" s="1080" t="s">
        <v>2295</v>
      </c>
      <c r="D34" s="146" t="s">
        <v>57</v>
      </c>
      <c r="E34" s="1081">
        <f>E26+E88+E89</f>
        <v>1356</v>
      </c>
      <c r="F34" s="1082">
        <v>0</v>
      </c>
      <c r="G34" s="1083">
        <f t="shared" si="1"/>
        <v>0</v>
      </c>
    </row>
    <row r="35" spans="1:25" ht="24">
      <c r="B35" s="125">
        <v>10</v>
      </c>
      <c r="C35" s="1080" t="s">
        <v>2293</v>
      </c>
      <c r="D35" s="146" t="s">
        <v>57</v>
      </c>
      <c r="E35" s="1081">
        <f>E26+E88+E89</f>
        <v>1356</v>
      </c>
      <c r="F35" s="1082">
        <v>0</v>
      </c>
      <c r="G35" s="1083">
        <f t="shared" si="1"/>
        <v>0</v>
      </c>
    </row>
    <row r="36" spans="1:25">
      <c r="B36" s="125">
        <v>11</v>
      </c>
      <c r="C36" s="1084" t="s">
        <v>67</v>
      </c>
      <c r="D36" s="146" t="s">
        <v>60</v>
      </c>
      <c r="E36" s="1081">
        <v>1</v>
      </c>
      <c r="F36" s="1082">
        <v>0</v>
      </c>
      <c r="G36" s="1083">
        <f t="shared" si="1"/>
        <v>0</v>
      </c>
    </row>
    <row r="37" spans="1:25" ht="48">
      <c r="B37" s="125">
        <v>12</v>
      </c>
      <c r="C37" s="952" t="s">
        <v>68</v>
      </c>
      <c r="D37" s="146" t="s">
        <v>60</v>
      </c>
      <c r="E37" s="1085">
        <v>1</v>
      </c>
      <c r="F37" s="1082">
        <v>0</v>
      </c>
      <c r="G37" s="1083">
        <f t="shared" si="1"/>
        <v>0</v>
      </c>
    </row>
    <row r="38" spans="1:25" ht="36">
      <c r="B38" s="125">
        <v>13</v>
      </c>
      <c r="C38" s="952" t="s">
        <v>69</v>
      </c>
      <c r="D38" s="146" t="s">
        <v>60</v>
      </c>
      <c r="E38" s="1085">
        <v>1</v>
      </c>
      <c r="F38" s="1082">
        <v>0</v>
      </c>
      <c r="G38" s="1083">
        <f t="shared" si="1"/>
        <v>0</v>
      </c>
    </row>
    <row r="39" spans="1:25">
      <c r="B39" s="125"/>
      <c r="C39" s="150"/>
      <c r="D39" s="146"/>
      <c r="E39" s="1085"/>
      <c r="F39" s="1082"/>
      <c r="G39" s="1083"/>
    </row>
    <row r="40" spans="1:25">
      <c r="B40" s="151" t="s">
        <v>43</v>
      </c>
      <c r="C40" s="1086" t="s">
        <v>1390</v>
      </c>
      <c r="D40" s="1103"/>
      <c r="E40" s="1088"/>
      <c r="F40" s="1089"/>
      <c r="G40" s="263">
        <f>SUM(G26:G38)</f>
        <v>0</v>
      </c>
    </row>
    <row r="41" spans="1:25" s="8" customFormat="1">
      <c r="A41" s="1"/>
      <c r="B41" s="125"/>
      <c r="C41" s="126"/>
      <c r="D41" s="140"/>
      <c r="E41" s="128"/>
      <c r="F41" s="129"/>
      <c r="G41" s="130"/>
      <c r="I41" s="1"/>
      <c r="J41" s="1"/>
      <c r="K41" s="1"/>
      <c r="L41" s="1"/>
      <c r="M41" s="1"/>
      <c r="N41" s="1"/>
      <c r="O41" s="1"/>
      <c r="P41" s="1"/>
      <c r="Q41" s="1"/>
      <c r="R41" s="1"/>
      <c r="S41" s="1"/>
      <c r="T41" s="1"/>
      <c r="U41" s="1"/>
      <c r="V41" s="1"/>
      <c r="W41" s="1"/>
      <c r="X41" s="1"/>
      <c r="Y41" s="1"/>
    </row>
    <row r="42" spans="1:25" s="8" customFormat="1" ht="24">
      <c r="A42" s="1"/>
      <c r="B42" s="157" t="s">
        <v>50</v>
      </c>
      <c r="C42" s="158" t="s">
        <v>51</v>
      </c>
      <c r="D42" s="158" t="s">
        <v>52</v>
      </c>
      <c r="E42" s="160" t="s">
        <v>53</v>
      </c>
      <c r="F42" s="161" t="s">
        <v>54</v>
      </c>
      <c r="G42" s="162" t="s">
        <v>55</v>
      </c>
      <c r="I42" s="1"/>
      <c r="J42" s="1"/>
      <c r="K42" s="1"/>
      <c r="L42" s="1"/>
      <c r="M42" s="1"/>
      <c r="N42" s="1"/>
      <c r="O42" s="1"/>
      <c r="P42" s="1"/>
      <c r="Q42" s="1"/>
      <c r="R42" s="1"/>
      <c r="S42" s="1"/>
      <c r="T42" s="1"/>
      <c r="U42" s="1"/>
      <c r="V42" s="1"/>
      <c r="W42" s="1"/>
      <c r="X42" s="1"/>
      <c r="Y42" s="1"/>
    </row>
    <row r="43" spans="1:25" s="8" customFormat="1">
      <c r="A43" s="1"/>
      <c r="B43" s="125"/>
      <c r="C43" s="163"/>
      <c r="D43" s="140"/>
      <c r="E43" s="128"/>
      <c r="F43" s="129"/>
      <c r="G43" s="130"/>
      <c r="I43" s="1"/>
      <c r="J43" s="1"/>
      <c r="K43" s="1"/>
      <c r="L43" s="1"/>
      <c r="M43" s="1"/>
      <c r="N43" s="1"/>
      <c r="O43" s="1"/>
      <c r="P43" s="1"/>
      <c r="Q43" s="1"/>
      <c r="R43" s="1"/>
      <c r="S43" s="1"/>
      <c r="T43" s="1"/>
      <c r="U43" s="1"/>
      <c r="V43" s="1"/>
      <c r="W43" s="1"/>
      <c r="X43" s="1"/>
      <c r="Y43" s="1"/>
    </row>
    <row r="44" spans="1:25" s="8" customFormat="1" ht="40.5">
      <c r="A44" s="1"/>
      <c r="B44" s="131" t="s">
        <v>45</v>
      </c>
      <c r="C44" s="164" t="s">
        <v>871</v>
      </c>
      <c r="D44" s="165"/>
      <c r="E44" s="134"/>
      <c r="F44" s="135"/>
      <c r="G44" s="136"/>
      <c r="I44" s="1"/>
      <c r="J44" s="1"/>
      <c r="K44" s="1"/>
      <c r="L44" s="1"/>
      <c r="M44" s="1"/>
      <c r="N44" s="1"/>
      <c r="O44" s="1"/>
      <c r="P44" s="1"/>
      <c r="Q44" s="1"/>
      <c r="R44" s="1"/>
      <c r="S44" s="1"/>
      <c r="T44" s="1"/>
      <c r="U44" s="1"/>
      <c r="V44" s="1"/>
      <c r="W44" s="1"/>
      <c r="X44" s="1"/>
      <c r="Y44" s="1"/>
    </row>
    <row r="45" spans="1:25" s="8" customFormat="1" ht="67.5" customHeight="1">
      <c r="A45" s="1"/>
      <c r="B45" s="2399" t="s">
        <v>72</v>
      </c>
      <c r="C45" s="2400"/>
      <c r="D45" s="2400"/>
      <c r="E45" s="2400"/>
      <c r="F45" s="2400"/>
      <c r="G45" s="2401"/>
      <c r="I45" s="1"/>
      <c r="J45" s="1"/>
      <c r="K45" s="1"/>
      <c r="L45" s="1"/>
      <c r="M45" s="1"/>
      <c r="N45" s="1"/>
      <c r="O45" s="1"/>
      <c r="P45" s="1"/>
      <c r="Q45" s="1"/>
      <c r="R45" s="1"/>
      <c r="S45" s="1"/>
      <c r="T45" s="1"/>
      <c r="U45" s="1"/>
      <c r="V45" s="1"/>
      <c r="W45" s="1"/>
      <c r="X45" s="1"/>
      <c r="Y45" s="1"/>
    </row>
    <row r="46" spans="1:25" s="8" customFormat="1" ht="27" customHeight="1">
      <c r="A46" s="1"/>
      <c r="B46" s="167">
        <v>1</v>
      </c>
      <c r="C46" s="139" t="s">
        <v>73</v>
      </c>
      <c r="D46" s="140" t="s">
        <v>74</v>
      </c>
      <c r="E46" s="1091">
        <v>25</v>
      </c>
      <c r="F46" s="1092">
        <v>0</v>
      </c>
      <c r="G46" s="1093">
        <f t="shared" ref="G46:G66" si="2">E46*F46</f>
        <v>0</v>
      </c>
      <c r="I46" s="1"/>
      <c r="J46" s="1"/>
      <c r="K46" s="1"/>
      <c r="L46" s="1"/>
      <c r="M46" s="1"/>
      <c r="N46" s="1"/>
      <c r="O46" s="1"/>
      <c r="P46" s="1"/>
      <c r="Q46" s="1"/>
      <c r="R46" s="1"/>
      <c r="S46" s="1"/>
      <c r="T46" s="1"/>
      <c r="U46" s="1"/>
      <c r="V46" s="1"/>
      <c r="W46" s="1"/>
      <c r="X46" s="1"/>
      <c r="Y46" s="1"/>
    </row>
    <row r="47" spans="1:25" s="8" customFormat="1" ht="41.25" customHeight="1">
      <c r="A47" s="1"/>
      <c r="B47" s="717">
        <v>2</v>
      </c>
      <c r="C47" s="139" t="s">
        <v>75</v>
      </c>
      <c r="D47" s="140" t="s">
        <v>74</v>
      </c>
      <c r="E47" s="1091">
        <f>E26*1.5*1.2*0.15</f>
        <v>278.09999999999997</v>
      </c>
      <c r="F47" s="1092">
        <v>0</v>
      </c>
      <c r="G47" s="1093">
        <f t="shared" si="2"/>
        <v>0</v>
      </c>
      <c r="I47" s="1"/>
      <c r="J47" s="1"/>
      <c r="K47" s="1"/>
      <c r="L47" s="1"/>
      <c r="M47" s="1"/>
      <c r="N47" s="1"/>
      <c r="O47" s="1"/>
      <c r="P47" s="1"/>
      <c r="Q47" s="1"/>
      <c r="R47" s="1"/>
      <c r="S47" s="1"/>
      <c r="T47" s="1"/>
      <c r="U47" s="1"/>
      <c r="V47" s="1"/>
      <c r="W47" s="1"/>
      <c r="X47" s="1"/>
      <c r="Y47" s="1"/>
    </row>
    <row r="48" spans="1:25" s="8" customFormat="1" ht="41.25" customHeight="1">
      <c r="A48" s="1"/>
      <c r="B48" s="167">
        <v>3</v>
      </c>
      <c r="C48" s="139" t="s">
        <v>76</v>
      </c>
      <c r="D48" s="145" t="s">
        <v>74</v>
      </c>
      <c r="E48" s="1094">
        <f>E26*1.5*1.2*0.85</f>
        <v>1575.8999999999999</v>
      </c>
      <c r="F48" s="1092">
        <v>0</v>
      </c>
      <c r="G48" s="142">
        <f t="shared" si="2"/>
        <v>0</v>
      </c>
      <c r="I48" s="1"/>
      <c r="J48" s="1"/>
      <c r="K48" s="1"/>
      <c r="L48" s="1"/>
      <c r="M48" s="1"/>
      <c r="N48" s="1"/>
      <c r="O48" s="1"/>
      <c r="P48" s="1"/>
      <c r="Q48" s="1"/>
      <c r="R48" s="1"/>
      <c r="S48" s="1"/>
      <c r="T48" s="1"/>
      <c r="U48" s="1"/>
      <c r="V48" s="1"/>
      <c r="W48" s="1"/>
      <c r="X48" s="1"/>
      <c r="Y48" s="1"/>
    </row>
    <row r="49" spans="1:25" s="8" customFormat="1" ht="27.75" customHeight="1">
      <c r="A49" s="1"/>
      <c r="B49" s="717">
        <v>4</v>
      </c>
      <c r="C49" s="126" t="s">
        <v>77</v>
      </c>
      <c r="D49" s="140" t="s">
        <v>78</v>
      </c>
      <c r="E49" s="1094">
        <f>E26*1.5</f>
        <v>1545</v>
      </c>
      <c r="F49" s="1092">
        <v>0</v>
      </c>
      <c r="G49" s="1083">
        <f t="shared" si="2"/>
        <v>0</v>
      </c>
      <c r="I49" s="1"/>
      <c r="J49" s="1"/>
      <c r="K49" s="1"/>
      <c r="L49" s="1"/>
      <c r="M49" s="1"/>
      <c r="N49" s="1"/>
      <c r="O49" s="1"/>
      <c r="P49" s="1"/>
      <c r="Q49" s="1"/>
      <c r="R49" s="1"/>
      <c r="S49" s="1"/>
      <c r="T49" s="1"/>
      <c r="U49" s="1"/>
      <c r="V49" s="1"/>
      <c r="W49" s="1"/>
      <c r="X49" s="1"/>
      <c r="Y49" s="1"/>
    </row>
    <row r="50" spans="1:25" s="8" customFormat="1" ht="27.75" customHeight="1">
      <c r="A50" s="1"/>
      <c r="B50" s="167">
        <v>5</v>
      </c>
      <c r="C50" s="126" t="s">
        <v>79</v>
      </c>
      <c r="D50" s="145" t="s">
        <v>78</v>
      </c>
      <c r="E50" s="1094">
        <f>E26</f>
        <v>1030</v>
      </c>
      <c r="F50" s="1092">
        <v>0</v>
      </c>
      <c r="G50" s="1083">
        <f t="shared" si="2"/>
        <v>0</v>
      </c>
      <c r="I50" s="1"/>
      <c r="J50" s="1"/>
      <c r="K50" s="1"/>
      <c r="L50" s="1"/>
      <c r="M50" s="1"/>
      <c r="N50" s="1"/>
      <c r="O50" s="1"/>
      <c r="P50" s="1"/>
      <c r="Q50" s="1"/>
      <c r="R50" s="1"/>
      <c r="S50" s="1"/>
      <c r="T50" s="1"/>
      <c r="U50" s="1"/>
      <c r="V50" s="1"/>
      <c r="W50" s="1"/>
      <c r="X50" s="1"/>
      <c r="Y50" s="1"/>
    </row>
    <row r="51" spans="1:25" s="8" customFormat="1" ht="27.75" customHeight="1">
      <c r="A51" s="1"/>
      <c r="B51" s="717">
        <v>6</v>
      </c>
      <c r="C51" s="139" t="s">
        <v>247</v>
      </c>
      <c r="D51" s="145" t="s">
        <v>74</v>
      </c>
      <c r="E51" s="1094">
        <f>E26*1.2*1</f>
        <v>1236</v>
      </c>
      <c r="F51" s="1092">
        <v>0</v>
      </c>
      <c r="G51" s="1083">
        <f t="shared" si="2"/>
        <v>0</v>
      </c>
      <c r="I51" s="1"/>
      <c r="J51" s="1"/>
      <c r="K51" s="1"/>
      <c r="L51" s="1"/>
      <c r="M51" s="1"/>
      <c r="N51" s="1"/>
      <c r="O51" s="1"/>
      <c r="P51" s="1"/>
      <c r="Q51" s="1"/>
      <c r="R51" s="1"/>
      <c r="S51" s="1"/>
      <c r="T51" s="1"/>
      <c r="U51" s="1"/>
      <c r="V51" s="1"/>
      <c r="W51" s="1"/>
      <c r="X51" s="1"/>
      <c r="Y51" s="1"/>
    </row>
    <row r="52" spans="1:25" s="8" customFormat="1" ht="40.5" customHeight="1">
      <c r="A52" s="1"/>
      <c r="B52" s="167">
        <v>7</v>
      </c>
      <c r="C52" s="139" t="s">
        <v>82</v>
      </c>
      <c r="D52" s="146" t="s">
        <v>74</v>
      </c>
      <c r="E52" s="1094">
        <f>E26*1.5*0.4</f>
        <v>618</v>
      </c>
      <c r="F52" s="1092">
        <v>0</v>
      </c>
      <c r="G52" s="1083">
        <f t="shared" si="2"/>
        <v>0</v>
      </c>
      <c r="I52" s="1"/>
      <c r="J52" s="1"/>
      <c r="K52" s="1"/>
      <c r="L52" s="1"/>
      <c r="M52" s="1"/>
      <c r="N52" s="1"/>
      <c r="O52" s="1"/>
      <c r="P52" s="1"/>
      <c r="Q52" s="1"/>
      <c r="R52" s="1"/>
      <c r="S52" s="1"/>
      <c r="T52" s="1"/>
      <c r="U52" s="1"/>
      <c r="V52" s="1"/>
      <c r="W52" s="1"/>
      <c r="X52" s="1"/>
      <c r="Y52" s="1"/>
    </row>
    <row r="53" spans="1:25" s="8" customFormat="1" ht="27" customHeight="1">
      <c r="A53" s="1"/>
      <c r="B53" s="717">
        <v>8</v>
      </c>
      <c r="C53" s="1095" t="s">
        <v>85</v>
      </c>
      <c r="D53" s="140" t="s">
        <v>57</v>
      </c>
      <c r="E53" s="1094">
        <v>25</v>
      </c>
      <c r="F53" s="1092">
        <v>0</v>
      </c>
      <c r="G53" s="1083">
        <f t="shared" si="2"/>
        <v>0</v>
      </c>
      <c r="I53" s="1"/>
      <c r="J53" s="1"/>
      <c r="K53" s="1"/>
      <c r="L53" s="1"/>
      <c r="M53" s="1"/>
      <c r="N53" s="1"/>
      <c r="O53" s="1"/>
      <c r="P53" s="1"/>
      <c r="Q53" s="1"/>
      <c r="R53" s="1"/>
      <c r="S53" s="1"/>
      <c r="T53" s="1"/>
      <c r="U53" s="1"/>
      <c r="V53" s="1"/>
      <c r="W53" s="1"/>
      <c r="X53" s="1"/>
      <c r="Y53" s="1"/>
    </row>
    <row r="54" spans="1:25" s="8" customFormat="1" ht="27" customHeight="1">
      <c r="A54" s="1"/>
      <c r="B54" s="167">
        <v>9</v>
      </c>
      <c r="C54" s="1095" t="s">
        <v>1391</v>
      </c>
      <c r="D54" s="140" t="s">
        <v>78</v>
      </c>
      <c r="E54" s="1094">
        <f>E26*1.2</f>
        <v>1236</v>
      </c>
      <c r="F54" s="1092">
        <v>0</v>
      </c>
      <c r="G54" s="1083">
        <f t="shared" si="2"/>
        <v>0</v>
      </c>
      <c r="I54" s="1"/>
      <c r="J54" s="1"/>
      <c r="K54" s="1"/>
      <c r="L54" s="1"/>
      <c r="M54" s="1"/>
      <c r="N54" s="1"/>
      <c r="O54" s="1"/>
      <c r="P54" s="1"/>
      <c r="Q54" s="1"/>
      <c r="R54" s="1"/>
      <c r="S54" s="1"/>
      <c r="T54" s="1"/>
      <c r="U54" s="1"/>
      <c r="V54" s="1"/>
      <c r="W54" s="1"/>
      <c r="X54" s="1"/>
      <c r="Y54" s="1"/>
    </row>
    <row r="55" spans="1:25" s="8" customFormat="1" ht="63.75" customHeight="1">
      <c r="A55" s="1"/>
      <c r="B55" s="717">
        <v>10</v>
      </c>
      <c r="C55" s="397" t="s">
        <v>1471</v>
      </c>
      <c r="D55" s="145" t="s">
        <v>78</v>
      </c>
      <c r="E55" s="1094">
        <v>10</v>
      </c>
      <c r="F55" s="1092">
        <v>0</v>
      </c>
      <c r="G55" s="1083">
        <f t="shared" si="2"/>
        <v>0</v>
      </c>
      <c r="I55" s="1"/>
      <c r="J55" s="1"/>
      <c r="K55" s="1"/>
      <c r="L55" s="1"/>
      <c r="M55" s="1"/>
      <c r="N55" s="1"/>
      <c r="O55" s="1"/>
      <c r="P55" s="1"/>
      <c r="Q55" s="1"/>
      <c r="R55" s="1"/>
      <c r="S55" s="1"/>
      <c r="T55" s="1"/>
      <c r="U55" s="1"/>
      <c r="V55" s="1"/>
      <c r="W55" s="1"/>
      <c r="X55" s="1"/>
      <c r="Y55" s="1"/>
    </row>
    <row r="56" spans="1:25" s="8" customFormat="1" ht="14.25" customHeight="1">
      <c r="A56" s="1"/>
      <c r="B56" s="167">
        <v>11</v>
      </c>
      <c r="C56" s="139" t="s">
        <v>264</v>
      </c>
      <c r="D56" s="145" t="s">
        <v>74</v>
      </c>
      <c r="E56" s="128">
        <f>E47+E48-E51-(E54*0.05)</f>
        <v>556.19999999999982</v>
      </c>
      <c r="F56" s="1092">
        <v>0</v>
      </c>
      <c r="G56" s="142">
        <f t="shared" si="2"/>
        <v>0</v>
      </c>
      <c r="I56" s="1"/>
      <c r="J56" s="1"/>
      <c r="K56" s="1"/>
      <c r="L56" s="1"/>
      <c r="M56" s="1"/>
      <c r="N56" s="1"/>
      <c r="O56" s="1"/>
      <c r="P56" s="1"/>
      <c r="Q56" s="1"/>
      <c r="R56" s="1"/>
      <c r="S56" s="1"/>
      <c r="T56" s="1"/>
      <c r="U56" s="1"/>
      <c r="V56" s="1"/>
      <c r="W56" s="1"/>
      <c r="X56" s="1"/>
      <c r="Y56" s="1"/>
    </row>
    <row r="57" spans="1:25" s="8" customFormat="1">
      <c r="A57" s="1"/>
      <c r="B57" s="717">
        <v>12</v>
      </c>
      <c r="C57" s="139" t="s">
        <v>265</v>
      </c>
      <c r="D57" s="145" t="s">
        <v>74</v>
      </c>
      <c r="E57" s="128">
        <f>E56</f>
        <v>556.19999999999982</v>
      </c>
      <c r="F57" s="1092">
        <v>0</v>
      </c>
      <c r="G57" s="142">
        <f t="shared" si="2"/>
        <v>0</v>
      </c>
      <c r="I57" s="1"/>
      <c r="J57" s="1"/>
      <c r="K57" s="1"/>
      <c r="L57" s="1"/>
      <c r="M57" s="1"/>
      <c r="N57" s="1"/>
      <c r="O57" s="1"/>
      <c r="P57" s="1"/>
      <c r="Q57" s="1"/>
      <c r="R57" s="1"/>
      <c r="S57" s="1"/>
      <c r="T57" s="1"/>
      <c r="U57" s="1"/>
      <c r="V57" s="1"/>
      <c r="W57" s="1"/>
      <c r="X57" s="1"/>
      <c r="Y57" s="1"/>
    </row>
    <row r="58" spans="1:25" s="8" customFormat="1" ht="27.75" customHeight="1">
      <c r="A58" s="1"/>
      <c r="B58" s="167">
        <v>13</v>
      </c>
      <c r="C58" s="126" t="s">
        <v>95</v>
      </c>
      <c r="D58" s="140" t="s">
        <v>74</v>
      </c>
      <c r="E58" s="1094">
        <f>E26*0.75*0.1</f>
        <v>77.25</v>
      </c>
      <c r="F58" s="1092">
        <v>0</v>
      </c>
      <c r="G58" s="1083">
        <f t="shared" si="2"/>
        <v>0</v>
      </c>
      <c r="I58" s="1"/>
      <c r="J58" s="1"/>
      <c r="K58" s="1"/>
      <c r="L58" s="1"/>
      <c r="M58" s="1"/>
      <c r="N58" s="1"/>
      <c r="O58" s="1"/>
      <c r="P58" s="1"/>
      <c r="Q58" s="1"/>
      <c r="R58" s="1"/>
      <c r="S58" s="1"/>
      <c r="T58" s="1"/>
      <c r="U58" s="1"/>
      <c r="V58" s="1"/>
      <c r="W58" s="1"/>
      <c r="X58" s="1"/>
      <c r="Y58" s="1"/>
    </row>
    <row r="59" spans="1:25" s="8" customFormat="1" ht="27.75" customHeight="1">
      <c r="A59" s="1"/>
      <c r="B59" s="2408">
        <v>14</v>
      </c>
      <c r="C59" s="177" t="s">
        <v>83</v>
      </c>
      <c r="D59" s="146" t="s">
        <v>252</v>
      </c>
      <c r="E59" s="1094">
        <v>2</v>
      </c>
      <c r="F59" s="1092">
        <v>0</v>
      </c>
      <c r="G59" s="1083">
        <f>E59*F59</f>
        <v>0</v>
      </c>
      <c r="I59" s="1"/>
      <c r="J59" s="1"/>
      <c r="K59" s="1"/>
      <c r="L59" s="1"/>
      <c r="M59" s="1"/>
      <c r="N59" s="1"/>
      <c r="O59" s="1"/>
      <c r="P59" s="1"/>
      <c r="Q59" s="1"/>
      <c r="R59" s="1"/>
      <c r="S59" s="1"/>
      <c r="T59" s="1"/>
      <c r="U59" s="1"/>
      <c r="V59" s="1"/>
      <c r="W59" s="1"/>
      <c r="X59" s="1"/>
      <c r="Y59" s="1"/>
    </row>
    <row r="60" spans="1:25" s="8" customFormat="1" ht="12.75" customHeight="1">
      <c r="A60" s="1"/>
      <c r="B60" s="2608"/>
      <c r="C60" s="178" t="s">
        <v>84</v>
      </c>
      <c r="D60" s="146" t="s">
        <v>57</v>
      </c>
      <c r="E60" s="1094">
        <v>18</v>
      </c>
      <c r="F60" s="1082"/>
      <c r="G60" s="1083"/>
      <c r="I60" s="1"/>
      <c r="J60" s="1"/>
      <c r="K60" s="1"/>
      <c r="L60" s="1"/>
      <c r="M60" s="1"/>
      <c r="N60" s="1"/>
      <c r="O60" s="1"/>
      <c r="P60" s="1"/>
      <c r="Q60" s="1"/>
      <c r="R60" s="1"/>
      <c r="S60" s="1"/>
      <c r="T60" s="1"/>
      <c r="U60" s="1"/>
      <c r="V60" s="1"/>
      <c r="W60" s="1"/>
      <c r="X60" s="1"/>
      <c r="Y60" s="1"/>
    </row>
    <row r="61" spans="1:25" s="8" customFormat="1" ht="54.75" customHeight="1">
      <c r="A61" s="1"/>
      <c r="B61" s="2408">
        <v>15</v>
      </c>
      <c r="C61" s="722" t="s">
        <v>1477</v>
      </c>
      <c r="D61" s="194" t="s">
        <v>66</v>
      </c>
      <c r="E61" s="719">
        <v>1</v>
      </c>
      <c r="F61" s="1092">
        <v>0</v>
      </c>
      <c r="G61" s="1093">
        <f>E61*F61</f>
        <v>0</v>
      </c>
      <c r="I61" s="1"/>
      <c r="J61" s="1"/>
      <c r="K61" s="1"/>
      <c r="L61" s="1"/>
      <c r="M61" s="1"/>
      <c r="N61" s="1"/>
      <c r="O61" s="1"/>
      <c r="P61" s="1"/>
      <c r="Q61" s="1"/>
      <c r="R61" s="1"/>
      <c r="S61" s="1"/>
      <c r="T61" s="1"/>
      <c r="U61" s="1"/>
      <c r="V61" s="1"/>
      <c r="W61" s="1"/>
      <c r="X61" s="1"/>
      <c r="Y61" s="1"/>
    </row>
    <row r="62" spans="1:25" s="8" customFormat="1" ht="12.75" customHeight="1">
      <c r="A62" s="1"/>
      <c r="B62" s="2418"/>
      <c r="C62" s="722" t="s">
        <v>1486</v>
      </c>
      <c r="D62" s="194" t="s">
        <v>57</v>
      </c>
      <c r="E62" s="719">
        <v>15</v>
      </c>
      <c r="F62" s="1092"/>
      <c r="G62" s="1093"/>
      <c r="I62" s="1"/>
      <c r="J62" s="1"/>
      <c r="K62" s="1"/>
      <c r="L62" s="1"/>
      <c r="M62" s="1"/>
      <c r="N62" s="1"/>
      <c r="O62" s="1"/>
      <c r="P62" s="1"/>
      <c r="Q62" s="1"/>
      <c r="R62" s="1"/>
      <c r="S62" s="1"/>
      <c r="T62" s="1"/>
      <c r="U62" s="1"/>
      <c r="V62" s="1"/>
      <c r="W62" s="1"/>
      <c r="X62" s="1"/>
      <c r="Y62" s="1"/>
    </row>
    <row r="63" spans="1:25" s="8" customFormat="1" ht="40.5" customHeight="1">
      <c r="A63" s="1"/>
      <c r="B63" s="717">
        <v>16</v>
      </c>
      <c r="C63" s="1096" t="s">
        <v>1393</v>
      </c>
      <c r="D63" s="182" t="s">
        <v>74</v>
      </c>
      <c r="E63" s="1097">
        <v>4</v>
      </c>
      <c r="F63" s="1082">
        <v>0</v>
      </c>
      <c r="G63" s="1083">
        <f t="shared" si="2"/>
        <v>0</v>
      </c>
      <c r="I63" s="1"/>
      <c r="J63" s="1"/>
      <c r="K63" s="1"/>
      <c r="L63" s="1"/>
      <c r="M63" s="1"/>
      <c r="N63" s="1"/>
      <c r="O63" s="1"/>
      <c r="P63" s="1"/>
      <c r="Q63" s="1"/>
      <c r="R63" s="1"/>
      <c r="S63" s="1"/>
      <c r="T63" s="1"/>
      <c r="U63" s="1"/>
      <c r="V63" s="1"/>
      <c r="W63" s="1"/>
      <c r="X63" s="1"/>
      <c r="Y63" s="1"/>
    </row>
    <row r="64" spans="1:25" s="8" customFormat="1" ht="39" customHeight="1">
      <c r="A64" s="1"/>
      <c r="B64" s="717">
        <v>17</v>
      </c>
      <c r="C64" s="1096" t="s">
        <v>270</v>
      </c>
      <c r="D64" s="182" t="s">
        <v>66</v>
      </c>
      <c r="E64" s="1097">
        <v>85</v>
      </c>
      <c r="F64" s="1082">
        <v>0</v>
      </c>
      <c r="G64" s="1083">
        <f t="shared" si="2"/>
        <v>0</v>
      </c>
      <c r="I64" s="1"/>
      <c r="J64" s="1"/>
      <c r="K64" s="1"/>
      <c r="L64" s="1"/>
      <c r="M64" s="1"/>
      <c r="N64" s="1"/>
      <c r="O64" s="1"/>
      <c r="P64" s="1"/>
      <c r="Q64" s="1"/>
      <c r="R64" s="1"/>
      <c r="S64" s="1"/>
      <c r="T64" s="1"/>
      <c r="U64" s="1"/>
      <c r="V64" s="1"/>
      <c r="W64" s="1"/>
      <c r="X64" s="1"/>
      <c r="Y64" s="1"/>
    </row>
    <row r="65" spans="1:25" s="8" customFormat="1" ht="36">
      <c r="A65" s="1"/>
      <c r="B65" s="717">
        <v>18</v>
      </c>
      <c r="C65" s="1096" t="s">
        <v>99</v>
      </c>
      <c r="D65" s="182" t="s">
        <v>74</v>
      </c>
      <c r="E65" s="1097">
        <v>6</v>
      </c>
      <c r="F65" s="1082">
        <v>0</v>
      </c>
      <c r="G65" s="1083">
        <f t="shared" si="2"/>
        <v>0</v>
      </c>
      <c r="I65" s="1"/>
      <c r="J65" s="1"/>
      <c r="K65" s="1"/>
      <c r="L65" s="1"/>
      <c r="M65" s="1"/>
      <c r="N65" s="1"/>
      <c r="O65" s="1"/>
      <c r="P65" s="1"/>
      <c r="Q65" s="1"/>
      <c r="R65" s="1"/>
      <c r="S65" s="1"/>
      <c r="T65" s="1"/>
      <c r="U65" s="1"/>
      <c r="V65" s="1"/>
      <c r="W65" s="1"/>
      <c r="X65" s="1"/>
      <c r="Y65" s="1"/>
    </row>
    <row r="66" spans="1:25" s="8" customFormat="1" ht="27.75" customHeight="1">
      <c r="A66" s="1"/>
      <c r="B66" s="717">
        <v>19</v>
      </c>
      <c r="C66" s="1096" t="s">
        <v>100</v>
      </c>
      <c r="D66" s="182" t="s">
        <v>65</v>
      </c>
      <c r="E66" s="1097">
        <v>85</v>
      </c>
      <c r="F66" s="1082">
        <v>0</v>
      </c>
      <c r="G66" s="1083">
        <f t="shared" si="2"/>
        <v>0</v>
      </c>
      <c r="I66" s="1"/>
      <c r="J66" s="1"/>
      <c r="K66" s="1"/>
      <c r="L66" s="1"/>
      <c r="M66" s="1"/>
      <c r="N66" s="1"/>
      <c r="O66" s="1"/>
      <c r="P66" s="1"/>
      <c r="Q66" s="1"/>
      <c r="R66" s="1"/>
      <c r="S66" s="1"/>
      <c r="T66" s="1"/>
      <c r="U66" s="1"/>
      <c r="V66" s="1"/>
      <c r="W66" s="1"/>
      <c r="X66" s="1"/>
      <c r="Y66" s="1"/>
    </row>
    <row r="67" spans="1:25" s="8" customFormat="1">
      <c r="A67" s="1"/>
      <c r="B67" s="167"/>
      <c r="C67" s="1098"/>
      <c r="D67" s="1099"/>
      <c r="E67" s="1100"/>
      <c r="F67" s="1101"/>
      <c r="G67" s="1102"/>
      <c r="I67" s="1"/>
      <c r="J67" s="1"/>
      <c r="K67" s="1"/>
      <c r="L67" s="1"/>
      <c r="M67" s="1"/>
      <c r="N67" s="1"/>
      <c r="O67" s="1"/>
      <c r="P67" s="1"/>
      <c r="Q67" s="1"/>
      <c r="R67" s="1"/>
      <c r="S67" s="1"/>
      <c r="T67" s="1"/>
      <c r="U67" s="1"/>
      <c r="V67" s="1"/>
      <c r="W67" s="1"/>
      <c r="X67" s="1"/>
      <c r="Y67" s="1"/>
    </row>
    <row r="68" spans="1:25" s="8" customFormat="1">
      <c r="A68" s="1"/>
      <c r="B68" s="151" t="s">
        <v>45</v>
      </c>
      <c r="C68" s="1086" t="s">
        <v>101</v>
      </c>
      <c r="D68" s="1103"/>
      <c r="E68" s="1088"/>
      <c r="F68" s="1089"/>
      <c r="G68" s="263">
        <f>SUM(G46:G66)</f>
        <v>0</v>
      </c>
      <c r="I68" s="1"/>
      <c r="J68" s="1"/>
      <c r="K68" s="1"/>
      <c r="L68" s="1"/>
      <c r="M68" s="1"/>
      <c r="N68" s="1"/>
      <c r="O68" s="1"/>
      <c r="P68" s="1"/>
      <c r="Q68" s="1"/>
      <c r="R68" s="1"/>
      <c r="S68" s="1"/>
      <c r="T68" s="1"/>
      <c r="U68" s="1"/>
      <c r="V68" s="1"/>
      <c r="W68" s="1"/>
      <c r="X68" s="1"/>
      <c r="Y68" s="1"/>
    </row>
    <row r="69" spans="1:25" s="8" customFormat="1">
      <c r="A69" s="1"/>
      <c r="B69" s="67"/>
      <c r="C69" s="68"/>
      <c r="D69" s="1188"/>
      <c r="E69" s="1104"/>
      <c r="F69" s="1105"/>
      <c r="G69" s="1106"/>
      <c r="I69" s="1"/>
      <c r="J69" s="1"/>
      <c r="K69" s="1"/>
      <c r="L69" s="1"/>
      <c r="M69" s="1"/>
      <c r="N69" s="1"/>
      <c r="O69" s="1"/>
      <c r="P69" s="1"/>
      <c r="Q69" s="1"/>
      <c r="R69" s="1"/>
      <c r="S69" s="1"/>
      <c r="T69" s="1"/>
      <c r="U69" s="1"/>
      <c r="V69" s="1"/>
      <c r="W69" s="1"/>
      <c r="X69" s="1"/>
      <c r="Y69" s="1"/>
    </row>
    <row r="70" spans="1:25" s="8" customFormat="1" ht="24">
      <c r="A70" s="1"/>
      <c r="B70" s="119" t="s">
        <v>50</v>
      </c>
      <c r="C70" s="120" t="s">
        <v>51</v>
      </c>
      <c r="D70" s="120" t="s">
        <v>52</v>
      </c>
      <c r="E70" s="122" t="s">
        <v>53</v>
      </c>
      <c r="F70" s="123" t="s">
        <v>54</v>
      </c>
      <c r="G70" s="124" t="s">
        <v>55</v>
      </c>
      <c r="I70" s="1"/>
      <c r="J70" s="1"/>
      <c r="K70" s="1"/>
      <c r="L70" s="1"/>
      <c r="M70" s="1"/>
      <c r="N70" s="1"/>
      <c r="O70" s="1"/>
      <c r="P70" s="1"/>
      <c r="Q70" s="1"/>
      <c r="R70" s="1"/>
      <c r="S70" s="1"/>
      <c r="T70" s="1"/>
      <c r="U70" s="1"/>
      <c r="V70" s="1"/>
      <c r="W70" s="1"/>
      <c r="X70" s="1"/>
      <c r="Y70" s="1"/>
    </row>
    <row r="71" spans="1:25" s="8" customFormat="1">
      <c r="A71" s="1"/>
      <c r="B71" s="125"/>
      <c r="C71" s="126"/>
      <c r="D71" s="140"/>
      <c r="E71" s="719"/>
      <c r="F71" s="1107"/>
      <c r="G71" s="731"/>
      <c r="I71" s="1"/>
      <c r="J71" s="1"/>
      <c r="K71" s="1"/>
      <c r="L71" s="1"/>
      <c r="M71" s="1"/>
      <c r="N71" s="1"/>
      <c r="O71" s="1"/>
      <c r="P71" s="1"/>
      <c r="Q71" s="1"/>
      <c r="R71" s="1"/>
      <c r="S71" s="1"/>
      <c r="T71" s="1"/>
      <c r="U71" s="1"/>
      <c r="V71" s="1"/>
      <c r="W71" s="1"/>
      <c r="X71" s="1"/>
      <c r="Y71" s="1"/>
    </row>
    <row r="72" spans="1:25" s="8" customFormat="1" ht="20.25">
      <c r="A72" s="1"/>
      <c r="B72" s="186" t="s">
        <v>47</v>
      </c>
      <c r="C72" s="187" t="s">
        <v>48</v>
      </c>
      <c r="D72" s="165"/>
      <c r="E72" s="134"/>
      <c r="F72" s="135"/>
      <c r="G72" s="136"/>
      <c r="I72" s="1"/>
      <c r="J72" s="1"/>
      <c r="K72" s="1"/>
      <c r="L72" s="1"/>
      <c r="M72" s="1"/>
      <c r="N72" s="1"/>
      <c r="O72" s="1"/>
      <c r="P72" s="1"/>
      <c r="Q72" s="1"/>
      <c r="R72" s="1"/>
      <c r="S72" s="1"/>
      <c r="T72" s="1"/>
      <c r="U72" s="1"/>
      <c r="V72" s="1"/>
      <c r="W72" s="1"/>
      <c r="X72" s="1"/>
      <c r="Y72" s="1"/>
    </row>
    <row r="73" spans="1:25" s="8" customFormat="1">
      <c r="A73" s="1"/>
      <c r="B73" s="1108" t="s">
        <v>38</v>
      </c>
      <c r="C73" s="1109"/>
      <c r="D73" s="2235"/>
      <c r="E73" s="1109"/>
      <c r="F73" s="1109"/>
      <c r="G73" s="1110"/>
      <c r="I73" s="1"/>
      <c r="J73" s="1"/>
      <c r="K73" s="1"/>
      <c r="L73" s="1"/>
      <c r="M73" s="1"/>
      <c r="N73" s="1"/>
      <c r="O73" s="1"/>
      <c r="P73" s="1"/>
      <c r="Q73" s="1"/>
      <c r="R73" s="1"/>
      <c r="S73" s="1"/>
      <c r="T73" s="1"/>
      <c r="U73" s="1"/>
      <c r="V73" s="1"/>
      <c r="W73" s="1"/>
      <c r="X73" s="1"/>
      <c r="Y73" s="1"/>
    </row>
    <row r="74" spans="1:25" s="8" customFormat="1">
      <c r="A74" s="1"/>
      <c r="B74" s="1111" t="s">
        <v>39</v>
      </c>
      <c r="C74" s="1112"/>
      <c r="D74" s="2236"/>
      <c r="E74" s="1112"/>
      <c r="F74" s="1112"/>
      <c r="G74" s="1113"/>
      <c r="I74" s="1"/>
      <c r="J74" s="1"/>
      <c r="K74" s="1"/>
      <c r="L74" s="1"/>
      <c r="M74" s="1"/>
      <c r="N74" s="1"/>
      <c r="O74" s="1"/>
      <c r="P74" s="1"/>
      <c r="Q74" s="1"/>
      <c r="R74" s="1"/>
      <c r="S74" s="1"/>
      <c r="T74" s="1"/>
      <c r="U74" s="1"/>
      <c r="V74" s="1"/>
      <c r="W74" s="1"/>
      <c r="X74" s="1"/>
      <c r="Y74" s="1"/>
    </row>
    <row r="75" spans="1:25" s="8" customFormat="1">
      <c r="A75" s="1"/>
      <c r="B75" s="1108" t="s">
        <v>4</v>
      </c>
      <c r="C75" s="1109"/>
      <c r="D75" s="2237"/>
      <c r="E75" s="1109"/>
      <c r="F75" s="1109"/>
      <c r="G75" s="1110"/>
      <c r="I75" s="1"/>
      <c r="J75" s="1"/>
      <c r="K75" s="1"/>
      <c r="L75" s="1"/>
      <c r="M75" s="1"/>
      <c r="N75" s="1"/>
      <c r="O75" s="1"/>
      <c r="P75" s="1"/>
      <c r="Q75" s="1"/>
      <c r="R75" s="1"/>
      <c r="S75" s="1"/>
      <c r="T75" s="1"/>
      <c r="U75" s="1"/>
      <c r="V75" s="1"/>
      <c r="W75" s="1"/>
      <c r="X75" s="1"/>
      <c r="Y75" s="1"/>
    </row>
    <row r="76" spans="1:25" s="8" customFormat="1">
      <c r="A76" s="1"/>
      <c r="B76" s="1111" t="s">
        <v>5</v>
      </c>
      <c r="C76" s="1112"/>
      <c r="D76" s="2236"/>
      <c r="E76" s="1112"/>
      <c r="F76" s="1112"/>
      <c r="G76" s="1113"/>
      <c r="I76" s="1"/>
      <c r="J76" s="1"/>
      <c r="K76" s="1"/>
      <c r="L76" s="1"/>
      <c r="M76" s="1"/>
      <c r="N76" s="1"/>
      <c r="O76" s="1"/>
      <c r="P76" s="1"/>
      <c r="Q76" s="1"/>
      <c r="R76" s="1"/>
      <c r="S76" s="1"/>
      <c r="T76" s="1"/>
      <c r="U76" s="1"/>
      <c r="V76" s="1"/>
      <c r="W76" s="1"/>
      <c r="X76" s="1"/>
      <c r="Y76" s="1"/>
    </row>
    <row r="77" spans="1:25" s="8" customFormat="1">
      <c r="A77" s="1"/>
      <c r="B77" s="2399" t="s">
        <v>271</v>
      </c>
      <c r="C77" s="2400"/>
      <c r="D77" s="2400"/>
      <c r="E77" s="2400"/>
      <c r="F77" s="2400"/>
      <c r="G77" s="2401"/>
      <c r="I77" s="1"/>
      <c r="J77" s="1"/>
      <c r="K77" s="1"/>
      <c r="L77" s="1"/>
      <c r="M77" s="1"/>
      <c r="N77" s="1"/>
      <c r="O77" s="1"/>
      <c r="P77" s="1"/>
      <c r="Q77" s="1"/>
      <c r="R77" s="1"/>
      <c r="S77" s="1"/>
      <c r="T77" s="1"/>
      <c r="U77" s="1"/>
      <c r="V77" s="1"/>
      <c r="W77" s="1"/>
      <c r="X77" s="1"/>
      <c r="Y77" s="1"/>
    </row>
    <row r="78" spans="1:25" s="8" customFormat="1">
      <c r="A78" s="1"/>
      <c r="B78" s="2399" t="s">
        <v>104</v>
      </c>
      <c r="C78" s="2400"/>
      <c r="D78" s="2400"/>
      <c r="E78" s="2400"/>
      <c r="F78" s="2400"/>
      <c r="G78" s="2401"/>
      <c r="I78" s="1"/>
      <c r="J78" s="1"/>
      <c r="K78" s="1"/>
      <c r="L78" s="1"/>
      <c r="M78" s="1"/>
      <c r="N78" s="1"/>
      <c r="O78" s="1"/>
      <c r="P78" s="1"/>
      <c r="Q78" s="1"/>
      <c r="R78" s="1"/>
      <c r="S78" s="1"/>
      <c r="T78" s="1"/>
      <c r="U78" s="1"/>
      <c r="V78" s="1"/>
      <c r="W78" s="1"/>
      <c r="X78" s="1"/>
      <c r="Y78" s="1"/>
    </row>
    <row r="79" spans="1:25" s="8" customFormat="1">
      <c r="A79" s="1"/>
      <c r="B79" s="2399" t="s">
        <v>105</v>
      </c>
      <c r="C79" s="2400"/>
      <c r="D79" s="2400"/>
      <c r="E79" s="2400"/>
      <c r="F79" s="2400"/>
      <c r="G79" s="2401"/>
      <c r="I79" s="1"/>
      <c r="J79" s="1"/>
      <c r="K79" s="1"/>
      <c r="L79" s="1"/>
      <c r="M79" s="1"/>
      <c r="N79" s="1"/>
      <c r="O79" s="1"/>
      <c r="P79" s="1"/>
      <c r="Q79" s="1"/>
      <c r="R79" s="1"/>
      <c r="S79" s="1"/>
      <c r="T79" s="1"/>
      <c r="U79" s="1"/>
      <c r="V79" s="1"/>
      <c r="W79" s="1"/>
      <c r="X79" s="1"/>
      <c r="Y79" s="1"/>
    </row>
    <row r="80" spans="1:25" s="8" customFormat="1">
      <c r="A80" s="1"/>
      <c r="B80" s="1115"/>
      <c r="C80" s="1116"/>
      <c r="D80" s="2238"/>
      <c r="E80" s="1116"/>
      <c r="F80" s="1116"/>
      <c r="G80" s="1117"/>
      <c r="I80" s="1"/>
      <c r="J80" s="1"/>
      <c r="K80" s="1"/>
      <c r="L80" s="1"/>
      <c r="M80" s="1"/>
      <c r="N80" s="1"/>
      <c r="O80" s="1"/>
      <c r="P80" s="1"/>
      <c r="Q80" s="1"/>
      <c r="R80" s="1"/>
      <c r="S80" s="1"/>
      <c r="T80" s="1"/>
      <c r="U80" s="1"/>
      <c r="V80" s="1"/>
      <c r="W80" s="1"/>
      <c r="X80" s="1"/>
      <c r="Y80" s="1"/>
    </row>
    <row r="81" spans="2:7" ht="24">
      <c r="B81" s="188">
        <v>1</v>
      </c>
      <c r="C81" s="189" t="s">
        <v>106</v>
      </c>
      <c r="D81" s="190"/>
      <c r="E81" s="719"/>
      <c r="F81" s="1107"/>
      <c r="G81" s="731"/>
    </row>
    <row r="82" spans="2:7">
      <c r="B82" s="191"/>
      <c r="C82" s="271" t="s">
        <v>179</v>
      </c>
      <c r="D82" s="190" t="s">
        <v>57</v>
      </c>
      <c r="E82" s="719">
        <f>289*0.9</f>
        <v>260.10000000000002</v>
      </c>
      <c r="F82" s="1092">
        <v>0</v>
      </c>
      <c r="G82" s="1093">
        <f>E82*F82</f>
        <v>0</v>
      </c>
    </row>
    <row r="83" spans="2:7">
      <c r="B83" s="191"/>
      <c r="C83" s="271" t="s">
        <v>180</v>
      </c>
      <c r="D83" s="190" t="s">
        <v>57</v>
      </c>
      <c r="E83" s="719">
        <f>289*0.1</f>
        <v>28.900000000000002</v>
      </c>
      <c r="F83" s="1092">
        <v>0</v>
      </c>
      <c r="G83" s="1093">
        <f>E83*F83</f>
        <v>0</v>
      </c>
    </row>
    <row r="84" spans="2:7">
      <c r="B84" s="191"/>
      <c r="C84" s="192" t="s">
        <v>107</v>
      </c>
      <c r="D84" s="190" t="s">
        <v>57</v>
      </c>
      <c r="E84" s="719">
        <f>326*0.9</f>
        <v>293.40000000000003</v>
      </c>
      <c r="F84" s="1092">
        <v>0</v>
      </c>
      <c r="G84" s="1093">
        <f t="shared" ref="G84:G94" si="3">E84*F84</f>
        <v>0</v>
      </c>
    </row>
    <row r="85" spans="2:7" ht="24">
      <c r="B85" s="191"/>
      <c r="C85" s="192" t="s">
        <v>884</v>
      </c>
      <c r="D85" s="190" t="s">
        <v>57</v>
      </c>
      <c r="E85" s="719">
        <f>326*0.1</f>
        <v>32.6</v>
      </c>
      <c r="F85" s="1092">
        <v>0</v>
      </c>
      <c r="G85" s="1093">
        <f t="shared" si="3"/>
        <v>0</v>
      </c>
    </row>
    <row r="86" spans="2:7">
      <c r="B86" s="191"/>
      <c r="C86" s="192" t="s">
        <v>226</v>
      </c>
      <c r="D86" s="190" t="s">
        <v>57</v>
      </c>
      <c r="E86" s="719">
        <f>415*0.9</f>
        <v>373.5</v>
      </c>
      <c r="F86" s="1092">
        <v>0</v>
      </c>
      <c r="G86" s="1093">
        <f t="shared" si="3"/>
        <v>0</v>
      </c>
    </row>
    <row r="87" spans="2:7" ht="24">
      <c r="B87" s="191"/>
      <c r="C87" s="192" t="s">
        <v>227</v>
      </c>
      <c r="D87" s="190" t="s">
        <v>57</v>
      </c>
      <c r="E87" s="719">
        <f>415*0.1</f>
        <v>41.5</v>
      </c>
      <c r="F87" s="1092">
        <v>0</v>
      </c>
      <c r="G87" s="1093">
        <f t="shared" si="3"/>
        <v>0</v>
      </c>
    </row>
    <row r="88" spans="2:7">
      <c r="B88" s="191"/>
      <c r="C88" s="192" t="s">
        <v>109</v>
      </c>
      <c r="D88" s="190" t="s">
        <v>57</v>
      </c>
      <c r="E88" s="719">
        <f>326*0.9</f>
        <v>293.40000000000003</v>
      </c>
      <c r="F88" s="1092">
        <v>0</v>
      </c>
      <c r="G88" s="1093">
        <f t="shared" si="3"/>
        <v>0</v>
      </c>
    </row>
    <row r="89" spans="2:7" ht="24">
      <c r="B89" s="191"/>
      <c r="C89" s="192" t="s">
        <v>110</v>
      </c>
      <c r="D89" s="190" t="s">
        <v>57</v>
      </c>
      <c r="E89" s="719">
        <f>326*0.1</f>
        <v>32.6</v>
      </c>
      <c r="F89" s="1092">
        <v>0</v>
      </c>
      <c r="G89" s="1093">
        <f t="shared" si="3"/>
        <v>0</v>
      </c>
    </row>
    <row r="90" spans="2:7" ht="36">
      <c r="B90" s="2404" t="s">
        <v>111</v>
      </c>
      <c r="C90" s="193" t="s">
        <v>112</v>
      </c>
      <c r="D90" s="194"/>
      <c r="E90" s="719"/>
      <c r="F90" s="1092"/>
      <c r="G90" s="1093"/>
    </row>
    <row r="91" spans="2:7">
      <c r="B91" s="2405"/>
      <c r="C91" s="195" t="s">
        <v>113</v>
      </c>
      <c r="D91" s="194" t="s">
        <v>57</v>
      </c>
      <c r="E91" s="719">
        <v>54</v>
      </c>
      <c r="F91" s="1092">
        <v>0</v>
      </c>
      <c r="G91" s="1093">
        <f>E91*F91</f>
        <v>0</v>
      </c>
    </row>
    <row r="92" spans="2:7">
      <c r="B92" s="2405"/>
      <c r="C92" s="195" t="s">
        <v>274</v>
      </c>
      <c r="D92" s="194" t="s">
        <v>57</v>
      </c>
      <c r="E92" s="719">
        <v>65</v>
      </c>
      <c r="F92" s="1092">
        <v>0</v>
      </c>
      <c r="G92" s="1093">
        <f>E92*F92</f>
        <v>0</v>
      </c>
    </row>
    <row r="93" spans="2:7">
      <c r="B93" s="2413"/>
      <c r="C93" s="195" t="s">
        <v>275</v>
      </c>
      <c r="D93" s="194" t="s">
        <v>57</v>
      </c>
      <c r="E93" s="719">
        <v>50</v>
      </c>
      <c r="F93" s="1092">
        <v>0</v>
      </c>
      <c r="G93" s="1093">
        <f>E93*F93</f>
        <v>0</v>
      </c>
    </row>
    <row r="94" spans="2:7" ht="36">
      <c r="B94" s="196">
        <v>2</v>
      </c>
      <c r="C94" s="197" t="s">
        <v>114</v>
      </c>
      <c r="D94" s="145" t="s">
        <v>57</v>
      </c>
      <c r="E94" s="732">
        <f>SUM(E82:E89)</f>
        <v>1356</v>
      </c>
      <c r="F94" s="1092">
        <v>0</v>
      </c>
      <c r="G94" s="1093">
        <f t="shared" si="3"/>
        <v>0</v>
      </c>
    </row>
    <row r="95" spans="2:7" ht="36">
      <c r="B95" s="199" t="s">
        <v>115</v>
      </c>
      <c r="C95" s="197" t="s">
        <v>116</v>
      </c>
      <c r="D95" s="145" t="s">
        <v>57</v>
      </c>
      <c r="E95" s="732">
        <f>E94</f>
        <v>1356</v>
      </c>
      <c r="F95" s="1092">
        <v>0</v>
      </c>
      <c r="G95" s="1093">
        <f>E95*F95</f>
        <v>0</v>
      </c>
    </row>
    <row r="96" spans="2:7" ht="24">
      <c r="B96" s="199" t="s">
        <v>117</v>
      </c>
      <c r="C96" s="197" t="s">
        <v>118</v>
      </c>
      <c r="D96" s="145" t="s">
        <v>57</v>
      </c>
      <c r="E96" s="732">
        <f>E94</f>
        <v>1356</v>
      </c>
      <c r="F96" s="1092">
        <v>0</v>
      </c>
      <c r="G96" s="1093">
        <f>E96*F96</f>
        <v>0</v>
      </c>
    </row>
    <row r="97" spans="2:7" ht="36">
      <c r="B97" s="199" t="s">
        <v>119</v>
      </c>
      <c r="C97" s="197" t="s">
        <v>120</v>
      </c>
      <c r="D97" s="145" t="s">
        <v>57</v>
      </c>
      <c r="E97" s="732">
        <f>E94</f>
        <v>1356</v>
      </c>
      <c r="F97" s="1092">
        <v>0</v>
      </c>
      <c r="G97" s="1093">
        <f>E97*F97</f>
        <v>0</v>
      </c>
    </row>
    <row r="98" spans="2:7" ht="24">
      <c r="B98" s="188">
        <v>3</v>
      </c>
      <c r="C98" s="200" t="s">
        <v>121</v>
      </c>
      <c r="D98" s="140"/>
      <c r="E98" s="719"/>
      <c r="F98" s="1107">
        <v>0</v>
      </c>
      <c r="G98" s="731"/>
    </row>
    <row r="99" spans="2:7">
      <c r="B99" s="201" t="s">
        <v>122</v>
      </c>
      <c r="C99" s="202" t="s">
        <v>123</v>
      </c>
      <c r="D99" s="209"/>
      <c r="E99" s="204"/>
      <c r="F99" s="205"/>
      <c r="G99" s="206"/>
    </row>
    <row r="100" spans="2:7">
      <c r="B100" s="125"/>
      <c r="C100" s="202" t="s">
        <v>210</v>
      </c>
      <c r="D100" s="209"/>
      <c r="E100" s="204"/>
      <c r="F100" s="205"/>
      <c r="G100" s="206"/>
    </row>
    <row r="101" spans="2:7">
      <c r="B101" s="125"/>
      <c r="C101" s="280" t="s">
        <v>211</v>
      </c>
      <c r="D101" s="209" t="s">
        <v>66</v>
      </c>
      <c r="E101" s="204">
        <v>1</v>
      </c>
      <c r="F101" s="210">
        <v>0</v>
      </c>
      <c r="G101" s="211">
        <f>E101*F101</f>
        <v>0</v>
      </c>
    </row>
    <row r="102" spans="2:7">
      <c r="B102" s="125"/>
      <c r="C102" s="280" t="s">
        <v>212</v>
      </c>
      <c r="D102" s="209" t="s">
        <v>66</v>
      </c>
      <c r="E102" s="204">
        <v>2</v>
      </c>
      <c r="F102" s="210">
        <v>0</v>
      </c>
      <c r="G102" s="211">
        <f>E102*F102</f>
        <v>0</v>
      </c>
    </row>
    <row r="103" spans="2:7">
      <c r="B103" s="207"/>
      <c r="C103" s="208" t="s">
        <v>214</v>
      </c>
      <c r="D103" s="209" t="s">
        <v>66</v>
      </c>
      <c r="E103" s="204">
        <v>6</v>
      </c>
      <c r="F103" s="210">
        <v>0</v>
      </c>
      <c r="G103" s="211">
        <f>E103*F103</f>
        <v>0</v>
      </c>
    </row>
    <row r="104" spans="2:7">
      <c r="B104" s="201" t="s">
        <v>126</v>
      </c>
      <c r="C104" s="212" t="s">
        <v>127</v>
      </c>
      <c r="D104" s="1228"/>
      <c r="E104" s="214"/>
      <c r="F104" s="215">
        <v>0</v>
      </c>
      <c r="G104" s="216"/>
    </row>
    <row r="105" spans="2:7">
      <c r="B105" s="218"/>
      <c r="C105" s="212" t="s">
        <v>181</v>
      </c>
      <c r="D105" s="2239"/>
      <c r="E105" s="736"/>
      <c r="F105" s="1601"/>
      <c r="G105" s="1121"/>
    </row>
    <row r="106" spans="2:7">
      <c r="B106" s="218"/>
      <c r="C106" s="219" t="s">
        <v>182</v>
      </c>
      <c r="D106" s="1228" t="s">
        <v>66</v>
      </c>
      <c r="E106" s="214">
        <v>1</v>
      </c>
      <c r="F106" s="1599">
        <v>0</v>
      </c>
      <c r="G106" s="221">
        <f t="shared" ref="G106:G132" si="4">E106*F106</f>
        <v>0</v>
      </c>
    </row>
    <row r="107" spans="2:7" ht="36">
      <c r="B107" s="218"/>
      <c r="C107" s="222" t="s">
        <v>130</v>
      </c>
      <c r="D107" s="1228" t="s">
        <v>66</v>
      </c>
      <c r="E107" s="214">
        <v>1</v>
      </c>
      <c r="F107" s="1599">
        <v>0</v>
      </c>
      <c r="G107" s="221">
        <f t="shared" si="4"/>
        <v>0</v>
      </c>
    </row>
    <row r="108" spans="2:7">
      <c r="B108" s="218"/>
      <c r="C108" s="222" t="s">
        <v>183</v>
      </c>
      <c r="D108" s="1228" t="s">
        <v>66</v>
      </c>
      <c r="E108" s="214">
        <v>1</v>
      </c>
      <c r="F108" s="1599">
        <v>0</v>
      </c>
      <c r="G108" s="221">
        <f t="shared" si="4"/>
        <v>0</v>
      </c>
    </row>
    <row r="109" spans="2:7">
      <c r="B109" s="218"/>
      <c r="C109" s="222" t="s">
        <v>131</v>
      </c>
      <c r="D109" s="1228" t="s">
        <v>66</v>
      </c>
      <c r="E109" s="214">
        <v>1</v>
      </c>
      <c r="F109" s="1599">
        <v>0</v>
      </c>
      <c r="G109" s="221">
        <f t="shared" si="4"/>
        <v>0</v>
      </c>
    </row>
    <row r="110" spans="2:7">
      <c r="B110" s="218"/>
      <c r="C110" s="234" t="s">
        <v>184</v>
      </c>
      <c r="D110" s="1228" t="s">
        <v>66</v>
      </c>
      <c r="E110" s="214">
        <v>2</v>
      </c>
      <c r="F110" s="1599">
        <v>0</v>
      </c>
      <c r="G110" s="221">
        <f t="shared" si="4"/>
        <v>0</v>
      </c>
    </row>
    <row r="111" spans="2:7">
      <c r="B111" s="218"/>
      <c r="C111" s="234" t="s">
        <v>134</v>
      </c>
      <c r="D111" s="1228" t="s">
        <v>66</v>
      </c>
      <c r="E111" s="214">
        <v>1</v>
      </c>
      <c r="F111" s="1599">
        <v>0</v>
      </c>
      <c r="G111" s="221">
        <f t="shared" si="4"/>
        <v>0</v>
      </c>
    </row>
    <row r="112" spans="2:7">
      <c r="B112" s="218"/>
      <c r="C112" s="235" t="s">
        <v>135</v>
      </c>
      <c r="D112" s="1228" t="s">
        <v>66</v>
      </c>
      <c r="E112" s="214">
        <v>1</v>
      </c>
      <c r="F112" s="1599">
        <v>0</v>
      </c>
      <c r="G112" s="221">
        <f t="shared" si="4"/>
        <v>0</v>
      </c>
    </row>
    <row r="113" spans="2:7">
      <c r="B113" s="218"/>
      <c r="C113" s="212" t="s">
        <v>128</v>
      </c>
      <c r="D113" s="2239"/>
      <c r="E113" s="736"/>
      <c r="F113" s="1599"/>
      <c r="G113" s="221"/>
    </row>
    <row r="114" spans="2:7">
      <c r="B114" s="218"/>
      <c r="C114" s="219" t="s">
        <v>129</v>
      </c>
      <c r="D114" s="1228" t="s">
        <v>66</v>
      </c>
      <c r="E114" s="214">
        <v>2</v>
      </c>
      <c r="F114" s="1599">
        <v>0</v>
      </c>
      <c r="G114" s="221">
        <f t="shared" si="4"/>
        <v>0</v>
      </c>
    </row>
    <row r="115" spans="2:7" ht="36">
      <c r="B115" s="218"/>
      <c r="C115" s="222" t="s">
        <v>130</v>
      </c>
      <c r="D115" s="1228" t="s">
        <v>66</v>
      </c>
      <c r="E115" s="214">
        <v>2</v>
      </c>
      <c r="F115" s="1599">
        <v>0</v>
      </c>
      <c r="G115" s="221">
        <f t="shared" si="4"/>
        <v>0</v>
      </c>
    </row>
    <row r="116" spans="2:7">
      <c r="B116" s="218"/>
      <c r="C116" s="222" t="s">
        <v>183</v>
      </c>
      <c r="D116" s="1228" t="s">
        <v>66</v>
      </c>
      <c r="E116" s="214">
        <v>2</v>
      </c>
      <c r="F116" s="1599">
        <v>0</v>
      </c>
      <c r="G116" s="221">
        <f t="shared" si="4"/>
        <v>0</v>
      </c>
    </row>
    <row r="117" spans="2:7">
      <c r="B117" s="218"/>
      <c r="C117" s="222" t="s">
        <v>131</v>
      </c>
      <c r="D117" s="1228" t="s">
        <v>66</v>
      </c>
      <c r="E117" s="214">
        <v>2</v>
      </c>
      <c r="F117" s="1599">
        <v>0</v>
      </c>
      <c r="G117" s="221">
        <f t="shared" si="4"/>
        <v>0</v>
      </c>
    </row>
    <row r="118" spans="2:7">
      <c r="B118" s="218"/>
      <c r="C118" s="222" t="s">
        <v>132</v>
      </c>
      <c r="D118" s="1228" t="s">
        <v>66</v>
      </c>
      <c r="E118" s="214">
        <v>4</v>
      </c>
      <c r="F118" s="1599">
        <v>0</v>
      </c>
      <c r="G118" s="221">
        <f t="shared" si="4"/>
        <v>0</v>
      </c>
    </row>
    <row r="119" spans="2:7">
      <c r="B119" s="218"/>
      <c r="C119" s="222" t="s">
        <v>133</v>
      </c>
      <c r="D119" s="1228" t="s">
        <v>66</v>
      </c>
      <c r="E119" s="214">
        <v>4</v>
      </c>
      <c r="F119" s="1599">
        <v>0</v>
      </c>
      <c r="G119" s="221">
        <f t="shared" si="4"/>
        <v>0</v>
      </c>
    </row>
    <row r="120" spans="2:7">
      <c r="B120" s="218"/>
      <c r="C120" s="222" t="s">
        <v>134</v>
      </c>
      <c r="D120" s="1228" t="s">
        <v>66</v>
      </c>
      <c r="E120" s="214">
        <v>2</v>
      </c>
      <c r="F120" s="1599">
        <v>0</v>
      </c>
      <c r="G120" s="221">
        <f t="shared" si="4"/>
        <v>0</v>
      </c>
    </row>
    <row r="121" spans="2:7">
      <c r="B121" s="218"/>
      <c r="C121" s="222" t="s">
        <v>135</v>
      </c>
      <c r="D121" s="1228" t="s">
        <v>66</v>
      </c>
      <c r="E121" s="214">
        <v>2</v>
      </c>
      <c r="F121" s="1599">
        <v>0</v>
      </c>
      <c r="G121" s="221">
        <f t="shared" si="4"/>
        <v>0</v>
      </c>
    </row>
    <row r="122" spans="2:7">
      <c r="B122" s="218"/>
      <c r="C122" s="212" t="s">
        <v>318</v>
      </c>
      <c r="D122" s="2239"/>
      <c r="E122" s="736"/>
      <c r="F122" s="1599"/>
      <c r="G122" s="221"/>
    </row>
    <row r="123" spans="2:7">
      <c r="B123" s="218"/>
      <c r="C123" s="219" t="s">
        <v>319</v>
      </c>
      <c r="D123" s="1228" t="s">
        <v>66</v>
      </c>
      <c r="E123" s="214">
        <v>2</v>
      </c>
      <c r="F123" s="1599">
        <v>0</v>
      </c>
      <c r="G123" s="221">
        <f t="shared" si="4"/>
        <v>0</v>
      </c>
    </row>
    <row r="124" spans="2:7" ht="36">
      <c r="B124" s="218"/>
      <c r="C124" s="222" t="s">
        <v>283</v>
      </c>
      <c r="D124" s="1228" t="s">
        <v>66</v>
      </c>
      <c r="E124" s="214">
        <v>2</v>
      </c>
      <c r="F124" s="1599">
        <v>0</v>
      </c>
      <c r="G124" s="221">
        <f t="shared" si="4"/>
        <v>0</v>
      </c>
    </row>
    <row r="125" spans="2:7">
      <c r="B125" s="218"/>
      <c r="C125" s="222" t="s">
        <v>183</v>
      </c>
      <c r="D125" s="1228" t="s">
        <v>66</v>
      </c>
      <c r="E125" s="214">
        <v>2</v>
      </c>
      <c r="F125" s="1599">
        <v>0</v>
      </c>
      <c r="G125" s="221">
        <f t="shared" si="4"/>
        <v>0</v>
      </c>
    </row>
    <row r="126" spans="2:7">
      <c r="B126" s="218"/>
      <c r="C126" s="222" t="s">
        <v>131</v>
      </c>
      <c r="D126" s="1228" t="s">
        <v>66</v>
      </c>
      <c r="E126" s="214">
        <v>2</v>
      </c>
      <c r="F126" s="1599">
        <v>0</v>
      </c>
      <c r="G126" s="221">
        <f t="shared" si="4"/>
        <v>0</v>
      </c>
    </row>
    <row r="127" spans="2:7">
      <c r="B127" s="218"/>
      <c r="C127" s="1133" t="s">
        <v>166</v>
      </c>
      <c r="D127" s="1228" t="s">
        <v>66</v>
      </c>
      <c r="E127" s="214">
        <v>4</v>
      </c>
      <c r="F127" s="1599">
        <v>0</v>
      </c>
      <c r="G127" s="221">
        <f t="shared" si="4"/>
        <v>0</v>
      </c>
    </row>
    <row r="128" spans="2:7">
      <c r="B128" s="218"/>
      <c r="C128" s="1133" t="s">
        <v>167</v>
      </c>
      <c r="D128" s="1228" t="s">
        <v>66</v>
      </c>
      <c r="E128" s="214">
        <v>4</v>
      </c>
      <c r="F128" s="1599">
        <v>0</v>
      </c>
      <c r="G128" s="221">
        <f t="shared" si="4"/>
        <v>0</v>
      </c>
    </row>
    <row r="129" spans="2:7">
      <c r="B129" s="218"/>
      <c r="C129" s="1133" t="s">
        <v>229</v>
      </c>
      <c r="D129" s="1228" t="s">
        <v>66</v>
      </c>
      <c r="E129" s="214">
        <v>4</v>
      </c>
      <c r="F129" s="1599">
        <v>0</v>
      </c>
      <c r="G129" s="221">
        <f t="shared" si="4"/>
        <v>0</v>
      </c>
    </row>
    <row r="130" spans="2:7">
      <c r="B130" s="218"/>
      <c r="C130" s="1133" t="s">
        <v>230</v>
      </c>
      <c r="D130" s="1228" t="s">
        <v>66</v>
      </c>
      <c r="E130" s="214">
        <v>4</v>
      </c>
      <c r="F130" s="1599">
        <v>0</v>
      </c>
      <c r="G130" s="221">
        <f t="shared" si="4"/>
        <v>0</v>
      </c>
    </row>
    <row r="131" spans="2:7">
      <c r="B131" s="218"/>
      <c r="C131" s="1133" t="s">
        <v>134</v>
      </c>
      <c r="D131" s="1228" t="s">
        <v>66</v>
      </c>
      <c r="E131" s="214">
        <v>2</v>
      </c>
      <c r="F131" s="1599">
        <v>0</v>
      </c>
      <c r="G131" s="221">
        <f t="shared" si="4"/>
        <v>0</v>
      </c>
    </row>
    <row r="132" spans="2:7">
      <c r="B132" s="218"/>
      <c r="C132" s="1134" t="s">
        <v>135</v>
      </c>
      <c r="D132" s="1228" t="s">
        <v>66</v>
      </c>
      <c r="E132" s="214">
        <v>2</v>
      </c>
      <c r="F132" s="1599">
        <v>0</v>
      </c>
      <c r="G132" s="221">
        <f t="shared" si="4"/>
        <v>0</v>
      </c>
    </row>
    <row r="133" spans="2:7">
      <c r="B133" s="201" t="s">
        <v>136</v>
      </c>
      <c r="C133" s="238" t="s">
        <v>320</v>
      </c>
      <c r="D133" s="260"/>
      <c r="E133" s="240"/>
      <c r="F133" s="241"/>
      <c r="G133" s="242"/>
    </row>
    <row r="134" spans="2:7">
      <c r="B134" s="218"/>
      <c r="C134" s="238" t="s">
        <v>326</v>
      </c>
      <c r="D134" s="185"/>
      <c r="E134" s="741"/>
      <c r="F134" s="1611"/>
      <c r="G134" s="263"/>
    </row>
    <row r="135" spans="2:7" ht="27" customHeight="1">
      <c r="B135" s="218"/>
      <c r="C135" s="1123" t="s">
        <v>322</v>
      </c>
      <c r="D135" s="260" t="s">
        <v>66</v>
      </c>
      <c r="E135" s="240">
        <v>3</v>
      </c>
      <c r="F135" s="1609">
        <v>0</v>
      </c>
      <c r="G135" s="245">
        <f t="shared" ref="G135:G137" si="5">E135*F135</f>
        <v>0</v>
      </c>
    </row>
    <row r="136" spans="2:7">
      <c r="B136" s="218"/>
      <c r="C136" s="246" t="s">
        <v>325</v>
      </c>
      <c r="D136" s="260" t="s">
        <v>66</v>
      </c>
      <c r="E136" s="240">
        <v>3</v>
      </c>
      <c r="F136" s="1609">
        <v>0</v>
      </c>
      <c r="G136" s="245">
        <f t="shared" si="5"/>
        <v>0</v>
      </c>
    </row>
    <row r="137" spans="2:7">
      <c r="B137" s="218"/>
      <c r="C137" s="247" t="s">
        <v>135</v>
      </c>
      <c r="D137" s="260" t="s">
        <v>66</v>
      </c>
      <c r="E137" s="240">
        <v>3</v>
      </c>
      <c r="F137" s="1609">
        <v>0</v>
      </c>
      <c r="G137" s="245">
        <f t="shared" si="5"/>
        <v>0</v>
      </c>
    </row>
    <row r="138" spans="2:7">
      <c r="B138" s="201" t="s">
        <v>151</v>
      </c>
      <c r="C138" s="223" t="s">
        <v>137</v>
      </c>
      <c r="D138" s="1232"/>
      <c r="E138" s="225"/>
      <c r="F138" s="226"/>
      <c r="G138" s="227"/>
    </row>
    <row r="139" spans="2:7">
      <c r="B139" s="218"/>
      <c r="C139" s="223" t="s">
        <v>138</v>
      </c>
      <c r="D139" s="2240"/>
      <c r="E139" s="738"/>
      <c r="F139" s="1605"/>
      <c r="G139" s="1125"/>
    </row>
    <row r="140" spans="2:7">
      <c r="B140" s="218"/>
      <c r="C140" s="228" t="s">
        <v>129</v>
      </c>
      <c r="D140" s="1232" t="s">
        <v>66</v>
      </c>
      <c r="E140" s="225">
        <v>1</v>
      </c>
      <c r="F140" s="1603">
        <v>0</v>
      </c>
      <c r="G140" s="230">
        <f t="shared" ref="G140:G155" si="6">E140*F140</f>
        <v>0</v>
      </c>
    </row>
    <row r="141" spans="2:7">
      <c r="B141" s="218"/>
      <c r="C141" s="228" t="s">
        <v>139</v>
      </c>
      <c r="D141" s="1232" t="s">
        <v>66</v>
      </c>
      <c r="E141" s="225">
        <v>2</v>
      </c>
      <c r="F141" s="1603">
        <v>0</v>
      </c>
      <c r="G141" s="230">
        <f t="shared" si="6"/>
        <v>0</v>
      </c>
    </row>
    <row r="142" spans="2:7">
      <c r="B142" s="218"/>
      <c r="C142" s="231" t="s">
        <v>140</v>
      </c>
      <c r="D142" s="1232" t="s">
        <v>66</v>
      </c>
      <c r="E142" s="225">
        <v>1</v>
      </c>
      <c r="F142" s="1603">
        <v>0</v>
      </c>
      <c r="G142" s="230">
        <f t="shared" si="6"/>
        <v>0</v>
      </c>
    </row>
    <row r="143" spans="2:7">
      <c r="B143" s="218"/>
      <c r="C143" s="231" t="s">
        <v>141</v>
      </c>
      <c r="D143" s="1232" t="s">
        <v>66</v>
      </c>
      <c r="E143" s="225">
        <v>1</v>
      </c>
      <c r="F143" s="1603">
        <v>0</v>
      </c>
      <c r="G143" s="230">
        <f t="shared" si="6"/>
        <v>0</v>
      </c>
    </row>
    <row r="144" spans="2:7">
      <c r="B144" s="218"/>
      <c r="C144" s="231" t="s">
        <v>142</v>
      </c>
      <c r="D144" s="1232" t="s">
        <v>66</v>
      </c>
      <c r="E144" s="225">
        <v>1</v>
      </c>
      <c r="F144" s="1603">
        <v>0</v>
      </c>
      <c r="G144" s="230">
        <f t="shared" si="6"/>
        <v>0</v>
      </c>
    </row>
    <row r="145" spans="2:7">
      <c r="B145" s="218"/>
      <c r="C145" s="231" t="s">
        <v>143</v>
      </c>
      <c r="D145" s="1232" t="s">
        <v>66</v>
      </c>
      <c r="E145" s="225">
        <v>1</v>
      </c>
      <c r="F145" s="1603">
        <v>0</v>
      </c>
      <c r="G145" s="230">
        <f t="shared" si="6"/>
        <v>0</v>
      </c>
    </row>
    <row r="146" spans="2:7">
      <c r="B146" s="218"/>
      <c r="C146" s="231" t="s">
        <v>2250</v>
      </c>
      <c r="D146" s="1232" t="s">
        <v>66</v>
      </c>
      <c r="E146" s="225">
        <v>1</v>
      </c>
      <c r="F146" s="1603">
        <v>0</v>
      </c>
      <c r="G146" s="230">
        <f t="shared" si="6"/>
        <v>0</v>
      </c>
    </row>
    <row r="147" spans="2:7">
      <c r="B147" s="218"/>
      <c r="C147" s="231" t="s">
        <v>145</v>
      </c>
      <c r="D147" s="1232" t="s">
        <v>66</v>
      </c>
      <c r="E147" s="225">
        <v>1</v>
      </c>
      <c r="F147" s="1603">
        <v>0</v>
      </c>
      <c r="G147" s="230">
        <f t="shared" si="6"/>
        <v>0</v>
      </c>
    </row>
    <row r="148" spans="2:7">
      <c r="B148" s="218"/>
      <c r="C148" s="231" t="s">
        <v>146</v>
      </c>
      <c r="D148" s="1232" t="s">
        <v>66</v>
      </c>
      <c r="E148" s="225">
        <v>1</v>
      </c>
      <c r="F148" s="1603">
        <v>0</v>
      </c>
      <c r="G148" s="230">
        <f t="shared" si="6"/>
        <v>0</v>
      </c>
    </row>
    <row r="149" spans="2:7">
      <c r="B149" s="218"/>
      <c r="C149" s="739" t="s">
        <v>147</v>
      </c>
      <c r="D149" s="1232" t="s">
        <v>66</v>
      </c>
      <c r="E149" s="225">
        <v>1</v>
      </c>
      <c r="F149" s="1603">
        <v>0</v>
      </c>
      <c r="G149" s="230">
        <f t="shared" si="6"/>
        <v>0</v>
      </c>
    </row>
    <row r="150" spans="2:7">
      <c r="B150" s="218"/>
      <c r="C150" s="739" t="s">
        <v>188</v>
      </c>
      <c r="D150" s="1232" t="s">
        <v>66</v>
      </c>
      <c r="E150" s="225">
        <v>1</v>
      </c>
      <c r="F150" s="1603">
        <v>0</v>
      </c>
      <c r="G150" s="230">
        <f t="shared" si="6"/>
        <v>0</v>
      </c>
    </row>
    <row r="151" spans="2:7">
      <c r="B151" s="218"/>
      <c r="C151" s="739" t="s">
        <v>132</v>
      </c>
      <c r="D151" s="1232" t="s">
        <v>66</v>
      </c>
      <c r="E151" s="225">
        <v>2</v>
      </c>
      <c r="F151" s="1603">
        <v>0</v>
      </c>
      <c r="G151" s="230">
        <f t="shared" si="6"/>
        <v>0</v>
      </c>
    </row>
    <row r="152" spans="2:7">
      <c r="B152" s="218"/>
      <c r="C152" s="739" t="s">
        <v>148</v>
      </c>
      <c r="D152" s="1232" t="s">
        <v>66</v>
      </c>
      <c r="E152" s="225">
        <v>2</v>
      </c>
      <c r="F152" s="1603">
        <v>0</v>
      </c>
      <c r="G152" s="230">
        <f t="shared" si="6"/>
        <v>0</v>
      </c>
    </row>
    <row r="153" spans="2:7">
      <c r="B153" s="218"/>
      <c r="C153" s="739" t="s">
        <v>149</v>
      </c>
      <c r="D153" s="1232" t="s">
        <v>66</v>
      </c>
      <c r="E153" s="225">
        <v>1</v>
      </c>
      <c r="F153" s="1603">
        <v>0</v>
      </c>
      <c r="G153" s="230">
        <f t="shared" si="6"/>
        <v>0</v>
      </c>
    </row>
    <row r="154" spans="2:7">
      <c r="B154" s="218"/>
      <c r="C154" s="739" t="s">
        <v>150</v>
      </c>
      <c r="D154" s="1232" t="s">
        <v>66</v>
      </c>
      <c r="E154" s="225">
        <v>3</v>
      </c>
      <c r="F154" s="1603">
        <v>0</v>
      </c>
      <c r="G154" s="230">
        <f t="shared" si="6"/>
        <v>0</v>
      </c>
    </row>
    <row r="155" spans="2:7">
      <c r="B155" s="218"/>
      <c r="C155" s="740" t="s">
        <v>135</v>
      </c>
      <c r="D155" s="1232" t="s">
        <v>66</v>
      </c>
      <c r="E155" s="225">
        <v>1</v>
      </c>
      <c r="F155" s="1603">
        <v>0</v>
      </c>
      <c r="G155" s="230">
        <f t="shared" si="6"/>
        <v>0</v>
      </c>
    </row>
    <row r="156" spans="2:7">
      <c r="B156" s="201" t="s">
        <v>159</v>
      </c>
      <c r="C156" s="212" t="s">
        <v>152</v>
      </c>
      <c r="D156" s="1228"/>
      <c r="E156" s="214"/>
      <c r="F156" s="215"/>
      <c r="G156" s="216"/>
    </row>
    <row r="157" spans="2:7">
      <c r="B157" s="218"/>
      <c r="C157" s="212" t="s">
        <v>189</v>
      </c>
      <c r="D157" s="2239"/>
      <c r="E157" s="736"/>
      <c r="F157" s="1601"/>
      <c r="G157" s="1121"/>
    </row>
    <row r="158" spans="2:7">
      <c r="B158" s="218"/>
      <c r="C158" s="219" t="s">
        <v>186</v>
      </c>
      <c r="D158" s="1228" t="s">
        <v>66</v>
      </c>
      <c r="E158" s="214">
        <v>2</v>
      </c>
      <c r="F158" s="1599">
        <v>0</v>
      </c>
      <c r="G158" s="221">
        <f t="shared" ref="G158:G179" si="7">E158*F158</f>
        <v>0</v>
      </c>
    </row>
    <row r="159" spans="2:7" ht="24">
      <c r="B159" s="218"/>
      <c r="C159" s="222" t="s">
        <v>154</v>
      </c>
      <c r="D159" s="1228" t="s">
        <v>66</v>
      </c>
      <c r="E159" s="214">
        <v>2</v>
      </c>
      <c r="F159" s="1599">
        <v>0</v>
      </c>
      <c r="G159" s="221">
        <f t="shared" si="7"/>
        <v>0</v>
      </c>
    </row>
    <row r="160" spans="2:7">
      <c r="B160" s="218"/>
      <c r="C160" s="222" t="s">
        <v>155</v>
      </c>
      <c r="D160" s="1228" t="s">
        <v>66</v>
      </c>
      <c r="E160" s="214">
        <v>2</v>
      </c>
      <c r="F160" s="1599">
        <v>0</v>
      </c>
      <c r="G160" s="221">
        <f t="shared" si="7"/>
        <v>0</v>
      </c>
    </row>
    <row r="161" spans="2:7">
      <c r="B161" s="218"/>
      <c r="C161" s="222" t="s">
        <v>330</v>
      </c>
      <c r="D161" s="1228" t="s">
        <v>66</v>
      </c>
      <c r="E161" s="214">
        <v>2</v>
      </c>
      <c r="F161" s="1599">
        <v>0</v>
      </c>
      <c r="G161" s="221">
        <f t="shared" si="7"/>
        <v>0</v>
      </c>
    </row>
    <row r="162" spans="2:7">
      <c r="B162" s="218"/>
      <c r="C162" s="222" t="s">
        <v>157</v>
      </c>
      <c r="D162" s="1228" t="s">
        <v>66</v>
      </c>
      <c r="E162" s="214">
        <v>2</v>
      </c>
      <c r="F162" s="1599">
        <v>0</v>
      </c>
      <c r="G162" s="221">
        <f t="shared" si="7"/>
        <v>0</v>
      </c>
    </row>
    <row r="163" spans="2:7">
      <c r="B163" s="218"/>
      <c r="C163" s="234" t="s">
        <v>158</v>
      </c>
      <c r="D163" s="1228" t="s">
        <v>66</v>
      </c>
      <c r="E163" s="214">
        <v>2</v>
      </c>
      <c r="F163" s="1599">
        <v>0</v>
      </c>
      <c r="G163" s="221">
        <f t="shared" si="7"/>
        <v>0</v>
      </c>
    </row>
    <row r="164" spans="2:7">
      <c r="B164" s="218"/>
      <c r="C164" s="234" t="s">
        <v>190</v>
      </c>
      <c r="D164" s="1228" t="s">
        <v>66</v>
      </c>
      <c r="E164" s="214">
        <v>2</v>
      </c>
      <c r="F164" s="1599">
        <v>0</v>
      </c>
      <c r="G164" s="221">
        <f t="shared" si="7"/>
        <v>0</v>
      </c>
    </row>
    <row r="165" spans="2:7">
      <c r="B165" s="218"/>
      <c r="C165" s="234" t="s">
        <v>184</v>
      </c>
      <c r="D165" s="1228" t="s">
        <v>66</v>
      </c>
      <c r="E165" s="214">
        <v>4</v>
      </c>
      <c r="F165" s="1599">
        <v>0</v>
      </c>
      <c r="G165" s="221">
        <f t="shared" si="7"/>
        <v>0</v>
      </c>
    </row>
    <row r="166" spans="2:7">
      <c r="B166" s="218"/>
      <c r="C166" s="234" t="s">
        <v>150</v>
      </c>
      <c r="D166" s="1228" t="s">
        <v>66</v>
      </c>
      <c r="E166" s="214">
        <v>2</v>
      </c>
      <c r="F166" s="1599">
        <v>0</v>
      </c>
      <c r="G166" s="221">
        <f t="shared" si="7"/>
        <v>0</v>
      </c>
    </row>
    <row r="167" spans="2:7">
      <c r="B167" s="218"/>
      <c r="C167" s="235" t="s">
        <v>135</v>
      </c>
      <c r="D167" s="1228" t="s">
        <v>66</v>
      </c>
      <c r="E167" s="214">
        <v>2</v>
      </c>
      <c r="F167" s="1599">
        <v>0</v>
      </c>
      <c r="G167" s="221">
        <f t="shared" si="7"/>
        <v>0</v>
      </c>
    </row>
    <row r="168" spans="2:7">
      <c r="B168" s="218"/>
      <c r="C168" s="212" t="s">
        <v>153</v>
      </c>
      <c r="D168" s="2239"/>
      <c r="E168" s="736"/>
      <c r="F168" s="1599"/>
      <c r="G168" s="221"/>
    </row>
    <row r="169" spans="2:7">
      <c r="B169" s="218"/>
      <c r="C169" s="219" t="s">
        <v>129</v>
      </c>
      <c r="D169" s="1228" t="s">
        <v>66</v>
      </c>
      <c r="E169" s="214">
        <v>2</v>
      </c>
      <c r="F169" s="1599">
        <v>0</v>
      </c>
      <c r="G169" s="221">
        <f t="shared" si="7"/>
        <v>0</v>
      </c>
    </row>
    <row r="170" spans="2:7" ht="24">
      <c r="B170" s="218"/>
      <c r="C170" s="222" t="s">
        <v>154</v>
      </c>
      <c r="D170" s="1228" t="s">
        <v>66</v>
      </c>
      <c r="E170" s="214">
        <v>2</v>
      </c>
      <c r="F170" s="1599">
        <v>0</v>
      </c>
      <c r="G170" s="221">
        <f t="shared" si="7"/>
        <v>0</v>
      </c>
    </row>
    <row r="171" spans="2:7">
      <c r="B171" s="218"/>
      <c r="C171" s="222" t="s">
        <v>155</v>
      </c>
      <c r="D171" s="1228" t="s">
        <v>66</v>
      </c>
      <c r="E171" s="214">
        <v>2</v>
      </c>
      <c r="F171" s="1599">
        <v>0</v>
      </c>
      <c r="G171" s="221">
        <f t="shared" si="7"/>
        <v>0</v>
      </c>
    </row>
    <row r="172" spans="2:7">
      <c r="B172" s="218"/>
      <c r="C172" s="222" t="s">
        <v>330</v>
      </c>
      <c r="D172" s="1228" t="s">
        <v>66</v>
      </c>
      <c r="E172" s="214">
        <v>2</v>
      </c>
      <c r="F172" s="1599">
        <v>0</v>
      </c>
      <c r="G172" s="221">
        <f t="shared" si="7"/>
        <v>0</v>
      </c>
    </row>
    <row r="173" spans="2:7">
      <c r="B173" s="218"/>
      <c r="C173" s="222" t="s">
        <v>157</v>
      </c>
      <c r="D173" s="1228" t="s">
        <v>66</v>
      </c>
      <c r="E173" s="214">
        <v>2</v>
      </c>
      <c r="F173" s="1599">
        <v>0</v>
      </c>
      <c r="G173" s="221">
        <f t="shared" si="7"/>
        <v>0</v>
      </c>
    </row>
    <row r="174" spans="2:7">
      <c r="B174" s="218"/>
      <c r="C174" s="234" t="s">
        <v>158</v>
      </c>
      <c r="D174" s="1228" t="s">
        <v>66</v>
      </c>
      <c r="E174" s="214">
        <v>2</v>
      </c>
      <c r="F174" s="1599">
        <v>0</v>
      </c>
      <c r="G174" s="221">
        <f t="shared" si="7"/>
        <v>0</v>
      </c>
    </row>
    <row r="175" spans="2:7">
      <c r="B175" s="218"/>
      <c r="C175" s="234" t="s">
        <v>190</v>
      </c>
      <c r="D175" s="1228" t="s">
        <v>66</v>
      </c>
      <c r="E175" s="214">
        <v>2</v>
      </c>
      <c r="F175" s="1599">
        <v>0</v>
      </c>
      <c r="G175" s="221">
        <f t="shared" si="7"/>
        <v>0</v>
      </c>
    </row>
    <row r="176" spans="2:7">
      <c r="B176" s="218"/>
      <c r="C176" s="234" t="s">
        <v>132</v>
      </c>
      <c r="D176" s="1228" t="s">
        <v>66</v>
      </c>
      <c r="E176" s="214">
        <v>4</v>
      </c>
      <c r="F176" s="1599">
        <v>0</v>
      </c>
      <c r="G176" s="221">
        <f t="shared" si="7"/>
        <v>0</v>
      </c>
    </row>
    <row r="177" spans="2:7">
      <c r="B177" s="218"/>
      <c r="C177" s="234" t="s">
        <v>148</v>
      </c>
      <c r="D177" s="1228" t="s">
        <v>66</v>
      </c>
      <c r="E177" s="214">
        <v>4</v>
      </c>
      <c r="F177" s="1599">
        <v>0</v>
      </c>
      <c r="G177" s="221">
        <f t="shared" si="7"/>
        <v>0</v>
      </c>
    </row>
    <row r="178" spans="2:7">
      <c r="B178" s="218"/>
      <c r="C178" s="234" t="s">
        <v>150</v>
      </c>
      <c r="D178" s="1228" t="s">
        <v>66</v>
      </c>
      <c r="E178" s="214">
        <v>2</v>
      </c>
      <c r="F178" s="1599">
        <v>0</v>
      </c>
      <c r="G178" s="221">
        <f t="shared" si="7"/>
        <v>0</v>
      </c>
    </row>
    <row r="179" spans="2:7">
      <c r="B179" s="218"/>
      <c r="C179" s="235" t="s">
        <v>135</v>
      </c>
      <c r="D179" s="1228" t="s">
        <v>66</v>
      </c>
      <c r="E179" s="214">
        <v>2</v>
      </c>
      <c r="F179" s="1599">
        <v>0</v>
      </c>
      <c r="G179" s="221">
        <f t="shared" si="7"/>
        <v>0</v>
      </c>
    </row>
    <row r="180" spans="2:7" ht="24">
      <c r="B180" s="199" t="s">
        <v>331</v>
      </c>
      <c r="C180" s="212" t="s">
        <v>332</v>
      </c>
      <c r="D180" s="2239" t="s">
        <v>66</v>
      </c>
      <c r="E180" s="736">
        <v>4</v>
      </c>
      <c r="F180" s="1126">
        <v>0</v>
      </c>
      <c r="G180" s="1121">
        <f>E180*F180</f>
        <v>0</v>
      </c>
    </row>
    <row r="181" spans="2:7">
      <c r="B181" s="201" t="s">
        <v>168</v>
      </c>
      <c r="C181" s="223" t="s">
        <v>886</v>
      </c>
      <c r="D181" s="1232"/>
      <c r="E181" s="225"/>
      <c r="F181" s="226"/>
      <c r="G181" s="227"/>
    </row>
    <row r="182" spans="2:7">
      <c r="B182" s="218"/>
      <c r="C182" s="223" t="s">
        <v>887</v>
      </c>
      <c r="D182" s="2240"/>
      <c r="E182" s="738"/>
      <c r="F182" s="1605"/>
      <c r="G182" s="1608"/>
    </row>
    <row r="183" spans="2:7" ht="24">
      <c r="B183" s="218"/>
      <c r="C183" s="228" t="s">
        <v>2253</v>
      </c>
      <c r="D183" s="1232" t="s">
        <v>66</v>
      </c>
      <c r="E183" s="225">
        <v>1</v>
      </c>
      <c r="F183" s="1768">
        <v>0</v>
      </c>
      <c r="G183" s="1714">
        <f t="shared" ref="G183:G208" si="8">E183*F183</f>
        <v>0</v>
      </c>
    </row>
    <row r="184" spans="2:7">
      <c r="B184" s="218"/>
      <c r="C184" s="232" t="s">
        <v>184</v>
      </c>
      <c r="D184" s="1232" t="s">
        <v>66</v>
      </c>
      <c r="E184" s="225">
        <v>2</v>
      </c>
      <c r="F184" s="1768">
        <v>0</v>
      </c>
      <c r="G184" s="1714">
        <f t="shared" si="8"/>
        <v>0</v>
      </c>
    </row>
    <row r="185" spans="2:7">
      <c r="B185" s="218"/>
      <c r="C185" s="232" t="s">
        <v>150</v>
      </c>
      <c r="D185" s="1232" t="s">
        <v>66</v>
      </c>
      <c r="E185" s="225">
        <v>1</v>
      </c>
      <c r="F185" s="1768">
        <v>0</v>
      </c>
      <c r="G185" s="1714">
        <f t="shared" si="8"/>
        <v>0</v>
      </c>
    </row>
    <row r="186" spans="2:7">
      <c r="B186" s="218"/>
      <c r="C186" s="233" t="s">
        <v>135</v>
      </c>
      <c r="D186" s="1232" t="s">
        <v>66</v>
      </c>
      <c r="E186" s="225">
        <v>1</v>
      </c>
      <c r="F186" s="1768">
        <v>0</v>
      </c>
      <c r="G186" s="1714">
        <f t="shared" si="8"/>
        <v>0</v>
      </c>
    </row>
    <row r="187" spans="2:7">
      <c r="B187" s="218"/>
      <c r="C187" s="223" t="s">
        <v>220</v>
      </c>
      <c r="D187" s="2240"/>
      <c r="E187" s="738"/>
      <c r="F187" s="1768"/>
      <c r="G187" s="1714"/>
    </row>
    <row r="188" spans="2:7" ht="24">
      <c r="B188" s="218"/>
      <c r="C188" s="228" t="s">
        <v>2249</v>
      </c>
      <c r="D188" s="1232" t="s">
        <v>66</v>
      </c>
      <c r="E188" s="225">
        <v>3</v>
      </c>
      <c r="F188" s="1768">
        <v>0</v>
      </c>
      <c r="G188" s="1714">
        <f t="shared" si="8"/>
        <v>0</v>
      </c>
    </row>
    <row r="189" spans="2:7">
      <c r="B189" s="218"/>
      <c r="C189" s="739" t="s">
        <v>184</v>
      </c>
      <c r="D189" s="1232" t="s">
        <v>66</v>
      </c>
      <c r="E189" s="225">
        <v>6</v>
      </c>
      <c r="F189" s="1768">
        <v>0</v>
      </c>
      <c r="G189" s="1714">
        <f t="shared" si="8"/>
        <v>0</v>
      </c>
    </row>
    <row r="190" spans="2:7">
      <c r="B190" s="218"/>
      <c r="C190" s="739" t="s">
        <v>132</v>
      </c>
      <c r="D190" s="1232" t="s">
        <v>66</v>
      </c>
      <c r="E190" s="225">
        <v>3</v>
      </c>
      <c r="F190" s="1768">
        <v>0</v>
      </c>
      <c r="G190" s="1714">
        <f t="shared" si="8"/>
        <v>0</v>
      </c>
    </row>
    <row r="191" spans="2:7">
      <c r="B191" s="218"/>
      <c r="C191" s="739" t="s">
        <v>150</v>
      </c>
      <c r="D191" s="1232" t="s">
        <v>66</v>
      </c>
      <c r="E191" s="225">
        <v>3</v>
      </c>
      <c r="F191" s="1768">
        <v>0</v>
      </c>
      <c r="G191" s="1714">
        <f t="shared" si="8"/>
        <v>0</v>
      </c>
    </row>
    <row r="192" spans="2:7">
      <c r="B192" s="218"/>
      <c r="C192" s="740" t="s">
        <v>135</v>
      </c>
      <c r="D192" s="1232" t="s">
        <v>66</v>
      </c>
      <c r="E192" s="225">
        <v>3</v>
      </c>
      <c r="F192" s="1768">
        <v>0</v>
      </c>
      <c r="G192" s="1714">
        <f t="shared" si="8"/>
        <v>0</v>
      </c>
    </row>
    <row r="193" spans="2:7">
      <c r="B193" s="218"/>
      <c r="C193" s="223" t="s">
        <v>196</v>
      </c>
      <c r="D193" s="2240"/>
      <c r="E193" s="738"/>
      <c r="F193" s="1768"/>
      <c r="G193" s="1714"/>
    </row>
    <row r="194" spans="2:7" ht="24">
      <c r="B194" s="218"/>
      <c r="C194" s="228" t="s">
        <v>2248</v>
      </c>
      <c r="D194" s="1232" t="s">
        <v>66</v>
      </c>
      <c r="E194" s="225">
        <v>1</v>
      </c>
      <c r="F194" s="1768">
        <v>0</v>
      </c>
      <c r="G194" s="1714">
        <f t="shared" si="8"/>
        <v>0</v>
      </c>
    </row>
    <row r="195" spans="2:7">
      <c r="B195" s="218"/>
      <c r="C195" s="232" t="s">
        <v>132</v>
      </c>
      <c r="D195" s="1232" t="s">
        <v>66</v>
      </c>
      <c r="E195" s="225">
        <v>3</v>
      </c>
      <c r="F195" s="1768">
        <v>0</v>
      </c>
      <c r="G195" s="1714">
        <f t="shared" si="8"/>
        <v>0</v>
      </c>
    </row>
    <row r="196" spans="2:7">
      <c r="B196" s="218"/>
      <c r="C196" s="232" t="s">
        <v>148</v>
      </c>
      <c r="D196" s="1232" t="s">
        <v>66</v>
      </c>
      <c r="E196" s="225">
        <v>3</v>
      </c>
      <c r="F196" s="1768">
        <v>0</v>
      </c>
      <c r="G196" s="1714">
        <f t="shared" si="8"/>
        <v>0</v>
      </c>
    </row>
    <row r="197" spans="2:7">
      <c r="B197" s="218"/>
      <c r="C197" s="232" t="s">
        <v>150</v>
      </c>
      <c r="D197" s="1232" t="s">
        <v>66</v>
      </c>
      <c r="E197" s="225">
        <v>1</v>
      </c>
      <c r="F197" s="1768">
        <v>0</v>
      </c>
      <c r="G197" s="1714">
        <f t="shared" si="8"/>
        <v>0</v>
      </c>
    </row>
    <row r="198" spans="2:7">
      <c r="B198" s="218"/>
      <c r="C198" s="233" t="s">
        <v>135</v>
      </c>
      <c r="D198" s="1232" t="s">
        <v>66</v>
      </c>
      <c r="E198" s="225">
        <v>1</v>
      </c>
      <c r="F198" s="1768">
        <v>0</v>
      </c>
      <c r="G198" s="1714">
        <f t="shared" si="8"/>
        <v>0</v>
      </c>
    </row>
    <row r="199" spans="2:7">
      <c r="B199" s="218"/>
      <c r="C199" s="223" t="s">
        <v>228</v>
      </c>
      <c r="D199" s="2240"/>
      <c r="E199" s="738"/>
      <c r="F199" s="1768"/>
      <c r="G199" s="1714"/>
    </row>
    <row r="200" spans="2:7" ht="24">
      <c r="B200" s="218"/>
      <c r="C200" s="228" t="s">
        <v>2247</v>
      </c>
      <c r="D200" s="1232" t="s">
        <v>66</v>
      </c>
      <c r="E200" s="225">
        <v>3</v>
      </c>
      <c r="F200" s="1768">
        <v>0</v>
      </c>
      <c r="G200" s="1714">
        <f t="shared" si="8"/>
        <v>0</v>
      </c>
    </row>
    <row r="201" spans="2:7">
      <c r="B201" s="218"/>
      <c r="C201" s="739" t="s">
        <v>132</v>
      </c>
      <c r="D201" s="1232" t="s">
        <v>66</v>
      </c>
      <c r="E201" s="225">
        <v>6</v>
      </c>
      <c r="F201" s="1768">
        <v>0</v>
      </c>
      <c r="G201" s="1714">
        <f t="shared" si="8"/>
        <v>0</v>
      </c>
    </row>
    <row r="202" spans="2:7">
      <c r="B202" s="218"/>
      <c r="C202" s="739" t="s">
        <v>166</v>
      </c>
      <c r="D202" s="1232" t="s">
        <v>66</v>
      </c>
      <c r="E202" s="225">
        <v>3</v>
      </c>
      <c r="F202" s="1768">
        <v>0</v>
      </c>
      <c r="G202" s="1714">
        <f t="shared" si="8"/>
        <v>0</v>
      </c>
    </row>
    <row r="203" spans="2:7">
      <c r="B203" s="218"/>
      <c r="C203" s="739" t="s">
        <v>148</v>
      </c>
      <c r="D203" s="1232" t="s">
        <v>66</v>
      </c>
      <c r="E203" s="225">
        <v>6</v>
      </c>
      <c r="F203" s="1768">
        <v>0</v>
      </c>
      <c r="G203" s="1714">
        <f t="shared" si="8"/>
        <v>0</v>
      </c>
    </row>
    <row r="204" spans="2:7">
      <c r="B204" s="218"/>
      <c r="C204" s="739" t="s">
        <v>167</v>
      </c>
      <c r="D204" s="1232" t="s">
        <v>66</v>
      </c>
      <c r="E204" s="225">
        <v>3</v>
      </c>
      <c r="F204" s="1768">
        <v>0</v>
      </c>
      <c r="G204" s="1714">
        <f t="shared" si="8"/>
        <v>0</v>
      </c>
    </row>
    <row r="205" spans="2:7">
      <c r="B205" s="218"/>
      <c r="C205" s="739" t="s">
        <v>229</v>
      </c>
      <c r="D205" s="1232" t="s">
        <v>66</v>
      </c>
      <c r="E205" s="225">
        <v>3</v>
      </c>
      <c r="F205" s="1768">
        <v>0</v>
      </c>
      <c r="G205" s="1714">
        <f t="shared" si="8"/>
        <v>0</v>
      </c>
    </row>
    <row r="206" spans="2:7">
      <c r="B206" s="218"/>
      <c r="C206" s="739" t="s">
        <v>230</v>
      </c>
      <c r="D206" s="1232" t="s">
        <v>66</v>
      </c>
      <c r="E206" s="225">
        <v>3</v>
      </c>
      <c r="F206" s="1768">
        <v>0</v>
      </c>
      <c r="G206" s="1714">
        <f t="shared" si="8"/>
        <v>0</v>
      </c>
    </row>
    <row r="207" spans="2:7">
      <c r="B207" s="218"/>
      <c r="C207" s="739" t="s">
        <v>150</v>
      </c>
      <c r="D207" s="1232" t="s">
        <v>66</v>
      </c>
      <c r="E207" s="225">
        <v>3</v>
      </c>
      <c r="F207" s="1768">
        <v>0</v>
      </c>
      <c r="G207" s="1714">
        <f t="shared" si="8"/>
        <v>0</v>
      </c>
    </row>
    <row r="208" spans="2:7">
      <c r="B208" s="218"/>
      <c r="C208" s="740" t="s">
        <v>135</v>
      </c>
      <c r="D208" s="1232" t="s">
        <v>66</v>
      </c>
      <c r="E208" s="225">
        <v>3</v>
      </c>
      <c r="F208" s="1768">
        <v>0</v>
      </c>
      <c r="G208" s="1714">
        <f t="shared" si="8"/>
        <v>0</v>
      </c>
    </row>
    <row r="209" spans="2:8">
      <c r="B209" s="218"/>
      <c r="C209" s="223" t="s">
        <v>1395</v>
      </c>
      <c r="D209" s="2240"/>
      <c r="E209" s="738"/>
      <c r="F209" s="1605"/>
      <c r="G209" s="1646"/>
    </row>
    <row r="210" spans="2:8" s="217" customFormat="1">
      <c r="B210" s="218"/>
      <c r="C210" s="1655" t="s">
        <v>230</v>
      </c>
      <c r="D210" s="1232" t="s">
        <v>66</v>
      </c>
      <c r="E210" s="225">
        <v>3</v>
      </c>
      <c r="F210" s="1768">
        <v>0</v>
      </c>
      <c r="G210" s="1714">
        <f t="shared" ref="G210:G212" si="9">E210*F210</f>
        <v>0</v>
      </c>
      <c r="H210" s="1703"/>
    </row>
    <row r="211" spans="2:8" s="217" customFormat="1">
      <c r="B211" s="218"/>
      <c r="C211" s="1655" t="s">
        <v>2255</v>
      </c>
      <c r="D211" s="1232" t="s">
        <v>66</v>
      </c>
      <c r="E211" s="225">
        <v>3</v>
      </c>
      <c r="F211" s="1768">
        <v>0</v>
      </c>
      <c r="G211" s="1714">
        <f t="shared" si="9"/>
        <v>0</v>
      </c>
      <c r="H211" s="1703"/>
    </row>
    <row r="212" spans="2:8" s="217" customFormat="1">
      <c r="B212" s="218"/>
      <c r="C212" s="1655" t="s">
        <v>1444</v>
      </c>
      <c r="D212" s="1232" t="s">
        <v>66</v>
      </c>
      <c r="E212" s="225">
        <v>3</v>
      </c>
      <c r="F212" s="1768">
        <v>0</v>
      </c>
      <c r="G212" s="1714">
        <f t="shared" si="9"/>
        <v>0</v>
      </c>
      <c r="H212" s="1703"/>
    </row>
    <row r="213" spans="2:8">
      <c r="B213" s="201" t="s">
        <v>172</v>
      </c>
      <c r="C213" s="238" t="s">
        <v>169</v>
      </c>
      <c r="D213" s="260"/>
      <c r="E213" s="240"/>
      <c r="F213" s="241"/>
      <c r="G213" s="242"/>
    </row>
    <row r="214" spans="2:8">
      <c r="B214" s="218"/>
      <c r="C214" s="238" t="s">
        <v>198</v>
      </c>
      <c r="D214" s="185"/>
      <c r="E214" s="741"/>
      <c r="F214" s="1611"/>
      <c r="G214" s="263"/>
    </row>
    <row r="215" spans="2:8" ht="36">
      <c r="B215" s="218"/>
      <c r="C215" s="243" t="s">
        <v>2239</v>
      </c>
      <c r="D215" s="260" t="s">
        <v>66</v>
      </c>
      <c r="E215" s="240">
        <v>10</v>
      </c>
      <c r="F215" s="1609">
        <v>0</v>
      </c>
      <c r="G215" s="245">
        <f t="shared" ref="G215:G227" si="10">E215*F215</f>
        <v>0</v>
      </c>
    </row>
    <row r="216" spans="2:8">
      <c r="B216" s="218"/>
      <c r="C216" s="246" t="s">
        <v>171</v>
      </c>
      <c r="D216" s="260" t="s">
        <v>66</v>
      </c>
      <c r="E216" s="240">
        <v>10</v>
      </c>
      <c r="F216" s="1609">
        <v>0</v>
      </c>
      <c r="G216" s="245">
        <f t="shared" si="10"/>
        <v>0</v>
      </c>
    </row>
    <row r="217" spans="2:8">
      <c r="B217" s="218"/>
      <c r="C217" s="247" t="s">
        <v>135</v>
      </c>
      <c r="D217" s="260" t="s">
        <v>66</v>
      </c>
      <c r="E217" s="240">
        <v>10</v>
      </c>
      <c r="F217" s="1609">
        <v>0</v>
      </c>
      <c r="G217" s="245">
        <f t="shared" si="10"/>
        <v>0</v>
      </c>
    </row>
    <row r="218" spans="2:8">
      <c r="B218" s="218"/>
      <c r="C218" s="247" t="s">
        <v>891</v>
      </c>
      <c r="D218" s="260" t="s">
        <v>66</v>
      </c>
      <c r="E218" s="240">
        <v>10</v>
      </c>
      <c r="F218" s="1609">
        <v>0</v>
      </c>
      <c r="G218" s="245">
        <f t="shared" si="10"/>
        <v>0</v>
      </c>
    </row>
    <row r="219" spans="2:8">
      <c r="B219" s="218"/>
      <c r="C219" s="238" t="s">
        <v>170</v>
      </c>
      <c r="D219" s="185"/>
      <c r="E219" s="741"/>
      <c r="F219" s="1609"/>
      <c r="G219" s="245"/>
    </row>
    <row r="220" spans="2:8" ht="36">
      <c r="B220" s="218"/>
      <c r="C220" s="243" t="s">
        <v>2246</v>
      </c>
      <c r="D220" s="260" t="s">
        <v>66</v>
      </c>
      <c r="E220" s="240">
        <v>14</v>
      </c>
      <c r="F220" s="1609">
        <v>0</v>
      </c>
      <c r="G220" s="245">
        <f t="shared" si="10"/>
        <v>0</v>
      </c>
    </row>
    <row r="221" spans="2:8">
      <c r="B221" s="218"/>
      <c r="C221" s="1129" t="s">
        <v>171</v>
      </c>
      <c r="D221" s="260" t="s">
        <v>66</v>
      </c>
      <c r="E221" s="240">
        <v>14</v>
      </c>
      <c r="F221" s="1609">
        <v>0</v>
      </c>
      <c r="G221" s="245">
        <f t="shared" si="10"/>
        <v>0</v>
      </c>
    </row>
    <row r="222" spans="2:8">
      <c r="B222" s="218"/>
      <c r="C222" s="1130" t="s">
        <v>135</v>
      </c>
      <c r="D222" s="260" t="s">
        <v>66</v>
      </c>
      <c r="E222" s="240">
        <v>14</v>
      </c>
      <c r="F222" s="1609">
        <v>0</v>
      </c>
      <c r="G222" s="245">
        <f t="shared" si="10"/>
        <v>0</v>
      </c>
    </row>
    <row r="223" spans="2:8">
      <c r="B223" s="218"/>
      <c r="C223" s="238" t="s">
        <v>234</v>
      </c>
      <c r="D223" s="185"/>
      <c r="E223" s="741"/>
      <c r="F223" s="1609"/>
      <c r="G223" s="245"/>
    </row>
    <row r="224" spans="2:8" ht="36">
      <c r="B224" s="218"/>
      <c r="C224" s="243" t="s">
        <v>2245</v>
      </c>
      <c r="D224" s="260" t="s">
        <v>66</v>
      </c>
      <c r="E224" s="240">
        <v>19</v>
      </c>
      <c r="F224" s="1609">
        <v>0</v>
      </c>
      <c r="G224" s="245">
        <f t="shared" si="10"/>
        <v>0</v>
      </c>
    </row>
    <row r="225" spans="2:7">
      <c r="B225" s="218"/>
      <c r="C225" s="246" t="s">
        <v>171</v>
      </c>
      <c r="D225" s="260" t="s">
        <v>66</v>
      </c>
      <c r="E225" s="240">
        <v>19</v>
      </c>
      <c r="F225" s="1609">
        <v>0</v>
      </c>
      <c r="G225" s="245">
        <f t="shared" si="10"/>
        <v>0</v>
      </c>
    </row>
    <row r="226" spans="2:7">
      <c r="B226" s="218"/>
      <c r="C226" s="247" t="s">
        <v>135</v>
      </c>
      <c r="D226" s="260" t="s">
        <v>66</v>
      </c>
      <c r="E226" s="240">
        <v>19</v>
      </c>
      <c r="F226" s="1609">
        <v>0</v>
      </c>
      <c r="G226" s="245">
        <f t="shared" si="10"/>
        <v>0</v>
      </c>
    </row>
    <row r="227" spans="2:7">
      <c r="B227" s="218"/>
      <c r="C227" s="247" t="s">
        <v>891</v>
      </c>
      <c r="D227" s="260" t="s">
        <v>66</v>
      </c>
      <c r="E227" s="240">
        <v>19</v>
      </c>
      <c r="F227" s="1609">
        <v>0</v>
      </c>
      <c r="G227" s="245">
        <f t="shared" si="10"/>
        <v>0</v>
      </c>
    </row>
    <row r="228" spans="2:7">
      <c r="B228" s="201" t="s">
        <v>340</v>
      </c>
      <c r="C228" s="742" t="s">
        <v>173</v>
      </c>
      <c r="D228" s="743"/>
      <c r="E228" s="744"/>
      <c r="F228" s="1131"/>
      <c r="G228" s="1132"/>
    </row>
    <row r="229" spans="2:7" ht="60">
      <c r="B229" s="218"/>
      <c r="C229" s="745" t="s">
        <v>174</v>
      </c>
      <c r="D229" s="743" t="s">
        <v>66</v>
      </c>
      <c r="E229" s="747">
        <v>1</v>
      </c>
      <c r="F229" s="1172">
        <v>0</v>
      </c>
      <c r="G229" s="1173">
        <f>E229*F229</f>
        <v>0</v>
      </c>
    </row>
    <row r="230" spans="2:7">
      <c r="B230" s="258" t="s">
        <v>47</v>
      </c>
      <c r="C230" s="259" t="s">
        <v>1396</v>
      </c>
      <c r="D230" s="260"/>
      <c r="E230" s="261"/>
      <c r="F230" s="262"/>
      <c r="G230" s="263">
        <f>SUM(G82:G229)</f>
        <v>0</v>
      </c>
    </row>
  </sheetData>
  <mergeCells count="7">
    <mergeCell ref="B90:B93"/>
    <mergeCell ref="B45:G45"/>
    <mergeCell ref="B59:B60"/>
    <mergeCell ref="B61:B62"/>
    <mergeCell ref="B77:G77"/>
    <mergeCell ref="B78:G78"/>
    <mergeCell ref="B79:G79"/>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27BD-2063-49D5-B8FD-4F4A02A32703}">
  <sheetPr>
    <tabColor rgb="FF00B0F0"/>
  </sheetPr>
  <dimension ref="A2:I202"/>
  <sheetViews>
    <sheetView showZeros="0" topLeftCell="A25"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37" width="10.42578125" style="1"/>
    <col min="238" max="238" width="7.42578125" style="1" customWidth="1"/>
    <col min="239" max="239" width="37.42578125" style="1" customWidth="1"/>
    <col min="240" max="240" width="10.42578125" style="1"/>
    <col min="241" max="241" width="9.28515625" style="1" customWidth="1"/>
    <col min="242" max="243" width="12.140625" style="1" customWidth="1"/>
    <col min="244" max="244" width="16" style="1" customWidth="1"/>
    <col min="245" max="245" width="26.28515625" style="1" customWidth="1"/>
    <col min="246" max="493" width="10.42578125" style="1"/>
    <col min="494" max="494" width="7.42578125" style="1" customWidth="1"/>
    <col min="495" max="495" width="37.42578125" style="1" customWidth="1"/>
    <col min="496" max="496" width="10.42578125" style="1"/>
    <col min="497" max="497" width="9.28515625" style="1" customWidth="1"/>
    <col min="498" max="499" width="12.140625" style="1" customWidth="1"/>
    <col min="500" max="500" width="16" style="1" customWidth="1"/>
    <col min="501" max="501" width="26.28515625" style="1" customWidth="1"/>
    <col min="502" max="749" width="10.42578125" style="1"/>
    <col min="750" max="750" width="7.42578125" style="1" customWidth="1"/>
    <col min="751" max="751" width="37.42578125" style="1" customWidth="1"/>
    <col min="752" max="752" width="10.42578125" style="1"/>
    <col min="753" max="753" width="9.28515625" style="1" customWidth="1"/>
    <col min="754" max="755" width="12.140625" style="1" customWidth="1"/>
    <col min="756" max="756" width="16" style="1" customWidth="1"/>
    <col min="757" max="757" width="26.28515625" style="1" customWidth="1"/>
    <col min="758" max="1005" width="10.42578125" style="1"/>
    <col min="1006" max="1006" width="7.42578125" style="1" customWidth="1"/>
    <col min="1007" max="1007" width="37.42578125" style="1" customWidth="1"/>
    <col min="1008" max="1008" width="10.42578125" style="1"/>
    <col min="1009" max="1009" width="9.28515625" style="1" customWidth="1"/>
    <col min="1010" max="1011" width="12.140625" style="1" customWidth="1"/>
    <col min="1012" max="1012" width="16" style="1" customWidth="1"/>
    <col min="1013" max="1013" width="26.28515625" style="1" customWidth="1"/>
    <col min="1014" max="1261" width="10.42578125" style="1"/>
    <col min="1262" max="1262" width="7.42578125" style="1" customWidth="1"/>
    <col min="1263" max="1263" width="37.42578125" style="1" customWidth="1"/>
    <col min="1264" max="1264" width="10.42578125" style="1"/>
    <col min="1265" max="1265" width="9.28515625" style="1" customWidth="1"/>
    <col min="1266" max="1267" width="12.140625" style="1" customWidth="1"/>
    <col min="1268" max="1268" width="16" style="1" customWidth="1"/>
    <col min="1269" max="1269" width="26.28515625" style="1" customWidth="1"/>
    <col min="1270" max="1517" width="10.42578125" style="1"/>
    <col min="1518" max="1518" width="7.42578125" style="1" customWidth="1"/>
    <col min="1519" max="1519" width="37.42578125" style="1" customWidth="1"/>
    <col min="1520" max="1520" width="10.42578125" style="1"/>
    <col min="1521" max="1521" width="9.28515625" style="1" customWidth="1"/>
    <col min="1522" max="1523" width="12.140625" style="1" customWidth="1"/>
    <col min="1524" max="1524" width="16" style="1" customWidth="1"/>
    <col min="1525" max="1525" width="26.28515625" style="1" customWidth="1"/>
    <col min="1526" max="1773" width="10.42578125" style="1"/>
    <col min="1774" max="1774" width="7.42578125" style="1" customWidth="1"/>
    <col min="1775" max="1775" width="37.42578125" style="1" customWidth="1"/>
    <col min="1776" max="1776" width="10.42578125" style="1"/>
    <col min="1777" max="1777" width="9.28515625" style="1" customWidth="1"/>
    <col min="1778" max="1779" width="12.140625" style="1" customWidth="1"/>
    <col min="1780" max="1780" width="16" style="1" customWidth="1"/>
    <col min="1781" max="1781" width="26.28515625" style="1" customWidth="1"/>
    <col min="1782" max="2029" width="10.42578125" style="1"/>
    <col min="2030" max="2030" width="7.42578125" style="1" customWidth="1"/>
    <col min="2031" max="2031" width="37.42578125" style="1" customWidth="1"/>
    <col min="2032" max="2032" width="10.42578125" style="1"/>
    <col min="2033" max="2033" width="9.28515625" style="1" customWidth="1"/>
    <col min="2034" max="2035" width="12.140625" style="1" customWidth="1"/>
    <col min="2036" max="2036" width="16" style="1" customWidth="1"/>
    <col min="2037" max="2037" width="26.28515625" style="1" customWidth="1"/>
    <col min="2038" max="2285" width="10.42578125" style="1"/>
    <col min="2286" max="2286" width="7.42578125" style="1" customWidth="1"/>
    <col min="2287" max="2287" width="37.42578125" style="1" customWidth="1"/>
    <col min="2288" max="2288" width="10.42578125" style="1"/>
    <col min="2289" max="2289" width="9.28515625" style="1" customWidth="1"/>
    <col min="2290" max="2291" width="12.140625" style="1" customWidth="1"/>
    <col min="2292" max="2292" width="16" style="1" customWidth="1"/>
    <col min="2293" max="2293" width="26.28515625" style="1" customWidth="1"/>
    <col min="2294" max="2541" width="10.42578125" style="1"/>
    <col min="2542" max="2542" width="7.42578125" style="1" customWidth="1"/>
    <col min="2543" max="2543" width="37.42578125" style="1" customWidth="1"/>
    <col min="2544" max="2544" width="10.42578125" style="1"/>
    <col min="2545" max="2545" width="9.28515625" style="1" customWidth="1"/>
    <col min="2546" max="2547" width="12.140625" style="1" customWidth="1"/>
    <col min="2548" max="2548" width="16" style="1" customWidth="1"/>
    <col min="2549" max="2549" width="26.28515625" style="1" customWidth="1"/>
    <col min="2550" max="2797" width="10.42578125" style="1"/>
    <col min="2798" max="2798" width="7.42578125" style="1" customWidth="1"/>
    <col min="2799" max="2799" width="37.42578125" style="1" customWidth="1"/>
    <col min="2800" max="2800" width="10.42578125" style="1"/>
    <col min="2801" max="2801" width="9.28515625" style="1" customWidth="1"/>
    <col min="2802" max="2803" width="12.140625" style="1" customWidth="1"/>
    <col min="2804" max="2804" width="16" style="1" customWidth="1"/>
    <col min="2805" max="2805" width="26.28515625" style="1" customWidth="1"/>
    <col min="2806" max="3053" width="10.42578125" style="1"/>
    <col min="3054" max="3054" width="7.42578125" style="1" customWidth="1"/>
    <col min="3055" max="3055" width="37.42578125" style="1" customWidth="1"/>
    <col min="3056" max="3056" width="10.42578125" style="1"/>
    <col min="3057" max="3057" width="9.28515625" style="1" customWidth="1"/>
    <col min="3058" max="3059" width="12.140625" style="1" customWidth="1"/>
    <col min="3060" max="3060" width="16" style="1" customWidth="1"/>
    <col min="3061" max="3061" width="26.28515625" style="1" customWidth="1"/>
    <col min="3062" max="3309" width="10.42578125" style="1"/>
    <col min="3310" max="3310" width="7.42578125" style="1" customWidth="1"/>
    <col min="3311" max="3311" width="37.42578125" style="1" customWidth="1"/>
    <col min="3312" max="3312" width="10.42578125" style="1"/>
    <col min="3313" max="3313" width="9.28515625" style="1" customWidth="1"/>
    <col min="3314" max="3315" width="12.140625" style="1" customWidth="1"/>
    <col min="3316" max="3316" width="16" style="1" customWidth="1"/>
    <col min="3317" max="3317" width="26.28515625" style="1" customWidth="1"/>
    <col min="3318" max="3565" width="10.42578125" style="1"/>
    <col min="3566" max="3566" width="7.42578125" style="1" customWidth="1"/>
    <col min="3567" max="3567" width="37.42578125" style="1" customWidth="1"/>
    <col min="3568" max="3568" width="10.42578125" style="1"/>
    <col min="3569" max="3569" width="9.28515625" style="1" customWidth="1"/>
    <col min="3570" max="3571" width="12.140625" style="1" customWidth="1"/>
    <col min="3572" max="3572" width="16" style="1" customWidth="1"/>
    <col min="3573" max="3573" width="26.28515625" style="1" customWidth="1"/>
    <col min="3574" max="3821" width="10.42578125" style="1"/>
    <col min="3822" max="3822" width="7.42578125" style="1" customWidth="1"/>
    <col min="3823" max="3823" width="37.42578125" style="1" customWidth="1"/>
    <col min="3824" max="3824" width="10.42578125" style="1"/>
    <col min="3825" max="3825" width="9.28515625" style="1" customWidth="1"/>
    <col min="3826" max="3827" width="12.140625" style="1" customWidth="1"/>
    <col min="3828" max="3828" width="16" style="1" customWidth="1"/>
    <col min="3829" max="3829" width="26.28515625" style="1" customWidth="1"/>
    <col min="3830" max="4077" width="10.42578125" style="1"/>
    <col min="4078" max="4078" width="7.42578125" style="1" customWidth="1"/>
    <col min="4079" max="4079" width="37.42578125" style="1" customWidth="1"/>
    <col min="4080" max="4080" width="10.42578125" style="1"/>
    <col min="4081" max="4081" width="9.28515625" style="1" customWidth="1"/>
    <col min="4082" max="4083" width="12.140625" style="1" customWidth="1"/>
    <col min="4084" max="4084" width="16" style="1" customWidth="1"/>
    <col min="4085" max="4085" width="26.28515625" style="1" customWidth="1"/>
    <col min="4086" max="4333" width="10.42578125" style="1"/>
    <col min="4334" max="4334" width="7.42578125" style="1" customWidth="1"/>
    <col min="4335" max="4335" width="37.42578125" style="1" customWidth="1"/>
    <col min="4336" max="4336" width="10.42578125" style="1"/>
    <col min="4337" max="4337" width="9.28515625" style="1" customWidth="1"/>
    <col min="4338" max="4339" width="12.140625" style="1" customWidth="1"/>
    <col min="4340" max="4340" width="16" style="1" customWidth="1"/>
    <col min="4341" max="4341" width="26.28515625" style="1" customWidth="1"/>
    <col min="4342" max="4589" width="10.42578125" style="1"/>
    <col min="4590" max="4590" width="7.42578125" style="1" customWidth="1"/>
    <col min="4591" max="4591" width="37.42578125" style="1" customWidth="1"/>
    <col min="4592" max="4592" width="10.42578125" style="1"/>
    <col min="4593" max="4593" width="9.28515625" style="1" customWidth="1"/>
    <col min="4594" max="4595" width="12.140625" style="1" customWidth="1"/>
    <col min="4596" max="4596" width="16" style="1" customWidth="1"/>
    <col min="4597" max="4597" width="26.28515625" style="1" customWidth="1"/>
    <col min="4598" max="4845" width="10.42578125" style="1"/>
    <col min="4846" max="4846" width="7.42578125" style="1" customWidth="1"/>
    <col min="4847" max="4847" width="37.42578125" style="1" customWidth="1"/>
    <col min="4848" max="4848" width="10.42578125" style="1"/>
    <col min="4849" max="4849" width="9.28515625" style="1" customWidth="1"/>
    <col min="4850" max="4851" width="12.140625" style="1" customWidth="1"/>
    <col min="4852" max="4852" width="16" style="1" customWidth="1"/>
    <col min="4853" max="4853" width="26.28515625" style="1" customWidth="1"/>
    <col min="4854" max="5101" width="10.42578125" style="1"/>
    <col min="5102" max="5102" width="7.42578125" style="1" customWidth="1"/>
    <col min="5103" max="5103" width="37.42578125" style="1" customWidth="1"/>
    <col min="5104" max="5104" width="10.42578125" style="1"/>
    <col min="5105" max="5105" width="9.28515625" style="1" customWidth="1"/>
    <col min="5106" max="5107" width="12.140625" style="1" customWidth="1"/>
    <col min="5108" max="5108" width="16" style="1" customWidth="1"/>
    <col min="5109" max="5109" width="26.28515625" style="1" customWidth="1"/>
    <col min="5110" max="5357" width="10.42578125" style="1"/>
    <col min="5358" max="5358" width="7.42578125" style="1" customWidth="1"/>
    <col min="5359" max="5359" width="37.42578125" style="1" customWidth="1"/>
    <col min="5360" max="5360" width="10.42578125" style="1"/>
    <col min="5361" max="5361" width="9.28515625" style="1" customWidth="1"/>
    <col min="5362" max="5363" width="12.140625" style="1" customWidth="1"/>
    <col min="5364" max="5364" width="16" style="1" customWidth="1"/>
    <col min="5365" max="5365" width="26.28515625" style="1" customWidth="1"/>
    <col min="5366" max="5613" width="10.42578125" style="1"/>
    <col min="5614" max="5614" width="7.42578125" style="1" customWidth="1"/>
    <col min="5615" max="5615" width="37.42578125" style="1" customWidth="1"/>
    <col min="5616" max="5616" width="10.42578125" style="1"/>
    <col min="5617" max="5617" width="9.28515625" style="1" customWidth="1"/>
    <col min="5618" max="5619" width="12.140625" style="1" customWidth="1"/>
    <col min="5620" max="5620" width="16" style="1" customWidth="1"/>
    <col min="5621" max="5621" width="26.28515625" style="1" customWidth="1"/>
    <col min="5622" max="5869" width="10.42578125" style="1"/>
    <col min="5870" max="5870" width="7.42578125" style="1" customWidth="1"/>
    <col min="5871" max="5871" width="37.42578125" style="1" customWidth="1"/>
    <col min="5872" max="5872" width="10.42578125" style="1"/>
    <col min="5873" max="5873" width="9.28515625" style="1" customWidth="1"/>
    <col min="5874" max="5875" width="12.140625" style="1" customWidth="1"/>
    <col min="5876" max="5876" width="16" style="1" customWidth="1"/>
    <col min="5877" max="5877" width="26.28515625" style="1" customWidth="1"/>
    <col min="5878" max="6125" width="10.42578125" style="1"/>
    <col min="6126" max="6126" width="7.42578125" style="1" customWidth="1"/>
    <col min="6127" max="6127" width="37.42578125" style="1" customWidth="1"/>
    <col min="6128" max="6128" width="10.42578125" style="1"/>
    <col min="6129" max="6129" width="9.28515625" style="1" customWidth="1"/>
    <col min="6130" max="6131" width="12.140625" style="1" customWidth="1"/>
    <col min="6132" max="6132" width="16" style="1" customWidth="1"/>
    <col min="6133" max="6133" width="26.28515625" style="1" customWidth="1"/>
    <col min="6134" max="6381" width="10.42578125" style="1"/>
    <col min="6382" max="6382" width="7.42578125" style="1" customWidth="1"/>
    <col min="6383" max="6383" width="37.42578125" style="1" customWidth="1"/>
    <col min="6384" max="6384" width="10.42578125" style="1"/>
    <col min="6385" max="6385" width="9.28515625" style="1" customWidth="1"/>
    <col min="6386" max="6387" width="12.140625" style="1" customWidth="1"/>
    <col min="6388" max="6388" width="16" style="1" customWidth="1"/>
    <col min="6389" max="6389" width="26.28515625" style="1" customWidth="1"/>
    <col min="6390" max="6637" width="10.42578125" style="1"/>
    <col min="6638" max="6638" width="7.42578125" style="1" customWidth="1"/>
    <col min="6639" max="6639" width="37.42578125" style="1" customWidth="1"/>
    <col min="6640" max="6640" width="10.42578125" style="1"/>
    <col min="6641" max="6641" width="9.28515625" style="1" customWidth="1"/>
    <col min="6642" max="6643" width="12.140625" style="1" customWidth="1"/>
    <col min="6644" max="6644" width="16" style="1" customWidth="1"/>
    <col min="6645" max="6645" width="26.28515625" style="1" customWidth="1"/>
    <col min="6646" max="6893" width="10.42578125" style="1"/>
    <col min="6894" max="6894" width="7.42578125" style="1" customWidth="1"/>
    <col min="6895" max="6895" width="37.42578125" style="1" customWidth="1"/>
    <col min="6896" max="6896" width="10.42578125" style="1"/>
    <col min="6897" max="6897" width="9.28515625" style="1" customWidth="1"/>
    <col min="6898" max="6899" width="12.140625" style="1" customWidth="1"/>
    <col min="6900" max="6900" width="16" style="1" customWidth="1"/>
    <col min="6901" max="6901" width="26.28515625" style="1" customWidth="1"/>
    <col min="6902" max="7149" width="10.42578125" style="1"/>
    <col min="7150" max="7150" width="7.42578125" style="1" customWidth="1"/>
    <col min="7151" max="7151" width="37.42578125" style="1" customWidth="1"/>
    <col min="7152" max="7152" width="10.42578125" style="1"/>
    <col min="7153" max="7153" width="9.28515625" style="1" customWidth="1"/>
    <col min="7154" max="7155" width="12.140625" style="1" customWidth="1"/>
    <col min="7156" max="7156" width="16" style="1" customWidth="1"/>
    <col min="7157" max="7157" width="26.28515625" style="1" customWidth="1"/>
    <col min="7158" max="7405" width="10.42578125" style="1"/>
    <col min="7406" max="7406" width="7.42578125" style="1" customWidth="1"/>
    <col min="7407" max="7407" width="37.42578125" style="1" customWidth="1"/>
    <col min="7408" max="7408" width="10.42578125" style="1"/>
    <col min="7409" max="7409" width="9.28515625" style="1" customWidth="1"/>
    <col min="7410" max="7411" width="12.140625" style="1" customWidth="1"/>
    <col min="7412" max="7412" width="16" style="1" customWidth="1"/>
    <col min="7413" max="7413" width="26.28515625" style="1" customWidth="1"/>
    <col min="7414" max="7661" width="10.42578125" style="1"/>
    <col min="7662" max="7662" width="7.42578125" style="1" customWidth="1"/>
    <col min="7663" max="7663" width="37.42578125" style="1" customWidth="1"/>
    <col min="7664" max="7664" width="10.42578125" style="1"/>
    <col min="7665" max="7665" width="9.28515625" style="1" customWidth="1"/>
    <col min="7666" max="7667" width="12.140625" style="1" customWidth="1"/>
    <col min="7668" max="7668" width="16" style="1" customWidth="1"/>
    <col min="7669" max="7669" width="26.28515625" style="1" customWidth="1"/>
    <col min="7670" max="7917" width="10.42578125" style="1"/>
    <col min="7918" max="7918" width="7.42578125" style="1" customWidth="1"/>
    <col min="7919" max="7919" width="37.42578125" style="1" customWidth="1"/>
    <col min="7920" max="7920" width="10.42578125" style="1"/>
    <col min="7921" max="7921" width="9.28515625" style="1" customWidth="1"/>
    <col min="7922" max="7923" width="12.140625" style="1" customWidth="1"/>
    <col min="7924" max="7924" width="16" style="1" customWidth="1"/>
    <col min="7925" max="7925" width="26.28515625" style="1" customWidth="1"/>
    <col min="7926" max="8173" width="10.42578125" style="1"/>
    <col min="8174" max="8174" width="7.42578125" style="1" customWidth="1"/>
    <col min="8175" max="8175" width="37.42578125" style="1" customWidth="1"/>
    <col min="8176" max="8176" width="10.42578125" style="1"/>
    <col min="8177" max="8177" width="9.28515625" style="1" customWidth="1"/>
    <col min="8178" max="8179" width="12.140625" style="1" customWidth="1"/>
    <col min="8180" max="8180" width="16" style="1" customWidth="1"/>
    <col min="8181" max="8181" width="26.28515625" style="1" customWidth="1"/>
    <col min="8182" max="8429" width="10.42578125" style="1"/>
    <col min="8430" max="8430" width="7.42578125" style="1" customWidth="1"/>
    <col min="8431" max="8431" width="37.42578125" style="1" customWidth="1"/>
    <col min="8432" max="8432" width="10.42578125" style="1"/>
    <col min="8433" max="8433" width="9.28515625" style="1" customWidth="1"/>
    <col min="8434" max="8435" width="12.140625" style="1" customWidth="1"/>
    <col min="8436" max="8436" width="16" style="1" customWidth="1"/>
    <col min="8437" max="8437" width="26.28515625" style="1" customWidth="1"/>
    <col min="8438" max="8685" width="10.42578125" style="1"/>
    <col min="8686" max="8686" width="7.42578125" style="1" customWidth="1"/>
    <col min="8687" max="8687" width="37.42578125" style="1" customWidth="1"/>
    <col min="8688" max="8688" width="10.42578125" style="1"/>
    <col min="8689" max="8689" width="9.28515625" style="1" customWidth="1"/>
    <col min="8690" max="8691" width="12.140625" style="1" customWidth="1"/>
    <col min="8692" max="8692" width="16" style="1" customWidth="1"/>
    <col min="8693" max="8693" width="26.28515625" style="1" customWidth="1"/>
    <col min="8694" max="8941" width="10.42578125" style="1"/>
    <col min="8942" max="8942" width="7.42578125" style="1" customWidth="1"/>
    <col min="8943" max="8943" width="37.42578125" style="1" customWidth="1"/>
    <col min="8944" max="8944" width="10.42578125" style="1"/>
    <col min="8945" max="8945" width="9.28515625" style="1" customWidth="1"/>
    <col min="8946" max="8947" width="12.140625" style="1" customWidth="1"/>
    <col min="8948" max="8948" width="16" style="1" customWidth="1"/>
    <col min="8949" max="8949" width="26.28515625" style="1" customWidth="1"/>
    <col min="8950" max="9197" width="10.42578125" style="1"/>
    <col min="9198" max="9198" width="7.42578125" style="1" customWidth="1"/>
    <col min="9199" max="9199" width="37.42578125" style="1" customWidth="1"/>
    <col min="9200" max="9200" width="10.42578125" style="1"/>
    <col min="9201" max="9201" width="9.28515625" style="1" customWidth="1"/>
    <col min="9202" max="9203" width="12.140625" style="1" customWidth="1"/>
    <col min="9204" max="9204" width="16" style="1" customWidth="1"/>
    <col min="9205" max="9205" width="26.28515625" style="1" customWidth="1"/>
    <col min="9206" max="9453" width="10.42578125" style="1"/>
    <col min="9454" max="9454" width="7.42578125" style="1" customWidth="1"/>
    <col min="9455" max="9455" width="37.42578125" style="1" customWidth="1"/>
    <col min="9456" max="9456" width="10.42578125" style="1"/>
    <col min="9457" max="9457" width="9.28515625" style="1" customWidth="1"/>
    <col min="9458" max="9459" width="12.140625" style="1" customWidth="1"/>
    <col min="9460" max="9460" width="16" style="1" customWidth="1"/>
    <col min="9461" max="9461" width="26.28515625" style="1" customWidth="1"/>
    <col min="9462" max="9709" width="10.42578125" style="1"/>
    <col min="9710" max="9710" width="7.42578125" style="1" customWidth="1"/>
    <col min="9711" max="9711" width="37.42578125" style="1" customWidth="1"/>
    <col min="9712" max="9712" width="10.42578125" style="1"/>
    <col min="9713" max="9713" width="9.28515625" style="1" customWidth="1"/>
    <col min="9714" max="9715" width="12.140625" style="1" customWidth="1"/>
    <col min="9716" max="9716" width="16" style="1" customWidth="1"/>
    <col min="9717" max="9717" width="26.28515625" style="1" customWidth="1"/>
    <col min="9718" max="9965" width="10.42578125" style="1"/>
    <col min="9966" max="9966" width="7.42578125" style="1" customWidth="1"/>
    <col min="9967" max="9967" width="37.42578125" style="1" customWidth="1"/>
    <col min="9968" max="9968" width="10.42578125" style="1"/>
    <col min="9969" max="9969" width="9.28515625" style="1" customWidth="1"/>
    <col min="9970" max="9971" width="12.140625" style="1" customWidth="1"/>
    <col min="9972" max="9972" width="16" style="1" customWidth="1"/>
    <col min="9973" max="9973" width="26.28515625" style="1" customWidth="1"/>
    <col min="9974" max="10221" width="10.42578125" style="1"/>
    <col min="10222" max="10222" width="7.42578125" style="1" customWidth="1"/>
    <col min="10223" max="10223" width="37.42578125" style="1" customWidth="1"/>
    <col min="10224" max="10224" width="10.42578125" style="1"/>
    <col min="10225" max="10225" width="9.28515625" style="1" customWidth="1"/>
    <col min="10226" max="10227" width="12.140625" style="1" customWidth="1"/>
    <col min="10228" max="10228" width="16" style="1" customWidth="1"/>
    <col min="10229" max="10229" width="26.28515625" style="1" customWidth="1"/>
    <col min="10230" max="10477" width="10.42578125" style="1"/>
    <col min="10478" max="10478" width="7.42578125" style="1" customWidth="1"/>
    <col min="10479" max="10479" width="37.42578125" style="1" customWidth="1"/>
    <col min="10480" max="10480" width="10.42578125" style="1"/>
    <col min="10481" max="10481" width="9.28515625" style="1" customWidth="1"/>
    <col min="10482" max="10483" width="12.140625" style="1" customWidth="1"/>
    <col min="10484" max="10484" width="16" style="1" customWidth="1"/>
    <col min="10485" max="10485" width="26.28515625" style="1" customWidth="1"/>
    <col min="10486" max="10733" width="10.42578125" style="1"/>
    <col min="10734" max="10734" width="7.42578125" style="1" customWidth="1"/>
    <col min="10735" max="10735" width="37.42578125" style="1" customWidth="1"/>
    <col min="10736" max="10736" width="10.42578125" style="1"/>
    <col min="10737" max="10737" width="9.28515625" style="1" customWidth="1"/>
    <col min="10738" max="10739" width="12.140625" style="1" customWidth="1"/>
    <col min="10740" max="10740" width="16" style="1" customWidth="1"/>
    <col min="10741" max="10741" width="26.28515625" style="1" customWidth="1"/>
    <col min="10742" max="10989" width="10.42578125" style="1"/>
    <col min="10990" max="10990" width="7.42578125" style="1" customWidth="1"/>
    <col min="10991" max="10991" width="37.42578125" style="1" customWidth="1"/>
    <col min="10992" max="10992" width="10.42578125" style="1"/>
    <col min="10993" max="10993" width="9.28515625" style="1" customWidth="1"/>
    <col min="10994" max="10995" width="12.140625" style="1" customWidth="1"/>
    <col min="10996" max="10996" width="16" style="1" customWidth="1"/>
    <col min="10997" max="10997" width="26.28515625" style="1" customWidth="1"/>
    <col min="10998" max="11245" width="10.42578125" style="1"/>
    <col min="11246" max="11246" width="7.42578125" style="1" customWidth="1"/>
    <col min="11247" max="11247" width="37.42578125" style="1" customWidth="1"/>
    <col min="11248" max="11248" width="10.42578125" style="1"/>
    <col min="11249" max="11249" width="9.28515625" style="1" customWidth="1"/>
    <col min="11250" max="11251" width="12.140625" style="1" customWidth="1"/>
    <col min="11252" max="11252" width="16" style="1" customWidth="1"/>
    <col min="11253" max="11253" width="26.28515625" style="1" customWidth="1"/>
    <col min="11254" max="11501" width="10.42578125" style="1"/>
    <col min="11502" max="11502" width="7.42578125" style="1" customWidth="1"/>
    <col min="11503" max="11503" width="37.42578125" style="1" customWidth="1"/>
    <col min="11504" max="11504" width="10.42578125" style="1"/>
    <col min="11505" max="11505" width="9.28515625" style="1" customWidth="1"/>
    <col min="11506" max="11507" width="12.140625" style="1" customWidth="1"/>
    <col min="11508" max="11508" width="16" style="1" customWidth="1"/>
    <col min="11509" max="11509" width="26.28515625" style="1" customWidth="1"/>
    <col min="11510" max="11757" width="10.42578125" style="1"/>
    <col min="11758" max="11758" width="7.42578125" style="1" customWidth="1"/>
    <col min="11759" max="11759" width="37.42578125" style="1" customWidth="1"/>
    <col min="11760" max="11760" width="10.42578125" style="1"/>
    <col min="11761" max="11761" width="9.28515625" style="1" customWidth="1"/>
    <col min="11762" max="11763" width="12.140625" style="1" customWidth="1"/>
    <col min="11764" max="11764" width="16" style="1" customWidth="1"/>
    <col min="11765" max="11765" width="26.28515625" style="1" customWidth="1"/>
    <col min="11766" max="12013" width="10.42578125" style="1"/>
    <col min="12014" max="12014" width="7.42578125" style="1" customWidth="1"/>
    <col min="12015" max="12015" width="37.42578125" style="1" customWidth="1"/>
    <col min="12016" max="12016" width="10.42578125" style="1"/>
    <col min="12017" max="12017" width="9.28515625" style="1" customWidth="1"/>
    <col min="12018" max="12019" width="12.140625" style="1" customWidth="1"/>
    <col min="12020" max="12020" width="16" style="1" customWidth="1"/>
    <col min="12021" max="12021" width="26.28515625" style="1" customWidth="1"/>
    <col min="12022" max="12269" width="10.42578125" style="1"/>
    <col min="12270" max="12270" width="7.42578125" style="1" customWidth="1"/>
    <col min="12271" max="12271" width="37.42578125" style="1" customWidth="1"/>
    <col min="12272" max="12272" width="10.42578125" style="1"/>
    <col min="12273" max="12273" width="9.28515625" style="1" customWidth="1"/>
    <col min="12274" max="12275" width="12.140625" style="1" customWidth="1"/>
    <col min="12276" max="12276" width="16" style="1" customWidth="1"/>
    <col min="12277" max="12277" width="26.28515625" style="1" customWidth="1"/>
    <col min="12278" max="12525" width="10.42578125" style="1"/>
    <col min="12526" max="12526" width="7.42578125" style="1" customWidth="1"/>
    <col min="12527" max="12527" width="37.42578125" style="1" customWidth="1"/>
    <col min="12528" max="12528" width="10.42578125" style="1"/>
    <col min="12529" max="12529" width="9.28515625" style="1" customWidth="1"/>
    <col min="12530" max="12531" width="12.140625" style="1" customWidth="1"/>
    <col min="12532" max="12532" width="16" style="1" customWidth="1"/>
    <col min="12533" max="12533" width="26.28515625" style="1" customWidth="1"/>
    <col min="12534" max="12781" width="10.42578125" style="1"/>
    <col min="12782" max="12782" width="7.42578125" style="1" customWidth="1"/>
    <col min="12783" max="12783" width="37.42578125" style="1" customWidth="1"/>
    <col min="12784" max="12784" width="10.42578125" style="1"/>
    <col min="12785" max="12785" width="9.28515625" style="1" customWidth="1"/>
    <col min="12786" max="12787" width="12.140625" style="1" customWidth="1"/>
    <col min="12788" max="12788" width="16" style="1" customWidth="1"/>
    <col min="12789" max="12789" width="26.28515625" style="1" customWidth="1"/>
    <col min="12790" max="13037" width="10.42578125" style="1"/>
    <col min="13038" max="13038" width="7.42578125" style="1" customWidth="1"/>
    <col min="13039" max="13039" width="37.42578125" style="1" customWidth="1"/>
    <col min="13040" max="13040" width="10.42578125" style="1"/>
    <col min="13041" max="13041" width="9.28515625" style="1" customWidth="1"/>
    <col min="13042" max="13043" width="12.140625" style="1" customWidth="1"/>
    <col min="13044" max="13044" width="16" style="1" customWidth="1"/>
    <col min="13045" max="13045" width="26.28515625" style="1" customWidth="1"/>
    <col min="13046" max="13293" width="10.42578125" style="1"/>
    <col min="13294" max="13294" width="7.42578125" style="1" customWidth="1"/>
    <col min="13295" max="13295" width="37.42578125" style="1" customWidth="1"/>
    <col min="13296" max="13296" width="10.42578125" style="1"/>
    <col min="13297" max="13297" width="9.28515625" style="1" customWidth="1"/>
    <col min="13298" max="13299" width="12.140625" style="1" customWidth="1"/>
    <col min="13300" max="13300" width="16" style="1" customWidth="1"/>
    <col min="13301" max="13301" width="26.28515625" style="1" customWidth="1"/>
    <col min="13302" max="13549" width="10.42578125" style="1"/>
    <col min="13550" max="13550" width="7.42578125" style="1" customWidth="1"/>
    <col min="13551" max="13551" width="37.42578125" style="1" customWidth="1"/>
    <col min="13552" max="13552" width="10.42578125" style="1"/>
    <col min="13553" max="13553" width="9.28515625" style="1" customWidth="1"/>
    <col min="13554" max="13555" width="12.140625" style="1" customWidth="1"/>
    <col min="13556" max="13556" width="16" style="1" customWidth="1"/>
    <col min="13557" max="13557" width="26.28515625" style="1" customWidth="1"/>
    <col min="13558" max="13805" width="10.42578125" style="1"/>
    <col min="13806" max="13806" width="7.42578125" style="1" customWidth="1"/>
    <col min="13807" max="13807" width="37.42578125" style="1" customWidth="1"/>
    <col min="13808" max="13808" width="10.42578125" style="1"/>
    <col min="13809" max="13809" width="9.28515625" style="1" customWidth="1"/>
    <col min="13810" max="13811" width="12.140625" style="1" customWidth="1"/>
    <col min="13812" max="13812" width="16" style="1" customWidth="1"/>
    <col min="13813" max="13813" width="26.28515625" style="1" customWidth="1"/>
    <col min="13814" max="14061" width="10.42578125" style="1"/>
    <col min="14062" max="14062" width="7.42578125" style="1" customWidth="1"/>
    <col min="14063" max="14063" width="37.42578125" style="1" customWidth="1"/>
    <col min="14064" max="14064" width="10.42578125" style="1"/>
    <col min="14065" max="14065" width="9.28515625" style="1" customWidth="1"/>
    <col min="14066" max="14067" width="12.140625" style="1" customWidth="1"/>
    <col min="14068" max="14068" width="16" style="1" customWidth="1"/>
    <col min="14069" max="14069" width="26.28515625" style="1" customWidth="1"/>
    <col min="14070" max="14317" width="10.42578125" style="1"/>
    <col min="14318" max="14318" width="7.42578125" style="1" customWidth="1"/>
    <col min="14319" max="14319" width="37.42578125" style="1" customWidth="1"/>
    <col min="14320" max="14320" width="10.42578125" style="1"/>
    <col min="14321" max="14321" width="9.28515625" style="1" customWidth="1"/>
    <col min="14322" max="14323" width="12.140625" style="1" customWidth="1"/>
    <col min="14324" max="14324" width="16" style="1" customWidth="1"/>
    <col min="14325" max="14325" width="26.28515625" style="1" customWidth="1"/>
    <col min="14326" max="14573" width="10.42578125" style="1"/>
    <col min="14574" max="14574" width="7.42578125" style="1" customWidth="1"/>
    <col min="14575" max="14575" width="37.42578125" style="1" customWidth="1"/>
    <col min="14576" max="14576" width="10.42578125" style="1"/>
    <col min="14577" max="14577" width="9.28515625" style="1" customWidth="1"/>
    <col min="14578" max="14579" width="12.140625" style="1" customWidth="1"/>
    <col min="14580" max="14580" width="16" style="1" customWidth="1"/>
    <col min="14581" max="14581" width="26.28515625" style="1" customWidth="1"/>
    <col min="14582" max="14829" width="10.42578125" style="1"/>
    <col min="14830" max="14830" width="7.42578125" style="1" customWidth="1"/>
    <col min="14831" max="14831" width="37.42578125" style="1" customWidth="1"/>
    <col min="14832" max="14832" width="10.42578125" style="1"/>
    <col min="14833" max="14833" width="9.28515625" style="1" customWidth="1"/>
    <col min="14834" max="14835" width="12.140625" style="1" customWidth="1"/>
    <col min="14836" max="14836" width="16" style="1" customWidth="1"/>
    <col min="14837" max="14837" width="26.28515625" style="1" customWidth="1"/>
    <col min="14838" max="15085" width="10.42578125" style="1"/>
    <col min="15086" max="15086" width="7.42578125" style="1" customWidth="1"/>
    <col min="15087" max="15087" width="37.42578125" style="1" customWidth="1"/>
    <col min="15088" max="15088" width="10.42578125" style="1"/>
    <col min="15089" max="15089" width="9.28515625" style="1" customWidth="1"/>
    <col min="15090" max="15091" width="12.140625" style="1" customWidth="1"/>
    <col min="15092" max="15092" width="16" style="1" customWidth="1"/>
    <col min="15093" max="15093" width="26.28515625" style="1" customWidth="1"/>
    <col min="15094" max="15341" width="10.42578125" style="1"/>
    <col min="15342" max="15342" width="7.42578125" style="1" customWidth="1"/>
    <col min="15343" max="15343" width="37.42578125" style="1" customWidth="1"/>
    <col min="15344" max="15344" width="10.42578125" style="1"/>
    <col min="15345" max="15345" width="9.28515625" style="1" customWidth="1"/>
    <col min="15346" max="15347" width="12.140625" style="1" customWidth="1"/>
    <col min="15348" max="15348" width="16" style="1" customWidth="1"/>
    <col min="15349" max="15349" width="26.28515625" style="1" customWidth="1"/>
    <col min="15350" max="15597" width="10.42578125" style="1"/>
    <col min="15598" max="15598" width="7.42578125" style="1" customWidth="1"/>
    <col min="15599" max="15599" width="37.42578125" style="1" customWidth="1"/>
    <col min="15600" max="15600" width="10.42578125" style="1"/>
    <col min="15601" max="15601" width="9.28515625" style="1" customWidth="1"/>
    <col min="15602" max="15603" width="12.140625" style="1" customWidth="1"/>
    <col min="15604" max="15604" width="16" style="1" customWidth="1"/>
    <col min="15605" max="15605" width="26.28515625" style="1" customWidth="1"/>
    <col min="15606" max="15853" width="10.42578125" style="1"/>
    <col min="15854" max="15854" width="7.42578125" style="1" customWidth="1"/>
    <col min="15855" max="15855" width="37.42578125" style="1" customWidth="1"/>
    <col min="15856" max="15856" width="10.42578125" style="1"/>
    <col min="15857" max="15857" width="9.28515625" style="1" customWidth="1"/>
    <col min="15858" max="15859" width="12.140625" style="1" customWidth="1"/>
    <col min="15860" max="15860" width="16" style="1" customWidth="1"/>
    <col min="15861" max="15861" width="26.28515625" style="1" customWidth="1"/>
    <col min="15862" max="16109" width="10.42578125" style="1"/>
    <col min="16110" max="16110" width="7.42578125" style="1" customWidth="1"/>
    <col min="16111" max="16111" width="37.42578125" style="1" customWidth="1"/>
    <col min="16112" max="16112" width="10.42578125" style="1"/>
    <col min="16113" max="16113" width="9.28515625" style="1" customWidth="1"/>
    <col min="16114" max="16115" width="12.140625" style="1" customWidth="1"/>
    <col min="16116" max="16116" width="16" style="1" customWidth="1"/>
    <col min="16117" max="16117" width="26.28515625" style="1" customWidth="1"/>
    <col min="16118" max="16384" width="10.42578125" style="1"/>
  </cols>
  <sheetData>
    <row r="2" spans="1:9" ht="16.149999999999999" customHeight="1">
      <c r="B2" s="2"/>
      <c r="C2" s="72" t="s">
        <v>0</v>
      </c>
      <c r="D2" s="4"/>
      <c r="E2" s="5"/>
      <c r="F2" s="671"/>
      <c r="G2" s="672" t="s">
        <v>1</v>
      </c>
    </row>
    <row r="4" spans="1:9" s="73" customFormat="1" ht="15">
      <c r="B4" s="74" t="s">
        <v>35</v>
      </c>
      <c r="C4" s="673" t="s">
        <v>1483</v>
      </c>
      <c r="D4" s="1175"/>
      <c r="E4" s="77"/>
      <c r="F4" s="674"/>
      <c r="G4" s="79"/>
      <c r="H4" s="37"/>
    </row>
    <row r="5" spans="1:9" s="73" customFormat="1" ht="12" customHeight="1">
      <c r="B5" s="80"/>
      <c r="C5" s="81"/>
      <c r="D5" s="1176"/>
      <c r="E5" s="83"/>
      <c r="F5" s="675"/>
      <c r="G5" s="85"/>
      <c r="H5" s="37"/>
    </row>
    <row r="6" spans="1:9" s="86" customFormat="1" ht="21" customHeight="1">
      <c r="B6" s="676" t="s">
        <v>37</v>
      </c>
      <c r="C6" s="677" t="s">
        <v>1487</v>
      </c>
      <c r="D6" s="2233"/>
      <c r="E6" s="679"/>
      <c r="F6" s="680"/>
      <c r="G6" s="681"/>
      <c r="H6" s="27"/>
    </row>
    <row r="7" spans="1:9" s="86" customFormat="1" ht="21" customHeight="1">
      <c r="B7" s="1146"/>
      <c r="C7" s="1147"/>
      <c r="D7" s="1976"/>
      <c r="E7" s="1149"/>
      <c r="F7" s="1150"/>
      <c r="G7" s="1151"/>
      <c r="H7" s="27"/>
    </row>
    <row r="8" spans="1:9" s="86" customFormat="1" ht="14.25">
      <c r="B8" s="682" t="s">
        <v>551</v>
      </c>
      <c r="C8" s="683" t="s">
        <v>1488</v>
      </c>
      <c r="D8" s="2234"/>
      <c r="E8" s="685"/>
      <c r="F8" s="686"/>
      <c r="G8" s="687"/>
      <c r="H8" s="27"/>
    </row>
    <row r="9" spans="1:9" s="86" customFormat="1" ht="14.25">
      <c r="B9" s="80"/>
      <c r="C9" s="81"/>
      <c r="D9" s="1176"/>
      <c r="E9" s="83"/>
      <c r="F9" s="675"/>
      <c r="G9" s="88"/>
      <c r="H9" s="27"/>
    </row>
    <row r="10" spans="1:9" s="14" customFormat="1" ht="18" customHeight="1">
      <c r="A10" s="9"/>
      <c r="B10" s="10" t="s">
        <v>38</v>
      </c>
      <c r="C10" s="11"/>
      <c r="D10" s="1177"/>
      <c r="E10" s="12"/>
      <c r="F10" s="688"/>
      <c r="G10" s="13"/>
    </row>
    <row r="11" spans="1:9" s="14" customFormat="1" ht="18" customHeight="1">
      <c r="A11" s="15"/>
      <c r="B11" s="16" t="s">
        <v>39</v>
      </c>
      <c r="C11" s="17"/>
      <c r="D11" s="1179"/>
      <c r="E11" s="19"/>
      <c r="F11" s="689"/>
      <c r="G11" s="18"/>
    </row>
    <row r="12" spans="1:9" s="14" customFormat="1" ht="18" customHeight="1">
      <c r="A12" s="9"/>
      <c r="B12" s="10" t="s">
        <v>4</v>
      </c>
      <c r="C12" s="11"/>
      <c r="D12" s="1180"/>
      <c r="E12" s="12"/>
      <c r="F12" s="688"/>
      <c r="G12" s="13"/>
    </row>
    <row r="13" spans="1:9" s="14" customFormat="1" ht="18" customHeight="1">
      <c r="A13" s="15"/>
      <c r="B13" s="16" t="s">
        <v>5</v>
      </c>
      <c r="C13" s="17"/>
      <c r="D13" s="1181"/>
      <c r="E13" s="19"/>
      <c r="F13" s="689"/>
      <c r="G13" s="18"/>
    </row>
    <row r="14" spans="1:9" s="86" customFormat="1" ht="14.25">
      <c r="B14" s="89"/>
      <c r="C14" s="90"/>
      <c r="D14" s="1182"/>
      <c r="E14" s="92"/>
      <c r="F14" s="690"/>
      <c r="G14" s="94"/>
      <c r="H14" s="27"/>
    </row>
    <row r="15" spans="1:9" s="86" customFormat="1" ht="18.75" customHeight="1">
      <c r="B15" s="95"/>
      <c r="C15" s="96" t="s">
        <v>40</v>
      </c>
      <c r="D15" s="1183"/>
      <c r="E15" s="98"/>
      <c r="F15" s="691"/>
      <c r="G15" s="100"/>
      <c r="H15" s="27"/>
    </row>
    <row r="16" spans="1:9" s="101" customFormat="1" ht="18.75" customHeight="1">
      <c r="B16" s="95" t="s">
        <v>41</v>
      </c>
      <c r="C16" s="96" t="s">
        <v>42</v>
      </c>
      <c r="D16" s="1183"/>
      <c r="E16" s="104"/>
      <c r="F16" s="692"/>
      <c r="G16" s="106" t="s">
        <v>10</v>
      </c>
      <c r="H16" s="37"/>
      <c r="I16" s="73"/>
    </row>
    <row r="17" spans="2:9" s="101" customFormat="1" ht="18.75" customHeight="1">
      <c r="B17" s="693" t="s">
        <v>43</v>
      </c>
      <c r="C17" s="694" t="s">
        <v>44</v>
      </c>
      <c r="D17" s="1185"/>
      <c r="E17" s="110"/>
      <c r="F17" s="695"/>
      <c r="G17" s="1408">
        <f>G38</f>
        <v>0</v>
      </c>
      <c r="H17" s="37"/>
      <c r="I17" s="73"/>
    </row>
    <row r="18" spans="2:9" s="101" customFormat="1" ht="18.75" customHeight="1">
      <c r="B18" s="693" t="s">
        <v>45</v>
      </c>
      <c r="C18" s="694" t="s">
        <v>46</v>
      </c>
      <c r="D18" s="1185"/>
      <c r="E18" s="110"/>
      <c r="F18" s="695"/>
      <c r="G18" s="1408">
        <f>G66</f>
        <v>0</v>
      </c>
      <c r="H18" s="37"/>
      <c r="I18" s="73"/>
    </row>
    <row r="19" spans="2:9" s="101" customFormat="1" ht="18.75" customHeight="1">
      <c r="B19" s="693" t="s">
        <v>47</v>
      </c>
      <c r="C19" s="694" t="s">
        <v>48</v>
      </c>
      <c r="D19" s="1185"/>
      <c r="E19" s="110"/>
      <c r="F19" s="695"/>
      <c r="G19" s="1408">
        <f>G202</f>
        <v>0</v>
      </c>
      <c r="H19" s="37"/>
      <c r="I19" s="73"/>
    </row>
    <row r="20" spans="2:9" s="101" customFormat="1" ht="18.75" customHeight="1">
      <c r="B20" s="113"/>
      <c r="C20" s="114" t="s">
        <v>49</v>
      </c>
      <c r="D20" s="1187"/>
      <c r="E20" s="116"/>
      <c r="F20" s="2372"/>
      <c r="G20" s="1415">
        <f>SUM(G17:G19)</f>
        <v>0</v>
      </c>
      <c r="H20" s="37"/>
      <c r="I20" s="73"/>
    </row>
    <row r="21" spans="2:9">
      <c r="B21" s="61"/>
      <c r="C21" s="62"/>
      <c r="D21" s="63"/>
      <c r="E21" s="64"/>
      <c r="F21" s="701"/>
    </row>
    <row r="22" spans="2:9">
      <c r="G22" s="118"/>
    </row>
    <row r="23" spans="2:9" ht="24">
      <c r="B23" s="119" t="s">
        <v>41</v>
      </c>
      <c r="C23" s="120" t="s">
        <v>51</v>
      </c>
      <c r="D23" s="120" t="s">
        <v>52</v>
      </c>
      <c r="E23" s="122" t="s">
        <v>53</v>
      </c>
      <c r="F23" s="756" t="s">
        <v>54</v>
      </c>
      <c r="G23" s="124" t="s">
        <v>55</v>
      </c>
    </row>
    <row r="24" spans="2:9">
      <c r="B24" s="125"/>
      <c r="C24" s="126"/>
      <c r="D24" s="140"/>
      <c r="E24" s="128"/>
      <c r="F24" s="708"/>
      <c r="G24" s="130"/>
    </row>
    <row r="25" spans="2:9" s="138" customFormat="1" ht="20.25">
      <c r="B25" s="131" t="s">
        <v>43</v>
      </c>
      <c r="C25" s="132" t="s">
        <v>44</v>
      </c>
      <c r="D25" s="165"/>
      <c r="E25" s="134"/>
      <c r="F25" s="709"/>
      <c r="G25" s="136"/>
      <c r="H25" s="137"/>
    </row>
    <row r="26" spans="2:9" ht="24">
      <c r="B26" s="125">
        <v>1</v>
      </c>
      <c r="C26" s="144" t="s">
        <v>56</v>
      </c>
      <c r="D26" s="140" t="s">
        <v>57</v>
      </c>
      <c r="E26" s="1081">
        <v>847</v>
      </c>
      <c r="F26" s="1082">
        <v>0</v>
      </c>
      <c r="G26" s="1083">
        <f t="shared" ref="G26" si="0">E26*F26</f>
        <v>0</v>
      </c>
    </row>
    <row r="27" spans="2:9">
      <c r="B27" s="125">
        <v>2</v>
      </c>
      <c r="C27" s="144" t="s">
        <v>58</v>
      </c>
      <c r="D27" s="140" t="s">
        <v>57</v>
      </c>
      <c r="E27" s="1081">
        <f>E26</f>
        <v>847</v>
      </c>
      <c r="F27" s="1082">
        <v>0</v>
      </c>
      <c r="G27" s="1083">
        <f>E27*F27</f>
        <v>0</v>
      </c>
    </row>
    <row r="28" spans="2:9" ht="28.5" customHeight="1">
      <c r="B28" s="125">
        <v>3</v>
      </c>
      <c r="C28" s="144" t="s">
        <v>1389</v>
      </c>
      <c r="D28" s="146" t="s">
        <v>60</v>
      </c>
      <c r="E28" s="1081">
        <v>4</v>
      </c>
      <c r="F28" s="1082">
        <v>0</v>
      </c>
      <c r="G28" s="1083">
        <f t="shared" ref="G28:G36" si="1">E28*F28</f>
        <v>0</v>
      </c>
    </row>
    <row r="29" spans="2:9" ht="27.75" customHeight="1">
      <c r="B29" s="125">
        <v>4</v>
      </c>
      <c r="C29" s="1084" t="s">
        <v>63</v>
      </c>
      <c r="D29" s="140" t="s">
        <v>57</v>
      </c>
      <c r="E29" s="1081">
        <f>E26</f>
        <v>847</v>
      </c>
      <c r="F29" s="1082">
        <v>0</v>
      </c>
      <c r="G29" s="1083">
        <f t="shared" si="1"/>
        <v>0</v>
      </c>
    </row>
    <row r="30" spans="2:9" ht="52.5" customHeight="1">
      <c r="B30" s="125">
        <v>5</v>
      </c>
      <c r="C30" s="1084" t="s">
        <v>64</v>
      </c>
      <c r="D30" s="146" t="s">
        <v>60</v>
      </c>
      <c r="E30" s="1081">
        <v>1</v>
      </c>
      <c r="F30" s="1082">
        <v>0</v>
      </c>
      <c r="G30" s="1083">
        <f t="shared" si="1"/>
        <v>0</v>
      </c>
    </row>
    <row r="31" spans="2:9" ht="53.25" customHeight="1">
      <c r="B31" s="125">
        <v>6</v>
      </c>
      <c r="C31" s="1080" t="s">
        <v>2292</v>
      </c>
      <c r="D31" s="146" t="s">
        <v>66</v>
      </c>
      <c r="E31" s="1081">
        <v>34</v>
      </c>
      <c r="F31" s="1082">
        <v>0</v>
      </c>
      <c r="G31" s="1083">
        <f t="shared" si="1"/>
        <v>0</v>
      </c>
    </row>
    <row r="32" spans="2:9" ht="36">
      <c r="B32" s="125">
        <v>7</v>
      </c>
      <c r="C32" s="1080" t="s">
        <v>2295</v>
      </c>
      <c r="D32" s="146" t="s">
        <v>57</v>
      </c>
      <c r="E32" s="1081">
        <f>E26+E84+E85</f>
        <v>1110</v>
      </c>
      <c r="F32" s="1082">
        <v>0</v>
      </c>
      <c r="G32" s="1083">
        <f t="shared" si="1"/>
        <v>0</v>
      </c>
    </row>
    <row r="33" spans="1:9" ht="24">
      <c r="B33" s="125">
        <v>8</v>
      </c>
      <c r="C33" s="1080" t="s">
        <v>2293</v>
      </c>
      <c r="D33" s="146" t="s">
        <v>57</v>
      </c>
      <c r="E33" s="1081">
        <f>E26+E84+E85</f>
        <v>1110</v>
      </c>
      <c r="F33" s="1082">
        <v>0</v>
      </c>
      <c r="G33" s="1083">
        <f t="shared" si="1"/>
        <v>0</v>
      </c>
    </row>
    <row r="34" spans="1:9">
      <c r="B34" s="125">
        <v>9</v>
      </c>
      <c r="C34" s="1084" t="s">
        <v>67</v>
      </c>
      <c r="D34" s="146" t="s">
        <v>60</v>
      </c>
      <c r="E34" s="1081">
        <v>1</v>
      </c>
      <c r="F34" s="1082">
        <v>0</v>
      </c>
      <c r="G34" s="1083">
        <f t="shared" si="1"/>
        <v>0</v>
      </c>
    </row>
    <row r="35" spans="1:9" ht="48">
      <c r="B35" s="125">
        <v>10</v>
      </c>
      <c r="C35" s="952" t="s">
        <v>68</v>
      </c>
      <c r="D35" s="146" t="s">
        <v>60</v>
      </c>
      <c r="E35" s="1085">
        <v>1</v>
      </c>
      <c r="F35" s="1082">
        <v>0</v>
      </c>
      <c r="G35" s="1083">
        <f t="shared" si="1"/>
        <v>0</v>
      </c>
    </row>
    <row r="36" spans="1:9" ht="36">
      <c r="B36" s="125">
        <v>11</v>
      </c>
      <c r="C36" s="952" t="s">
        <v>69</v>
      </c>
      <c r="D36" s="146" t="s">
        <v>60</v>
      </c>
      <c r="E36" s="1085">
        <v>1</v>
      </c>
      <c r="F36" s="1082">
        <v>0</v>
      </c>
      <c r="G36" s="1083">
        <f t="shared" si="1"/>
        <v>0</v>
      </c>
    </row>
    <row r="37" spans="1:9">
      <c r="B37" s="125"/>
      <c r="C37" s="150"/>
      <c r="D37" s="146"/>
      <c r="E37" s="1085"/>
      <c r="F37" s="1082"/>
      <c r="G37" s="1083"/>
    </row>
    <row r="38" spans="1:9">
      <c r="B38" s="151" t="s">
        <v>43</v>
      </c>
      <c r="C38" s="1086" t="s">
        <v>1390</v>
      </c>
      <c r="D38" s="1103"/>
      <c r="E38" s="1088"/>
      <c r="F38" s="1089"/>
      <c r="G38" s="263">
        <f>SUM(G26:G36)</f>
        <v>0</v>
      </c>
    </row>
    <row r="39" spans="1:9" s="8" customFormat="1">
      <c r="A39" s="1"/>
      <c r="B39" s="125"/>
      <c r="C39" s="126"/>
      <c r="D39" s="140"/>
      <c r="E39" s="128"/>
      <c r="F39" s="129"/>
      <c r="G39" s="130"/>
      <c r="I39" s="1"/>
    </row>
    <row r="40" spans="1:9" s="8" customFormat="1" ht="24">
      <c r="A40" s="1"/>
      <c r="B40" s="157" t="s">
        <v>50</v>
      </c>
      <c r="C40" s="158" t="s">
        <v>51</v>
      </c>
      <c r="D40" s="158" t="s">
        <v>52</v>
      </c>
      <c r="E40" s="160" t="s">
        <v>53</v>
      </c>
      <c r="F40" s="161" t="s">
        <v>54</v>
      </c>
      <c r="G40" s="162" t="s">
        <v>55</v>
      </c>
      <c r="I40" s="1"/>
    </row>
    <row r="41" spans="1:9" s="8" customFormat="1">
      <c r="A41" s="1"/>
      <c r="B41" s="125"/>
      <c r="C41" s="163"/>
      <c r="D41" s="140"/>
      <c r="E41" s="128"/>
      <c r="F41" s="129"/>
      <c r="G41" s="130"/>
      <c r="I41" s="1"/>
    </row>
    <row r="42" spans="1:9" s="8" customFormat="1" ht="40.5">
      <c r="A42" s="1"/>
      <c r="B42" s="131" t="s">
        <v>45</v>
      </c>
      <c r="C42" s="164" t="s">
        <v>871</v>
      </c>
      <c r="D42" s="165"/>
      <c r="E42" s="134"/>
      <c r="F42" s="135"/>
      <c r="G42" s="136"/>
      <c r="I42" s="1"/>
    </row>
    <row r="43" spans="1:9" s="8" customFormat="1" ht="67.5" customHeight="1">
      <c r="A43" s="1"/>
      <c r="B43" s="2399" t="s">
        <v>72</v>
      </c>
      <c r="C43" s="2400"/>
      <c r="D43" s="2400"/>
      <c r="E43" s="2400"/>
      <c r="F43" s="2400"/>
      <c r="G43" s="2401"/>
      <c r="I43" s="1"/>
    </row>
    <row r="44" spans="1:9" s="8" customFormat="1" ht="27" customHeight="1">
      <c r="A44" s="1"/>
      <c r="B44" s="167">
        <v>1</v>
      </c>
      <c r="C44" s="139" t="s">
        <v>73</v>
      </c>
      <c r="D44" s="140" t="s">
        <v>74</v>
      </c>
      <c r="E44" s="1091">
        <v>15</v>
      </c>
      <c r="F44" s="1092">
        <v>0</v>
      </c>
      <c r="G44" s="1093">
        <f t="shared" ref="G44:G64" si="2">E44*F44</f>
        <v>0</v>
      </c>
      <c r="I44" s="1"/>
    </row>
    <row r="45" spans="1:9" s="8" customFormat="1" ht="41.25" customHeight="1">
      <c r="A45" s="1"/>
      <c r="B45" s="717">
        <v>2</v>
      </c>
      <c r="C45" s="139" t="s">
        <v>75</v>
      </c>
      <c r="D45" s="140" t="s">
        <v>74</v>
      </c>
      <c r="E45" s="1091">
        <f>E26*1.5*1.2*0.15</f>
        <v>228.68999999999997</v>
      </c>
      <c r="F45" s="1092">
        <v>0</v>
      </c>
      <c r="G45" s="1093">
        <f t="shared" si="2"/>
        <v>0</v>
      </c>
      <c r="I45" s="1"/>
    </row>
    <row r="46" spans="1:9" s="8" customFormat="1" ht="41.25" customHeight="1">
      <c r="A46" s="1"/>
      <c r="B46" s="167">
        <v>3</v>
      </c>
      <c r="C46" s="139" t="s">
        <v>76</v>
      </c>
      <c r="D46" s="145" t="s">
        <v>74</v>
      </c>
      <c r="E46" s="1094">
        <f>E26*1.5*1.2*0.85</f>
        <v>1295.9099999999999</v>
      </c>
      <c r="F46" s="1092">
        <v>0</v>
      </c>
      <c r="G46" s="142">
        <f t="shared" si="2"/>
        <v>0</v>
      </c>
      <c r="I46" s="1"/>
    </row>
    <row r="47" spans="1:9" s="8" customFormat="1" ht="27.75" customHeight="1">
      <c r="A47" s="1"/>
      <c r="B47" s="717">
        <v>4</v>
      </c>
      <c r="C47" s="126" t="s">
        <v>77</v>
      </c>
      <c r="D47" s="140" t="s">
        <v>78</v>
      </c>
      <c r="E47" s="1094">
        <f>E26*1.5</f>
        <v>1270.5</v>
      </c>
      <c r="F47" s="1092">
        <v>0</v>
      </c>
      <c r="G47" s="1083">
        <f t="shared" si="2"/>
        <v>0</v>
      </c>
      <c r="I47" s="1"/>
    </row>
    <row r="48" spans="1:9" s="8" customFormat="1" ht="27.75" customHeight="1">
      <c r="A48" s="1"/>
      <c r="B48" s="167">
        <v>5</v>
      </c>
      <c r="C48" s="126" t="s">
        <v>79</v>
      </c>
      <c r="D48" s="145" t="s">
        <v>78</v>
      </c>
      <c r="E48" s="1094">
        <f>E26</f>
        <v>847</v>
      </c>
      <c r="F48" s="1092">
        <v>0</v>
      </c>
      <c r="G48" s="1083">
        <f t="shared" si="2"/>
        <v>0</v>
      </c>
      <c r="I48" s="1"/>
    </row>
    <row r="49" spans="1:9" s="8" customFormat="1" ht="27.75" customHeight="1">
      <c r="A49" s="1"/>
      <c r="B49" s="717">
        <v>6</v>
      </c>
      <c r="C49" s="139" t="s">
        <v>247</v>
      </c>
      <c r="D49" s="145" t="s">
        <v>74</v>
      </c>
      <c r="E49" s="1094">
        <f>E26*1.2*1</f>
        <v>1016.4</v>
      </c>
      <c r="F49" s="1092">
        <v>0</v>
      </c>
      <c r="G49" s="1083">
        <f t="shared" si="2"/>
        <v>0</v>
      </c>
      <c r="I49" s="1"/>
    </row>
    <row r="50" spans="1:9" s="8" customFormat="1" ht="40.5" customHeight="1">
      <c r="A50" s="1"/>
      <c r="B50" s="167">
        <v>7</v>
      </c>
      <c r="C50" s="139" t="s">
        <v>82</v>
      </c>
      <c r="D50" s="146" t="s">
        <v>74</v>
      </c>
      <c r="E50" s="1094">
        <f>E26*1.5*0.4</f>
        <v>508.20000000000005</v>
      </c>
      <c r="F50" s="1092">
        <v>0</v>
      </c>
      <c r="G50" s="1083">
        <f t="shared" si="2"/>
        <v>0</v>
      </c>
      <c r="I50" s="1"/>
    </row>
    <row r="51" spans="1:9" s="8" customFormat="1" ht="27" customHeight="1">
      <c r="A51" s="1"/>
      <c r="B51" s="717">
        <v>8</v>
      </c>
      <c r="C51" s="1095" t="s">
        <v>85</v>
      </c>
      <c r="D51" s="140" t="s">
        <v>57</v>
      </c>
      <c r="E51" s="1094">
        <v>14</v>
      </c>
      <c r="F51" s="1092">
        <v>0</v>
      </c>
      <c r="G51" s="1083">
        <f t="shared" si="2"/>
        <v>0</v>
      </c>
      <c r="I51" s="1"/>
    </row>
    <row r="52" spans="1:9" s="8" customFormat="1" ht="27" customHeight="1">
      <c r="A52" s="1"/>
      <c r="B52" s="167">
        <v>9</v>
      </c>
      <c r="C52" s="1095" t="s">
        <v>1391</v>
      </c>
      <c r="D52" s="140" t="s">
        <v>78</v>
      </c>
      <c r="E52" s="1094">
        <f>211*1.2</f>
        <v>253.2</v>
      </c>
      <c r="F52" s="1092">
        <v>0</v>
      </c>
      <c r="G52" s="1083">
        <f t="shared" si="2"/>
        <v>0</v>
      </c>
      <c r="I52" s="1"/>
    </row>
    <row r="53" spans="1:9" s="8" customFormat="1" ht="63.75" customHeight="1">
      <c r="A53" s="1"/>
      <c r="B53" s="717">
        <v>10</v>
      </c>
      <c r="C53" s="397" t="s">
        <v>1471</v>
      </c>
      <c r="D53" s="145" t="s">
        <v>78</v>
      </c>
      <c r="E53" s="1094">
        <v>10</v>
      </c>
      <c r="F53" s="1092">
        <v>0</v>
      </c>
      <c r="G53" s="1083">
        <f t="shared" si="2"/>
        <v>0</v>
      </c>
      <c r="I53" s="1"/>
    </row>
    <row r="54" spans="1:9" s="8" customFormat="1" ht="14.25" customHeight="1">
      <c r="A54" s="1"/>
      <c r="B54" s="167">
        <v>11</v>
      </c>
      <c r="C54" s="139" t="s">
        <v>264</v>
      </c>
      <c r="D54" s="145" t="s">
        <v>74</v>
      </c>
      <c r="E54" s="128">
        <f>E45+E46-E49-(E52*0.05)</f>
        <v>495.53999999999991</v>
      </c>
      <c r="F54" s="1092">
        <v>0</v>
      </c>
      <c r="G54" s="142">
        <f t="shared" si="2"/>
        <v>0</v>
      </c>
      <c r="I54" s="1"/>
    </row>
    <row r="55" spans="1:9" s="8" customFormat="1">
      <c r="A55" s="1"/>
      <c r="B55" s="717">
        <v>12</v>
      </c>
      <c r="C55" s="139" t="s">
        <v>265</v>
      </c>
      <c r="D55" s="145" t="s">
        <v>74</v>
      </c>
      <c r="E55" s="128">
        <f>E54</f>
        <v>495.53999999999991</v>
      </c>
      <c r="F55" s="1092">
        <v>0</v>
      </c>
      <c r="G55" s="142">
        <f t="shared" si="2"/>
        <v>0</v>
      </c>
      <c r="I55" s="1"/>
    </row>
    <row r="56" spans="1:9" s="8" customFormat="1" ht="27.75" customHeight="1">
      <c r="A56" s="1"/>
      <c r="B56" s="167">
        <v>13</v>
      </c>
      <c r="C56" s="126" t="s">
        <v>95</v>
      </c>
      <c r="D56" s="140" t="s">
        <v>74</v>
      </c>
      <c r="E56" s="1094">
        <f>E26*0.75*0.1</f>
        <v>63.525000000000006</v>
      </c>
      <c r="F56" s="1092">
        <v>0</v>
      </c>
      <c r="G56" s="1083">
        <f t="shared" si="2"/>
        <v>0</v>
      </c>
      <c r="I56" s="1"/>
    </row>
    <row r="57" spans="1:9" s="8" customFormat="1" ht="27.75" customHeight="1">
      <c r="A57" s="1"/>
      <c r="B57" s="2408">
        <v>14</v>
      </c>
      <c r="C57" s="177" t="s">
        <v>83</v>
      </c>
      <c r="D57" s="146" t="s">
        <v>252</v>
      </c>
      <c r="E57" s="1094">
        <v>5</v>
      </c>
      <c r="F57" s="1092">
        <v>0</v>
      </c>
      <c r="G57" s="1083">
        <f>E57*F57</f>
        <v>0</v>
      </c>
      <c r="I57" s="1"/>
    </row>
    <row r="58" spans="1:9" s="8" customFormat="1" ht="12.75" customHeight="1">
      <c r="A58" s="1"/>
      <c r="B58" s="2608"/>
      <c r="C58" s="178" t="s">
        <v>84</v>
      </c>
      <c r="D58" s="146" t="s">
        <v>57</v>
      </c>
      <c r="E58" s="1094">
        <v>18</v>
      </c>
      <c r="F58" s="1082"/>
      <c r="G58" s="1083"/>
      <c r="I58" s="1"/>
    </row>
    <row r="59" spans="1:9" s="8" customFormat="1" ht="54.75" customHeight="1">
      <c r="A59" s="1"/>
      <c r="B59" s="2408">
        <v>15</v>
      </c>
      <c r="C59" s="722" t="s">
        <v>1477</v>
      </c>
      <c r="D59" s="194" t="s">
        <v>66</v>
      </c>
      <c r="E59" s="719">
        <v>4</v>
      </c>
      <c r="F59" s="1092">
        <v>0</v>
      </c>
      <c r="G59" s="1093">
        <f>E59*F59</f>
        <v>0</v>
      </c>
      <c r="I59" s="1"/>
    </row>
    <row r="60" spans="1:9" s="8" customFormat="1" ht="12.75" customHeight="1">
      <c r="A60" s="1"/>
      <c r="B60" s="2418"/>
      <c r="C60" s="722" t="s">
        <v>1489</v>
      </c>
      <c r="D60" s="194" t="s">
        <v>57</v>
      </c>
      <c r="E60" s="719">
        <v>40</v>
      </c>
      <c r="F60" s="1092">
        <v>0</v>
      </c>
      <c r="G60" s="1093"/>
      <c r="I60" s="1"/>
    </row>
    <row r="61" spans="1:9" s="8" customFormat="1" ht="40.5" customHeight="1">
      <c r="A61" s="1"/>
      <c r="B61" s="717">
        <v>16</v>
      </c>
      <c r="C61" s="1096" t="s">
        <v>1393</v>
      </c>
      <c r="D61" s="182" t="s">
        <v>74</v>
      </c>
      <c r="E61" s="1097">
        <v>2</v>
      </c>
      <c r="F61" s="1082">
        <v>0</v>
      </c>
      <c r="G61" s="1083">
        <f t="shared" si="2"/>
        <v>0</v>
      </c>
      <c r="I61" s="1"/>
    </row>
    <row r="62" spans="1:9" s="8" customFormat="1" ht="39" customHeight="1">
      <c r="A62" s="1"/>
      <c r="B62" s="717">
        <v>17</v>
      </c>
      <c r="C62" s="1096" t="s">
        <v>270</v>
      </c>
      <c r="D62" s="182" t="s">
        <v>66</v>
      </c>
      <c r="E62" s="1097">
        <v>101</v>
      </c>
      <c r="F62" s="1082">
        <v>0</v>
      </c>
      <c r="G62" s="1083">
        <f t="shared" si="2"/>
        <v>0</v>
      </c>
      <c r="I62" s="1"/>
    </row>
    <row r="63" spans="1:9" s="8" customFormat="1" ht="36">
      <c r="A63" s="1"/>
      <c r="B63" s="717">
        <v>18</v>
      </c>
      <c r="C63" s="1096" t="s">
        <v>99</v>
      </c>
      <c r="D63" s="182" t="s">
        <v>74</v>
      </c>
      <c r="E63" s="1097">
        <v>4</v>
      </c>
      <c r="F63" s="1082">
        <v>0</v>
      </c>
      <c r="G63" s="1083">
        <f t="shared" si="2"/>
        <v>0</v>
      </c>
      <c r="I63" s="1"/>
    </row>
    <row r="64" spans="1:9" s="8" customFormat="1" ht="27.75" customHeight="1">
      <c r="A64" s="1"/>
      <c r="B64" s="717">
        <v>19</v>
      </c>
      <c r="C64" s="1096" t="s">
        <v>100</v>
      </c>
      <c r="D64" s="182" t="s">
        <v>65</v>
      </c>
      <c r="E64" s="1097">
        <v>18</v>
      </c>
      <c r="F64" s="1082">
        <v>0</v>
      </c>
      <c r="G64" s="1083">
        <f t="shared" si="2"/>
        <v>0</v>
      </c>
      <c r="I64" s="1"/>
    </row>
    <row r="65" spans="1:9" s="8" customFormat="1">
      <c r="A65" s="1"/>
      <c r="B65" s="167"/>
      <c r="C65" s="1098"/>
      <c r="D65" s="1099"/>
      <c r="E65" s="1100"/>
      <c r="F65" s="1101"/>
      <c r="G65" s="1102"/>
      <c r="I65" s="1"/>
    </row>
    <row r="66" spans="1:9" s="8" customFormat="1">
      <c r="A66" s="1"/>
      <c r="B66" s="151" t="s">
        <v>45</v>
      </c>
      <c r="C66" s="1086" t="s">
        <v>101</v>
      </c>
      <c r="D66" s="1103"/>
      <c r="E66" s="1088"/>
      <c r="F66" s="1089"/>
      <c r="G66" s="263">
        <f>SUM(G44:G64)</f>
        <v>0</v>
      </c>
      <c r="I66" s="1"/>
    </row>
    <row r="67" spans="1:9" s="8" customFormat="1">
      <c r="A67" s="1"/>
      <c r="B67" s="67"/>
      <c r="C67" s="68"/>
      <c r="D67" s="1188"/>
      <c r="E67" s="1104"/>
      <c r="F67" s="1105"/>
      <c r="G67" s="1106"/>
      <c r="I67" s="1"/>
    </row>
    <row r="68" spans="1:9" s="8" customFormat="1" ht="24">
      <c r="A68" s="1"/>
      <c r="B68" s="119" t="s">
        <v>50</v>
      </c>
      <c r="C68" s="120" t="s">
        <v>51</v>
      </c>
      <c r="D68" s="120" t="s">
        <v>52</v>
      </c>
      <c r="E68" s="122" t="s">
        <v>53</v>
      </c>
      <c r="F68" s="123" t="s">
        <v>54</v>
      </c>
      <c r="G68" s="124" t="s">
        <v>55</v>
      </c>
      <c r="I68" s="1"/>
    </row>
    <row r="69" spans="1:9" s="8" customFormat="1">
      <c r="A69" s="1"/>
      <c r="B69" s="125"/>
      <c r="C69" s="126"/>
      <c r="D69" s="140"/>
      <c r="E69" s="719"/>
      <c r="F69" s="1107"/>
      <c r="G69" s="731"/>
      <c r="I69" s="1"/>
    </row>
    <row r="70" spans="1:9" s="8" customFormat="1" ht="20.25">
      <c r="A70" s="1"/>
      <c r="B70" s="186" t="s">
        <v>47</v>
      </c>
      <c r="C70" s="187" t="s">
        <v>48</v>
      </c>
      <c r="D70" s="165"/>
      <c r="E70" s="134"/>
      <c r="F70" s="135"/>
      <c r="G70" s="136"/>
      <c r="I70" s="1"/>
    </row>
    <row r="71" spans="1:9" s="8" customFormat="1">
      <c r="A71" s="1"/>
      <c r="B71" s="1108" t="s">
        <v>38</v>
      </c>
      <c r="C71" s="1109"/>
      <c r="D71" s="2235"/>
      <c r="E71" s="1109"/>
      <c r="F71" s="1109"/>
      <c r="G71" s="1110"/>
      <c r="I71" s="1"/>
    </row>
    <row r="72" spans="1:9" s="8" customFormat="1">
      <c r="A72" s="1"/>
      <c r="B72" s="1111" t="s">
        <v>39</v>
      </c>
      <c r="C72" s="1112"/>
      <c r="D72" s="2236"/>
      <c r="E72" s="1112"/>
      <c r="F72" s="1112"/>
      <c r="G72" s="1113"/>
      <c r="I72" s="1"/>
    </row>
    <row r="73" spans="1:9" s="8" customFormat="1">
      <c r="A73" s="1"/>
      <c r="B73" s="1108" t="s">
        <v>4</v>
      </c>
      <c r="C73" s="1109"/>
      <c r="D73" s="2237"/>
      <c r="E73" s="1109"/>
      <c r="F73" s="1109"/>
      <c r="G73" s="1110"/>
      <c r="I73" s="1"/>
    </row>
    <row r="74" spans="1:9" s="8" customFormat="1">
      <c r="A74" s="1"/>
      <c r="B74" s="1111" t="s">
        <v>5</v>
      </c>
      <c r="C74" s="1112"/>
      <c r="D74" s="2236"/>
      <c r="E74" s="1112"/>
      <c r="F74" s="1112"/>
      <c r="G74" s="1113"/>
      <c r="I74" s="1"/>
    </row>
    <row r="75" spans="1:9" s="8" customFormat="1">
      <c r="A75" s="1"/>
      <c r="B75" s="2399" t="s">
        <v>271</v>
      </c>
      <c r="C75" s="2400"/>
      <c r="D75" s="2400"/>
      <c r="E75" s="2400"/>
      <c r="F75" s="2400"/>
      <c r="G75" s="2401"/>
      <c r="I75" s="1"/>
    </row>
    <row r="76" spans="1:9" s="8" customFormat="1">
      <c r="A76" s="1"/>
      <c r="B76" s="2399" t="s">
        <v>104</v>
      </c>
      <c r="C76" s="2400"/>
      <c r="D76" s="2400"/>
      <c r="E76" s="2400"/>
      <c r="F76" s="2400"/>
      <c r="G76" s="2401"/>
      <c r="I76" s="1"/>
    </row>
    <row r="77" spans="1:9" s="8" customFormat="1">
      <c r="A77" s="1"/>
      <c r="B77" s="2399" t="s">
        <v>105</v>
      </c>
      <c r="C77" s="2400"/>
      <c r="D77" s="2400"/>
      <c r="E77" s="2400"/>
      <c r="F77" s="2400"/>
      <c r="G77" s="2401"/>
      <c r="I77" s="1"/>
    </row>
    <row r="78" spans="1:9" s="8" customFormat="1">
      <c r="A78" s="1"/>
      <c r="B78" s="1115"/>
      <c r="C78" s="1116"/>
      <c r="D78" s="2238"/>
      <c r="E78" s="1116"/>
      <c r="F78" s="1116"/>
      <c r="G78" s="1117"/>
      <c r="I78" s="1"/>
    </row>
    <row r="79" spans="1:9" ht="24">
      <c r="B79" s="188">
        <v>1</v>
      </c>
      <c r="C79" s="189" t="s">
        <v>106</v>
      </c>
      <c r="D79" s="190"/>
      <c r="E79" s="719"/>
      <c r="F79" s="1107"/>
      <c r="G79" s="731"/>
    </row>
    <row r="80" spans="1:9">
      <c r="B80" s="191"/>
      <c r="C80" s="192" t="s">
        <v>107</v>
      </c>
      <c r="D80" s="190" t="s">
        <v>57</v>
      </c>
      <c r="E80" s="719">
        <f>496*0.9</f>
        <v>446.40000000000003</v>
      </c>
      <c r="F80" s="1092">
        <v>0</v>
      </c>
      <c r="G80" s="1093">
        <f t="shared" ref="G80:G90" si="3">E80*F80</f>
        <v>0</v>
      </c>
    </row>
    <row r="81" spans="2:7" ht="24">
      <c r="B81" s="191"/>
      <c r="C81" s="192" t="s">
        <v>884</v>
      </c>
      <c r="D81" s="190" t="s">
        <v>57</v>
      </c>
      <c r="E81" s="719">
        <f>496*0.1</f>
        <v>49.6</v>
      </c>
      <c r="F81" s="1092">
        <v>0</v>
      </c>
      <c r="G81" s="1093">
        <f t="shared" si="3"/>
        <v>0</v>
      </c>
    </row>
    <row r="82" spans="2:7">
      <c r="B82" s="191"/>
      <c r="C82" s="192" t="s">
        <v>226</v>
      </c>
      <c r="D82" s="190" t="s">
        <v>57</v>
      </c>
      <c r="E82" s="719">
        <f>351*0.9</f>
        <v>315.90000000000003</v>
      </c>
      <c r="F82" s="1092">
        <v>0</v>
      </c>
      <c r="G82" s="1093">
        <f t="shared" si="3"/>
        <v>0</v>
      </c>
    </row>
    <row r="83" spans="2:7" ht="24">
      <c r="B83" s="191"/>
      <c r="C83" s="192" t="s">
        <v>227</v>
      </c>
      <c r="D83" s="190" t="s">
        <v>57</v>
      </c>
      <c r="E83" s="719">
        <f>351*0.1</f>
        <v>35.1</v>
      </c>
      <c r="F83" s="1092">
        <v>0</v>
      </c>
      <c r="G83" s="1093">
        <f t="shared" si="3"/>
        <v>0</v>
      </c>
    </row>
    <row r="84" spans="2:7">
      <c r="B84" s="191"/>
      <c r="C84" s="192" t="s">
        <v>109</v>
      </c>
      <c r="D84" s="190" t="s">
        <v>57</v>
      </c>
      <c r="E84" s="719">
        <f>263*0.9</f>
        <v>236.70000000000002</v>
      </c>
      <c r="F84" s="1092">
        <v>0</v>
      </c>
      <c r="G84" s="1093">
        <f t="shared" si="3"/>
        <v>0</v>
      </c>
    </row>
    <row r="85" spans="2:7" ht="24">
      <c r="B85" s="191"/>
      <c r="C85" s="192" t="s">
        <v>110</v>
      </c>
      <c r="D85" s="190" t="s">
        <v>57</v>
      </c>
      <c r="E85" s="719">
        <f>263*0.1</f>
        <v>26.3</v>
      </c>
      <c r="F85" s="1092">
        <v>0</v>
      </c>
      <c r="G85" s="1093">
        <f t="shared" si="3"/>
        <v>0</v>
      </c>
    </row>
    <row r="86" spans="2:7" ht="36">
      <c r="B86" s="2404" t="s">
        <v>111</v>
      </c>
      <c r="C86" s="193" t="s">
        <v>112</v>
      </c>
      <c r="D86" s="194"/>
      <c r="E86" s="719"/>
      <c r="F86" s="1092"/>
      <c r="G86" s="1093"/>
    </row>
    <row r="87" spans="2:7">
      <c r="B87" s="2405"/>
      <c r="C87" s="195" t="s">
        <v>113</v>
      </c>
      <c r="D87" s="194" t="s">
        <v>57</v>
      </c>
      <c r="E87" s="719">
        <v>75</v>
      </c>
      <c r="F87" s="1092">
        <v>0</v>
      </c>
      <c r="G87" s="1093">
        <f>E87*F87</f>
        <v>0</v>
      </c>
    </row>
    <row r="88" spans="2:7">
      <c r="B88" s="2405"/>
      <c r="C88" s="195" t="s">
        <v>274</v>
      </c>
      <c r="D88" s="194" t="s">
        <v>57</v>
      </c>
      <c r="E88" s="719">
        <v>60</v>
      </c>
      <c r="F88" s="1092">
        <v>0</v>
      </c>
      <c r="G88" s="1093">
        <f>E88*F88</f>
        <v>0</v>
      </c>
    </row>
    <row r="89" spans="2:7">
      <c r="B89" s="2413"/>
      <c r="C89" s="195" t="s">
        <v>275</v>
      </c>
      <c r="D89" s="194" t="s">
        <v>57</v>
      </c>
      <c r="E89" s="719">
        <v>40</v>
      </c>
      <c r="F89" s="1092">
        <v>0</v>
      </c>
      <c r="G89" s="1093">
        <f>E89*F89</f>
        <v>0</v>
      </c>
    </row>
    <row r="90" spans="2:7" ht="36">
      <c r="B90" s="196">
        <v>2</v>
      </c>
      <c r="C90" s="197" t="s">
        <v>114</v>
      </c>
      <c r="D90" s="145" t="s">
        <v>57</v>
      </c>
      <c r="E90" s="732">
        <f>SUM(E80:E85)</f>
        <v>1110</v>
      </c>
      <c r="F90" s="1092">
        <v>0</v>
      </c>
      <c r="G90" s="1093">
        <f t="shared" si="3"/>
        <v>0</v>
      </c>
    </row>
    <row r="91" spans="2:7" ht="36">
      <c r="B91" s="199" t="s">
        <v>115</v>
      </c>
      <c r="C91" s="197" t="s">
        <v>116</v>
      </c>
      <c r="D91" s="145" t="s">
        <v>57</v>
      </c>
      <c r="E91" s="732">
        <f>E90</f>
        <v>1110</v>
      </c>
      <c r="F91" s="1092">
        <v>0</v>
      </c>
      <c r="G91" s="1093">
        <f>E91*F91</f>
        <v>0</v>
      </c>
    </row>
    <row r="92" spans="2:7" ht="24">
      <c r="B92" s="199" t="s">
        <v>117</v>
      </c>
      <c r="C92" s="197" t="s">
        <v>118</v>
      </c>
      <c r="D92" s="145" t="s">
        <v>57</v>
      </c>
      <c r="E92" s="732">
        <f>E90</f>
        <v>1110</v>
      </c>
      <c r="F92" s="1092">
        <v>0</v>
      </c>
      <c r="G92" s="1093">
        <f>E92*F92</f>
        <v>0</v>
      </c>
    </row>
    <row r="93" spans="2:7" ht="36">
      <c r="B93" s="199" t="s">
        <v>119</v>
      </c>
      <c r="C93" s="197" t="s">
        <v>120</v>
      </c>
      <c r="D93" s="145" t="s">
        <v>57</v>
      </c>
      <c r="E93" s="732">
        <f>E90</f>
        <v>1110</v>
      </c>
      <c r="F93" s="1092">
        <v>0</v>
      </c>
      <c r="G93" s="1093">
        <f>E93*F93</f>
        <v>0</v>
      </c>
    </row>
    <row r="94" spans="2:7" ht="24">
      <c r="B94" s="188">
        <v>3</v>
      </c>
      <c r="C94" s="200" t="s">
        <v>121</v>
      </c>
      <c r="D94" s="140"/>
      <c r="E94" s="719"/>
      <c r="F94" s="719"/>
      <c r="G94" s="731"/>
    </row>
    <row r="95" spans="2:7">
      <c r="B95" s="201" t="s">
        <v>122</v>
      </c>
      <c r="C95" s="202" t="s">
        <v>123</v>
      </c>
      <c r="D95" s="209"/>
      <c r="E95" s="204"/>
      <c r="F95" s="205"/>
      <c r="G95" s="206"/>
    </row>
    <row r="96" spans="2:7">
      <c r="B96" s="125"/>
      <c r="C96" s="202" t="s">
        <v>124</v>
      </c>
      <c r="D96" s="209"/>
      <c r="E96" s="204"/>
      <c r="F96" s="205"/>
      <c r="G96" s="206"/>
    </row>
    <row r="97" spans="2:7">
      <c r="B97" s="207"/>
      <c r="C97" s="208" t="s">
        <v>125</v>
      </c>
      <c r="D97" s="209" t="s">
        <v>66</v>
      </c>
      <c r="E97" s="204">
        <v>1</v>
      </c>
      <c r="F97" s="210">
        <v>0</v>
      </c>
      <c r="G97" s="211">
        <f>E97*F97</f>
        <v>0</v>
      </c>
    </row>
    <row r="98" spans="2:7">
      <c r="B98" s="207"/>
      <c r="C98" s="208" t="s">
        <v>1464</v>
      </c>
      <c r="D98" s="209" t="s">
        <v>66</v>
      </c>
      <c r="E98" s="204">
        <v>3</v>
      </c>
      <c r="F98" s="210">
        <v>0</v>
      </c>
      <c r="G98" s="211">
        <f>E98*F98</f>
        <v>0</v>
      </c>
    </row>
    <row r="99" spans="2:7">
      <c r="B99" s="201" t="s">
        <v>126</v>
      </c>
      <c r="C99" s="212" t="s">
        <v>127</v>
      </c>
      <c r="D99" s="1228"/>
      <c r="E99" s="214"/>
      <c r="F99" s="215">
        <v>0</v>
      </c>
      <c r="G99" s="216"/>
    </row>
    <row r="100" spans="2:7">
      <c r="B100" s="218"/>
      <c r="C100" s="212" t="s">
        <v>128</v>
      </c>
      <c r="D100" s="2239"/>
      <c r="E100" s="736"/>
      <c r="F100" s="1647"/>
      <c r="G100" s="1121"/>
    </row>
    <row r="101" spans="2:7">
      <c r="B101" s="218"/>
      <c r="C101" s="219" t="s">
        <v>129</v>
      </c>
      <c r="D101" s="1228" t="s">
        <v>66</v>
      </c>
      <c r="E101" s="214">
        <v>1</v>
      </c>
      <c r="F101" s="2230">
        <v>0</v>
      </c>
      <c r="G101" s="221">
        <f t="shared" ref="G101:G119" si="4">E101*F101</f>
        <v>0</v>
      </c>
    </row>
    <row r="102" spans="2:7" ht="36">
      <c r="B102" s="218"/>
      <c r="C102" s="222" t="s">
        <v>130</v>
      </c>
      <c r="D102" s="1228" t="s">
        <v>66</v>
      </c>
      <c r="E102" s="214">
        <v>1</v>
      </c>
      <c r="F102" s="2230">
        <v>0</v>
      </c>
      <c r="G102" s="221">
        <f t="shared" si="4"/>
        <v>0</v>
      </c>
    </row>
    <row r="103" spans="2:7">
      <c r="B103" s="218"/>
      <c r="C103" s="222" t="s">
        <v>183</v>
      </c>
      <c r="D103" s="1228" t="s">
        <v>66</v>
      </c>
      <c r="E103" s="214">
        <v>1</v>
      </c>
      <c r="F103" s="2230">
        <v>0</v>
      </c>
      <c r="G103" s="221">
        <f t="shared" si="4"/>
        <v>0</v>
      </c>
    </row>
    <row r="104" spans="2:7">
      <c r="B104" s="218"/>
      <c r="C104" s="222" t="s">
        <v>131</v>
      </c>
      <c r="D104" s="1228" t="s">
        <v>66</v>
      </c>
      <c r="E104" s="214">
        <v>1</v>
      </c>
      <c r="F104" s="2230">
        <v>0</v>
      </c>
      <c r="G104" s="221">
        <f t="shared" si="4"/>
        <v>0</v>
      </c>
    </row>
    <row r="105" spans="2:7">
      <c r="B105" s="218"/>
      <c r="C105" s="222" t="s">
        <v>132</v>
      </c>
      <c r="D105" s="1228" t="s">
        <v>66</v>
      </c>
      <c r="E105" s="214">
        <v>2</v>
      </c>
      <c r="F105" s="2230">
        <v>0</v>
      </c>
      <c r="G105" s="221">
        <f t="shared" si="4"/>
        <v>0</v>
      </c>
    </row>
    <row r="106" spans="2:7">
      <c r="B106" s="218"/>
      <c r="C106" s="222" t="s">
        <v>133</v>
      </c>
      <c r="D106" s="1228" t="s">
        <v>66</v>
      </c>
      <c r="E106" s="214">
        <v>2</v>
      </c>
      <c r="F106" s="2230">
        <v>0</v>
      </c>
      <c r="G106" s="221">
        <f t="shared" si="4"/>
        <v>0</v>
      </c>
    </row>
    <row r="107" spans="2:7">
      <c r="B107" s="218"/>
      <c r="C107" s="222" t="s">
        <v>134</v>
      </c>
      <c r="D107" s="1228" t="s">
        <v>66</v>
      </c>
      <c r="E107" s="214">
        <v>1</v>
      </c>
      <c r="F107" s="2230">
        <v>0</v>
      </c>
      <c r="G107" s="221">
        <f t="shared" si="4"/>
        <v>0</v>
      </c>
    </row>
    <row r="108" spans="2:7">
      <c r="B108" s="218"/>
      <c r="C108" s="222" t="s">
        <v>135</v>
      </c>
      <c r="D108" s="1228" t="s">
        <v>66</v>
      </c>
      <c r="E108" s="214">
        <v>1</v>
      </c>
      <c r="F108" s="2230">
        <v>0</v>
      </c>
      <c r="G108" s="221">
        <f t="shared" si="4"/>
        <v>0</v>
      </c>
    </row>
    <row r="109" spans="2:7">
      <c r="B109" s="218"/>
      <c r="C109" s="212" t="s">
        <v>318</v>
      </c>
      <c r="D109" s="2239"/>
      <c r="E109" s="736"/>
      <c r="F109" s="2230"/>
      <c r="G109" s="221"/>
    </row>
    <row r="110" spans="2:7">
      <c r="B110" s="218"/>
      <c r="C110" s="219" t="s">
        <v>319</v>
      </c>
      <c r="D110" s="1228" t="s">
        <v>66</v>
      </c>
      <c r="E110" s="214">
        <v>3</v>
      </c>
      <c r="F110" s="2230">
        <v>0</v>
      </c>
      <c r="G110" s="221">
        <f t="shared" si="4"/>
        <v>0</v>
      </c>
    </row>
    <row r="111" spans="2:7" ht="36">
      <c r="B111" s="218"/>
      <c r="C111" s="222" t="s">
        <v>283</v>
      </c>
      <c r="D111" s="1228" t="s">
        <v>66</v>
      </c>
      <c r="E111" s="214">
        <v>3</v>
      </c>
      <c r="F111" s="2230">
        <v>0</v>
      </c>
      <c r="G111" s="221">
        <f t="shared" si="4"/>
        <v>0</v>
      </c>
    </row>
    <row r="112" spans="2:7">
      <c r="B112" s="218"/>
      <c r="C112" s="222" t="s">
        <v>183</v>
      </c>
      <c r="D112" s="1228" t="s">
        <v>66</v>
      </c>
      <c r="E112" s="214">
        <v>3</v>
      </c>
      <c r="F112" s="2230">
        <v>0</v>
      </c>
      <c r="G112" s="221">
        <f t="shared" si="4"/>
        <v>0</v>
      </c>
    </row>
    <row r="113" spans="2:7">
      <c r="B113" s="218"/>
      <c r="C113" s="222" t="s">
        <v>131</v>
      </c>
      <c r="D113" s="1228" t="s">
        <v>66</v>
      </c>
      <c r="E113" s="214">
        <v>3</v>
      </c>
      <c r="F113" s="2230">
        <v>0</v>
      </c>
      <c r="G113" s="221">
        <f t="shared" si="4"/>
        <v>0</v>
      </c>
    </row>
    <row r="114" spans="2:7">
      <c r="B114" s="218"/>
      <c r="C114" s="1133" t="s">
        <v>166</v>
      </c>
      <c r="D114" s="1228" t="s">
        <v>66</v>
      </c>
      <c r="E114" s="214">
        <v>6</v>
      </c>
      <c r="F114" s="2230">
        <v>0</v>
      </c>
      <c r="G114" s="221">
        <f t="shared" si="4"/>
        <v>0</v>
      </c>
    </row>
    <row r="115" spans="2:7">
      <c r="B115" s="218"/>
      <c r="C115" s="1133" t="s">
        <v>167</v>
      </c>
      <c r="D115" s="1228" t="s">
        <v>66</v>
      </c>
      <c r="E115" s="214">
        <v>6</v>
      </c>
      <c r="F115" s="2230">
        <v>0</v>
      </c>
      <c r="G115" s="221">
        <f t="shared" si="4"/>
        <v>0</v>
      </c>
    </row>
    <row r="116" spans="2:7">
      <c r="B116" s="218"/>
      <c r="C116" s="1133" t="s">
        <v>229</v>
      </c>
      <c r="D116" s="1228" t="s">
        <v>66</v>
      </c>
      <c r="E116" s="214">
        <v>6</v>
      </c>
      <c r="F116" s="2230">
        <v>0</v>
      </c>
      <c r="G116" s="221">
        <f t="shared" si="4"/>
        <v>0</v>
      </c>
    </row>
    <row r="117" spans="2:7">
      <c r="B117" s="218"/>
      <c r="C117" s="1133" t="s">
        <v>230</v>
      </c>
      <c r="D117" s="1228" t="s">
        <v>66</v>
      </c>
      <c r="E117" s="214">
        <v>6</v>
      </c>
      <c r="F117" s="2230">
        <v>0</v>
      </c>
      <c r="G117" s="221">
        <f t="shared" si="4"/>
        <v>0</v>
      </c>
    </row>
    <row r="118" spans="2:7">
      <c r="B118" s="218"/>
      <c r="C118" s="1133" t="s">
        <v>134</v>
      </c>
      <c r="D118" s="1228" t="s">
        <v>66</v>
      </c>
      <c r="E118" s="214">
        <v>3</v>
      </c>
      <c r="F118" s="2230">
        <v>0</v>
      </c>
      <c r="G118" s="221">
        <f t="shared" si="4"/>
        <v>0</v>
      </c>
    </row>
    <row r="119" spans="2:7">
      <c r="B119" s="218"/>
      <c r="C119" s="1134" t="s">
        <v>135</v>
      </c>
      <c r="D119" s="1228" t="s">
        <v>66</v>
      </c>
      <c r="E119" s="214">
        <v>3</v>
      </c>
      <c r="F119" s="2230">
        <v>0</v>
      </c>
      <c r="G119" s="221">
        <f t="shared" si="4"/>
        <v>0</v>
      </c>
    </row>
    <row r="120" spans="2:7">
      <c r="B120" s="201" t="s">
        <v>136</v>
      </c>
      <c r="C120" s="238" t="s">
        <v>320</v>
      </c>
      <c r="D120" s="260"/>
      <c r="E120" s="240"/>
      <c r="F120" s="241"/>
      <c r="G120" s="242"/>
    </row>
    <row r="121" spans="2:7">
      <c r="B121" s="218"/>
      <c r="C121" s="238" t="s">
        <v>326</v>
      </c>
      <c r="D121" s="185"/>
      <c r="E121" s="741"/>
      <c r="F121" s="1649"/>
      <c r="G121" s="263"/>
    </row>
    <row r="122" spans="2:7" ht="30.75" customHeight="1">
      <c r="B122" s="218"/>
      <c r="C122" s="1123" t="s">
        <v>322</v>
      </c>
      <c r="D122" s="260" t="s">
        <v>66</v>
      </c>
      <c r="E122" s="240">
        <v>3</v>
      </c>
      <c r="F122" s="2242">
        <v>0</v>
      </c>
      <c r="G122" s="245">
        <f t="shared" ref="G122:G124" si="5">E122*F122</f>
        <v>0</v>
      </c>
    </row>
    <row r="123" spans="2:7">
      <c r="B123" s="218"/>
      <c r="C123" s="246" t="s">
        <v>325</v>
      </c>
      <c r="D123" s="260" t="s">
        <v>66</v>
      </c>
      <c r="E123" s="240">
        <v>3</v>
      </c>
      <c r="F123" s="2242">
        <v>0</v>
      </c>
      <c r="G123" s="245">
        <f t="shared" si="5"/>
        <v>0</v>
      </c>
    </row>
    <row r="124" spans="2:7">
      <c r="B124" s="218"/>
      <c r="C124" s="247" t="s">
        <v>135</v>
      </c>
      <c r="D124" s="260" t="s">
        <v>66</v>
      </c>
      <c r="E124" s="240">
        <v>3</v>
      </c>
      <c r="F124" s="2242">
        <v>0</v>
      </c>
      <c r="G124" s="245">
        <f t="shared" si="5"/>
        <v>0</v>
      </c>
    </row>
    <row r="125" spans="2:7">
      <c r="B125" s="201" t="s">
        <v>151</v>
      </c>
      <c r="C125" s="223" t="s">
        <v>137</v>
      </c>
      <c r="D125" s="1232"/>
      <c r="E125" s="225"/>
      <c r="F125" s="226"/>
      <c r="G125" s="227"/>
    </row>
    <row r="126" spans="2:7">
      <c r="B126" s="218"/>
      <c r="C126" s="223" t="s">
        <v>138</v>
      </c>
      <c r="D126" s="2240"/>
      <c r="E126" s="738"/>
      <c r="F126" s="1648"/>
      <c r="G126" s="1125"/>
    </row>
    <row r="127" spans="2:7">
      <c r="B127" s="218"/>
      <c r="C127" s="228" t="s">
        <v>129</v>
      </c>
      <c r="D127" s="1232" t="s">
        <v>66</v>
      </c>
      <c r="E127" s="225">
        <v>1</v>
      </c>
      <c r="F127" s="2243">
        <v>0</v>
      </c>
      <c r="G127" s="230">
        <f t="shared" ref="G127:G142" si="6">E127*F127</f>
        <v>0</v>
      </c>
    </row>
    <row r="128" spans="2:7">
      <c r="B128" s="218"/>
      <c r="C128" s="228" t="s">
        <v>139</v>
      </c>
      <c r="D128" s="1232" t="s">
        <v>66</v>
      </c>
      <c r="E128" s="225">
        <v>2</v>
      </c>
      <c r="F128" s="2243">
        <v>0</v>
      </c>
      <c r="G128" s="230">
        <f t="shared" si="6"/>
        <v>0</v>
      </c>
    </row>
    <row r="129" spans="2:7">
      <c r="B129" s="218"/>
      <c r="C129" s="231" t="s">
        <v>140</v>
      </c>
      <c r="D129" s="1232" t="s">
        <v>66</v>
      </c>
      <c r="E129" s="225">
        <v>1</v>
      </c>
      <c r="F129" s="2243">
        <v>0</v>
      </c>
      <c r="G129" s="230">
        <f t="shared" si="6"/>
        <v>0</v>
      </c>
    </row>
    <row r="130" spans="2:7">
      <c r="B130" s="218"/>
      <c r="C130" s="231" t="s">
        <v>141</v>
      </c>
      <c r="D130" s="1232" t="s">
        <v>66</v>
      </c>
      <c r="E130" s="225">
        <v>1</v>
      </c>
      <c r="F130" s="2243">
        <v>0</v>
      </c>
      <c r="G130" s="230">
        <f t="shared" si="6"/>
        <v>0</v>
      </c>
    </row>
    <row r="131" spans="2:7">
      <c r="B131" s="218"/>
      <c r="C131" s="231" t="s">
        <v>142</v>
      </c>
      <c r="D131" s="1232" t="s">
        <v>66</v>
      </c>
      <c r="E131" s="225">
        <v>1</v>
      </c>
      <c r="F131" s="2243">
        <v>0</v>
      </c>
      <c r="G131" s="230">
        <f t="shared" si="6"/>
        <v>0</v>
      </c>
    </row>
    <row r="132" spans="2:7">
      <c r="B132" s="218"/>
      <c r="C132" s="231" t="s">
        <v>143</v>
      </c>
      <c r="D132" s="1232" t="s">
        <v>66</v>
      </c>
      <c r="E132" s="225">
        <v>1</v>
      </c>
      <c r="F132" s="2243">
        <v>0</v>
      </c>
      <c r="G132" s="230">
        <f t="shared" si="6"/>
        <v>0</v>
      </c>
    </row>
    <row r="133" spans="2:7">
      <c r="B133" s="218"/>
      <c r="C133" s="231" t="s">
        <v>2250</v>
      </c>
      <c r="D133" s="1232" t="s">
        <v>66</v>
      </c>
      <c r="E133" s="225">
        <v>1</v>
      </c>
      <c r="F133" s="2243">
        <v>0</v>
      </c>
      <c r="G133" s="230">
        <f t="shared" si="6"/>
        <v>0</v>
      </c>
    </row>
    <row r="134" spans="2:7">
      <c r="B134" s="218"/>
      <c r="C134" s="231" t="s">
        <v>145</v>
      </c>
      <c r="D134" s="1232" t="s">
        <v>66</v>
      </c>
      <c r="E134" s="225">
        <v>1</v>
      </c>
      <c r="F134" s="2243">
        <v>0</v>
      </c>
      <c r="G134" s="230">
        <f t="shared" si="6"/>
        <v>0</v>
      </c>
    </row>
    <row r="135" spans="2:7">
      <c r="B135" s="218"/>
      <c r="C135" s="231" t="s">
        <v>146</v>
      </c>
      <c r="D135" s="1232" t="s">
        <v>66</v>
      </c>
      <c r="E135" s="225">
        <v>1</v>
      </c>
      <c r="F135" s="2243">
        <v>0</v>
      </c>
      <c r="G135" s="230">
        <f t="shared" si="6"/>
        <v>0</v>
      </c>
    </row>
    <row r="136" spans="2:7">
      <c r="B136" s="218"/>
      <c r="C136" s="739" t="s">
        <v>147</v>
      </c>
      <c r="D136" s="1232" t="s">
        <v>66</v>
      </c>
      <c r="E136" s="225">
        <v>1</v>
      </c>
      <c r="F136" s="2243">
        <v>0</v>
      </c>
      <c r="G136" s="230">
        <f t="shared" si="6"/>
        <v>0</v>
      </c>
    </row>
    <row r="137" spans="2:7">
      <c r="B137" s="218"/>
      <c r="C137" s="739" t="s">
        <v>188</v>
      </c>
      <c r="D137" s="1232" t="s">
        <v>66</v>
      </c>
      <c r="E137" s="225">
        <v>1</v>
      </c>
      <c r="F137" s="2243">
        <v>0</v>
      </c>
      <c r="G137" s="230">
        <f t="shared" si="6"/>
        <v>0</v>
      </c>
    </row>
    <row r="138" spans="2:7">
      <c r="B138" s="218"/>
      <c r="C138" s="739" t="s">
        <v>132</v>
      </c>
      <c r="D138" s="1232" t="s">
        <v>66</v>
      </c>
      <c r="E138" s="225">
        <v>2</v>
      </c>
      <c r="F138" s="2243">
        <v>0</v>
      </c>
      <c r="G138" s="230">
        <f t="shared" si="6"/>
        <v>0</v>
      </c>
    </row>
    <row r="139" spans="2:7">
      <c r="B139" s="218"/>
      <c r="C139" s="739" t="s">
        <v>148</v>
      </c>
      <c r="D139" s="1232" t="s">
        <v>66</v>
      </c>
      <c r="E139" s="225">
        <v>2</v>
      </c>
      <c r="F139" s="2243">
        <v>0</v>
      </c>
      <c r="G139" s="230">
        <f t="shared" si="6"/>
        <v>0</v>
      </c>
    </row>
    <row r="140" spans="2:7">
      <c r="B140" s="218"/>
      <c r="C140" s="739" t="s">
        <v>149</v>
      </c>
      <c r="D140" s="1232" t="s">
        <v>66</v>
      </c>
      <c r="E140" s="225">
        <v>1</v>
      </c>
      <c r="F140" s="2243">
        <v>0</v>
      </c>
      <c r="G140" s="230">
        <f t="shared" si="6"/>
        <v>0</v>
      </c>
    </row>
    <row r="141" spans="2:7">
      <c r="B141" s="218"/>
      <c r="C141" s="739" t="s">
        <v>150</v>
      </c>
      <c r="D141" s="1232" t="s">
        <v>66</v>
      </c>
      <c r="E141" s="225">
        <v>3</v>
      </c>
      <c r="F141" s="2243">
        <v>0</v>
      </c>
      <c r="G141" s="230">
        <f t="shared" si="6"/>
        <v>0</v>
      </c>
    </row>
    <row r="142" spans="2:7">
      <c r="B142" s="218"/>
      <c r="C142" s="740" t="s">
        <v>135</v>
      </c>
      <c r="D142" s="1232" t="s">
        <v>66</v>
      </c>
      <c r="E142" s="225">
        <v>1</v>
      </c>
      <c r="F142" s="2243">
        <v>0</v>
      </c>
      <c r="G142" s="230">
        <f t="shared" si="6"/>
        <v>0</v>
      </c>
    </row>
    <row r="143" spans="2:7">
      <c r="B143" s="201" t="s">
        <v>159</v>
      </c>
      <c r="C143" s="212" t="s">
        <v>152</v>
      </c>
      <c r="D143" s="1228"/>
      <c r="E143" s="214"/>
      <c r="F143" s="215"/>
      <c r="G143" s="216"/>
    </row>
    <row r="144" spans="2:7">
      <c r="B144" s="218"/>
      <c r="C144" s="212" t="s">
        <v>153</v>
      </c>
      <c r="D144" s="2239"/>
      <c r="E144" s="736"/>
      <c r="F144" s="1647"/>
      <c r="G144" s="1121"/>
    </row>
    <row r="145" spans="2:7">
      <c r="B145" s="218"/>
      <c r="C145" s="219" t="s">
        <v>129</v>
      </c>
      <c r="D145" s="1228" t="s">
        <v>66</v>
      </c>
      <c r="E145" s="214">
        <v>1</v>
      </c>
      <c r="F145" s="2230">
        <v>0</v>
      </c>
      <c r="G145" s="221">
        <f t="shared" ref="G145:G155" si="7">E145*F145</f>
        <v>0</v>
      </c>
    </row>
    <row r="146" spans="2:7" ht="24">
      <c r="B146" s="218"/>
      <c r="C146" s="222" t="s">
        <v>154</v>
      </c>
      <c r="D146" s="1228" t="s">
        <v>66</v>
      </c>
      <c r="E146" s="214">
        <v>1</v>
      </c>
      <c r="F146" s="2230">
        <v>0</v>
      </c>
      <c r="G146" s="221">
        <f t="shared" si="7"/>
        <v>0</v>
      </c>
    </row>
    <row r="147" spans="2:7">
      <c r="B147" s="218"/>
      <c r="C147" s="222" t="s">
        <v>155</v>
      </c>
      <c r="D147" s="1228" t="s">
        <v>66</v>
      </c>
      <c r="E147" s="214">
        <v>1</v>
      </c>
      <c r="F147" s="2230">
        <v>0</v>
      </c>
      <c r="G147" s="221">
        <f t="shared" si="7"/>
        <v>0</v>
      </c>
    </row>
    <row r="148" spans="2:7">
      <c r="B148" s="218"/>
      <c r="C148" s="222" t="s">
        <v>330</v>
      </c>
      <c r="D148" s="1228" t="s">
        <v>66</v>
      </c>
      <c r="E148" s="214">
        <v>1</v>
      </c>
      <c r="F148" s="2230">
        <v>0</v>
      </c>
      <c r="G148" s="221">
        <f t="shared" si="7"/>
        <v>0</v>
      </c>
    </row>
    <row r="149" spans="2:7">
      <c r="B149" s="218"/>
      <c r="C149" s="222" t="s">
        <v>157</v>
      </c>
      <c r="D149" s="1228" t="s">
        <v>66</v>
      </c>
      <c r="E149" s="214">
        <v>1</v>
      </c>
      <c r="F149" s="2230">
        <v>0</v>
      </c>
      <c r="G149" s="221">
        <f t="shared" si="7"/>
        <v>0</v>
      </c>
    </row>
    <row r="150" spans="2:7">
      <c r="B150" s="218"/>
      <c r="C150" s="234" t="s">
        <v>158</v>
      </c>
      <c r="D150" s="1228" t="s">
        <v>66</v>
      </c>
      <c r="E150" s="214">
        <v>1</v>
      </c>
      <c r="F150" s="2230">
        <v>0</v>
      </c>
      <c r="G150" s="221">
        <f t="shared" si="7"/>
        <v>0</v>
      </c>
    </row>
    <row r="151" spans="2:7">
      <c r="B151" s="218"/>
      <c r="C151" s="234" t="s">
        <v>190</v>
      </c>
      <c r="D151" s="1228" t="s">
        <v>66</v>
      </c>
      <c r="E151" s="214">
        <v>1</v>
      </c>
      <c r="F151" s="2230">
        <v>0</v>
      </c>
      <c r="G151" s="221">
        <f t="shared" si="7"/>
        <v>0</v>
      </c>
    </row>
    <row r="152" spans="2:7">
      <c r="B152" s="218"/>
      <c r="C152" s="234" t="s">
        <v>132</v>
      </c>
      <c r="D152" s="1228" t="s">
        <v>66</v>
      </c>
      <c r="E152" s="214">
        <v>2</v>
      </c>
      <c r="F152" s="2230">
        <v>0</v>
      </c>
      <c r="G152" s="221">
        <f t="shared" si="7"/>
        <v>0</v>
      </c>
    </row>
    <row r="153" spans="2:7">
      <c r="B153" s="218"/>
      <c r="C153" s="234" t="s">
        <v>148</v>
      </c>
      <c r="D153" s="1228" t="s">
        <v>66</v>
      </c>
      <c r="E153" s="214">
        <v>2</v>
      </c>
      <c r="F153" s="2230">
        <v>0</v>
      </c>
      <c r="G153" s="221">
        <f t="shared" si="7"/>
        <v>0</v>
      </c>
    </row>
    <row r="154" spans="2:7">
      <c r="B154" s="218"/>
      <c r="C154" s="234" t="s">
        <v>150</v>
      </c>
      <c r="D154" s="1228" t="s">
        <v>66</v>
      </c>
      <c r="E154" s="214">
        <v>1</v>
      </c>
      <c r="F154" s="2230">
        <v>0</v>
      </c>
      <c r="G154" s="221">
        <f t="shared" si="7"/>
        <v>0</v>
      </c>
    </row>
    <row r="155" spans="2:7">
      <c r="B155" s="218"/>
      <c r="C155" s="235" t="s">
        <v>135</v>
      </c>
      <c r="D155" s="1228" t="s">
        <v>66</v>
      </c>
      <c r="E155" s="214">
        <v>1</v>
      </c>
      <c r="F155" s="2230">
        <v>0</v>
      </c>
      <c r="G155" s="221">
        <f t="shared" si="7"/>
        <v>0</v>
      </c>
    </row>
    <row r="156" spans="2:7" ht="24">
      <c r="B156" s="199" t="s">
        <v>331</v>
      </c>
      <c r="C156" s="212" t="s">
        <v>332</v>
      </c>
      <c r="D156" s="2239" t="s">
        <v>66</v>
      </c>
      <c r="E156" s="736">
        <v>1</v>
      </c>
      <c r="F156" s="1126">
        <v>0</v>
      </c>
      <c r="G156" s="1121">
        <f>E156*F156</f>
        <v>0</v>
      </c>
    </row>
    <row r="157" spans="2:7">
      <c r="B157" s="201" t="s">
        <v>168</v>
      </c>
      <c r="C157" s="223" t="s">
        <v>886</v>
      </c>
      <c r="D157" s="1232"/>
      <c r="E157" s="225"/>
      <c r="F157" s="226"/>
      <c r="G157" s="227"/>
    </row>
    <row r="158" spans="2:7">
      <c r="B158" s="218"/>
      <c r="C158" s="223" t="s">
        <v>220</v>
      </c>
      <c r="D158" s="2240"/>
      <c r="E158" s="738"/>
      <c r="F158" s="1648"/>
      <c r="G158" s="1651"/>
    </row>
    <row r="159" spans="2:7" ht="24">
      <c r="B159" s="218"/>
      <c r="C159" s="228" t="s">
        <v>2249</v>
      </c>
      <c r="D159" s="1232" t="s">
        <v>66</v>
      </c>
      <c r="E159" s="225">
        <v>5</v>
      </c>
      <c r="F159" s="1768">
        <v>0</v>
      </c>
      <c r="G159" s="1714">
        <f t="shared" ref="G159:G179" si="8">E159*F159</f>
        <v>0</v>
      </c>
    </row>
    <row r="160" spans="2:7">
      <c r="B160" s="218"/>
      <c r="C160" s="739" t="s">
        <v>184</v>
      </c>
      <c r="D160" s="1232" t="s">
        <v>66</v>
      </c>
      <c r="E160" s="225">
        <v>10</v>
      </c>
      <c r="F160" s="1768">
        <v>0</v>
      </c>
      <c r="G160" s="1714">
        <f t="shared" si="8"/>
        <v>0</v>
      </c>
    </row>
    <row r="161" spans="2:7">
      <c r="B161" s="218"/>
      <c r="C161" s="739" t="s">
        <v>132</v>
      </c>
      <c r="D161" s="1232" t="s">
        <v>66</v>
      </c>
      <c r="E161" s="225">
        <v>5</v>
      </c>
      <c r="F161" s="1768">
        <v>0</v>
      </c>
      <c r="G161" s="1714">
        <f t="shared" si="8"/>
        <v>0</v>
      </c>
    </row>
    <row r="162" spans="2:7">
      <c r="B162" s="218"/>
      <c r="C162" s="739" t="s">
        <v>150</v>
      </c>
      <c r="D162" s="1232" t="s">
        <v>66</v>
      </c>
      <c r="E162" s="225">
        <v>5</v>
      </c>
      <c r="F162" s="1768">
        <v>0</v>
      </c>
      <c r="G162" s="1714">
        <f t="shared" si="8"/>
        <v>0</v>
      </c>
    </row>
    <row r="163" spans="2:7">
      <c r="B163" s="218"/>
      <c r="C163" s="740" t="s">
        <v>135</v>
      </c>
      <c r="D163" s="1232" t="s">
        <v>66</v>
      </c>
      <c r="E163" s="225">
        <v>5</v>
      </c>
      <c r="F163" s="1768">
        <v>0</v>
      </c>
      <c r="G163" s="1714">
        <f t="shared" si="8"/>
        <v>0</v>
      </c>
    </row>
    <row r="164" spans="2:7">
      <c r="B164" s="218"/>
      <c r="C164" s="223" t="s">
        <v>196</v>
      </c>
      <c r="D164" s="2240"/>
      <c r="E164" s="738"/>
      <c r="F164" s="1768"/>
      <c r="G164" s="1714"/>
    </row>
    <row r="165" spans="2:7" ht="24">
      <c r="B165" s="218"/>
      <c r="C165" s="228" t="s">
        <v>2248</v>
      </c>
      <c r="D165" s="1232" t="s">
        <v>66</v>
      </c>
      <c r="E165" s="225">
        <v>1</v>
      </c>
      <c r="F165" s="1768">
        <v>0</v>
      </c>
      <c r="G165" s="1714">
        <f t="shared" si="8"/>
        <v>0</v>
      </c>
    </row>
    <row r="166" spans="2:7">
      <c r="B166" s="218"/>
      <c r="C166" s="232" t="s">
        <v>132</v>
      </c>
      <c r="D166" s="1232" t="s">
        <v>66</v>
      </c>
      <c r="E166" s="225">
        <v>3</v>
      </c>
      <c r="F166" s="1768">
        <v>0</v>
      </c>
      <c r="G166" s="1714">
        <f t="shared" si="8"/>
        <v>0</v>
      </c>
    </row>
    <row r="167" spans="2:7">
      <c r="B167" s="218"/>
      <c r="C167" s="232" t="s">
        <v>148</v>
      </c>
      <c r="D167" s="1232" t="s">
        <v>66</v>
      </c>
      <c r="E167" s="225">
        <v>3</v>
      </c>
      <c r="F167" s="1768">
        <v>0</v>
      </c>
      <c r="G167" s="1714">
        <f t="shared" si="8"/>
        <v>0</v>
      </c>
    </row>
    <row r="168" spans="2:7">
      <c r="B168" s="218"/>
      <c r="C168" s="232" t="s">
        <v>150</v>
      </c>
      <c r="D168" s="1232" t="s">
        <v>66</v>
      </c>
      <c r="E168" s="225">
        <v>1</v>
      </c>
      <c r="F168" s="1768">
        <v>0</v>
      </c>
      <c r="G168" s="1714">
        <f t="shared" si="8"/>
        <v>0</v>
      </c>
    </row>
    <row r="169" spans="2:7">
      <c r="B169" s="218"/>
      <c r="C169" s="233" t="s">
        <v>135</v>
      </c>
      <c r="D169" s="1232" t="s">
        <v>66</v>
      </c>
      <c r="E169" s="225">
        <v>1</v>
      </c>
      <c r="F169" s="1768">
        <v>0</v>
      </c>
      <c r="G169" s="1714">
        <f t="shared" si="8"/>
        <v>0</v>
      </c>
    </row>
    <row r="170" spans="2:7">
      <c r="B170" s="218"/>
      <c r="C170" s="223" t="s">
        <v>228</v>
      </c>
      <c r="D170" s="2240"/>
      <c r="E170" s="738"/>
      <c r="F170" s="1768"/>
      <c r="G170" s="1714"/>
    </row>
    <row r="171" spans="2:7" ht="24">
      <c r="B171" s="218"/>
      <c r="C171" s="228" t="s">
        <v>2247</v>
      </c>
      <c r="D171" s="1232" t="s">
        <v>66</v>
      </c>
      <c r="E171" s="225">
        <v>6</v>
      </c>
      <c r="F171" s="1768">
        <v>0</v>
      </c>
      <c r="G171" s="1714">
        <f t="shared" si="8"/>
        <v>0</v>
      </c>
    </row>
    <row r="172" spans="2:7">
      <c r="B172" s="218"/>
      <c r="C172" s="739" t="s">
        <v>132</v>
      </c>
      <c r="D172" s="1232" t="s">
        <v>66</v>
      </c>
      <c r="E172" s="225">
        <v>12</v>
      </c>
      <c r="F172" s="1768">
        <v>0</v>
      </c>
      <c r="G172" s="1714">
        <f t="shared" si="8"/>
        <v>0</v>
      </c>
    </row>
    <row r="173" spans="2:7">
      <c r="B173" s="218"/>
      <c r="C173" s="739" t="s">
        <v>166</v>
      </c>
      <c r="D173" s="1232" t="s">
        <v>66</v>
      </c>
      <c r="E173" s="225">
        <v>6</v>
      </c>
      <c r="F173" s="1768">
        <v>0</v>
      </c>
      <c r="G173" s="1714">
        <f t="shared" si="8"/>
        <v>0</v>
      </c>
    </row>
    <row r="174" spans="2:7">
      <c r="B174" s="218"/>
      <c r="C174" s="739" t="s">
        <v>148</v>
      </c>
      <c r="D174" s="1232" t="s">
        <v>66</v>
      </c>
      <c r="E174" s="225">
        <v>12</v>
      </c>
      <c r="F174" s="1768">
        <v>0</v>
      </c>
      <c r="G174" s="1714">
        <f t="shared" si="8"/>
        <v>0</v>
      </c>
    </row>
    <row r="175" spans="2:7">
      <c r="B175" s="218"/>
      <c r="C175" s="739" t="s">
        <v>167</v>
      </c>
      <c r="D175" s="1232" t="s">
        <v>66</v>
      </c>
      <c r="E175" s="225">
        <v>6</v>
      </c>
      <c r="F175" s="1768">
        <v>0</v>
      </c>
      <c r="G175" s="1714">
        <f t="shared" si="8"/>
        <v>0</v>
      </c>
    </row>
    <row r="176" spans="2:7">
      <c r="B176" s="218"/>
      <c r="C176" s="739" t="s">
        <v>229</v>
      </c>
      <c r="D176" s="1232" t="s">
        <v>66</v>
      </c>
      <c r="E176" s="225">
        <v>6</v>
      </c>
      <c r="F176" s="1768">
        <v>0</v>
      </c>
      <c r="G176" s="1714">
        <f t="shared" si="8"/>
        <v>0</v>
      </c>
    </row>
    <row r="177" spans="2:8">
      <c r="B177" s="218"/>
      <c r="C177" s="739" t="s">
        <v>230</v>
      </c>
      <c r="D177" s="1232" t="s">
        <v>66</v>
      </c>
      <c r="E177" s="225">
        <v>6</v>
      </c>
      <c r="F177" s="1768">
        <v>0</v>
      </c>
      <c r="G177" s="1714">
        <f t="shared" si="8"/>
        <v>0</v>
      </c>
    </row>
    <row r="178" spans="2:8">
      <c r="B178" s="218"/>
      <c r="C178" s="739" t="s">
        <v>150</v>
      </c>
      <c r="D178" s="1232" t="s">
        <v>66</v>
      </c>
      <c r="E178" s="225">
        <v>6</v>
      </c>
      <c r="F178" s="1768">
        <v>0</v>
      </c>
      <c r="G178" s="1714">
        <f t="shared" si="8"/>
        <v>0</v>
      </c>
    </row>
    <row r="179" spans="2:8">
      <c r="B179" s="218"/>
      <c r="C179" s="740" t="s">
        <v>135</v>
      </c>
      <c r="D179" s="1232" t="s">
        <v>66</v>
      </c>
      <c r="E179" s="225">
        <v>6</v>
      </c>
      <c r="F179" s="1768">
        <v>0</v>
      </c>
      <c r="G179" s="1714">
        <f t="shared" si="8"/>
        <v>0</v>
      </c>
    </row>
    <row r="180" spans="2:8">
      <c r="B180" s="218"/>
      <c r="C180" s="223" t="s">
        <v>1395</v>
      </c>
      <c r="D180" s="2240"/>
      <c r="E180" s="738"/>
      <c r="F180" s="1605"/>
      <c r="G180" s="1646"/>
    </row>
    <row r="181" spans="2:8" s="217" customFormat="1">
      <c r="B181" s="218"/>
      <c r="C181" s="1655" t="s">
        <v>230</v>
      </c>
      <c r="D181" s="1232" t="s">
        <v>66</v>
      </c>
      <c r="E181" s="225">
        <v>3</v>
      </c>
      <c r="F181" s="1768">
        <v>0</v>
      </c>
      <c r="G181" s="1714">
        <f t="shared" ref="G181:G183" si="9">E181*F181</f>
        <v>0</v>
      </c>
      <c r="H181" s="1703"/>
    </row>
    <row r="182" spans="2:8" s="217" customFormat="1">
      <c r="B182" s="218"/>
      <c r="C182" s="1655" t="s">
        <v>2255</v>
      </c>
      <c r="D182" s="1232" t="s">
        <v>66</v>
      </c>
      <c r="E182" s="225">
        <v>3</v>
      </c>
      <c r="F182" s="1768">
        <v>0</v>
      </c>
      <c r="G182" s="1714">
        <f t="shared" si="9"/>
        <v>0</v>
      </c>
      <c r="H182" s="1703"/>
    </row>
    <row r="183" spans="2:8" s="217" customFormat="1">
      <c r="B183" s="218"/>
      <c r="C183" s="1655" t="s">
        <v>1444</v>
      </c>
      <c r="D183" s="1232" t="s">
        <v>66</v>
      </c>
      <c r="E183" s="225">
        <v>3</v>
      </c>
      <c r="F183" s="1768">
        <v>0</v>
      </c>
      <c r="G183" s="1714">
        <f t="shared" si="9"/>
        <v>0</v>
      </c>
      <c r="H183" s="1703"/>
    </row>
    <row r="184" spans="2:8">
      <c r="B184" s="201" t="s">
        <v>172</v>
      </c>
      <c r="C184" s="238" t="s">
        <v>169</v>
      </c>
      <c r="D184" s="260"/>
      <c r="E184" s="240"/>
      <c r="F184" s="241"/>
      <c r="G184" s="242"/>
    </row>
    <row r="185" spans="2:8">
      <c r="B185" s="218"/>
      <c r="C185" s="238" t="s">
        <v>198</v>
      </c>
      <c r="D185" s="185"/>
      <c r="E185" s="741"/>
      <c r="F185" s="1649"/>
      <c r="G185" s="263"/>
    </row>
    <row r="186" spans="2:8" ht="36">
      <c r="B186" s="218"/>
      <c r="C186" s="243" t="s">
        <v>2239</v>
      </c>
      <c r="D186" s="260" t="s">
        <v>66</v>
      </c>
      <c r="E186" s="240">
        <v>14</v>
      </c>
      <c r="F186" s="2242">
        <v>0</v>
      </c>
      <c r="G186" s="245">
        <f t="shared" ref="G186:G199" si="10">E186*F186</f>
        <v>0</v>
      </c>
    </row>
    <row r="187" spans="2:8">
      <c r="B187" s="218"/>
      <c r="C187" s="246" t="s">
        <v>171</v>
      </c>
      <c r="D187" s="260" t="s">
        <v>66</v>
      </c>
      <c r="E187" s="240">
        <v>14</v>
      </c>
      <c r="F187" s="2242">
        <v>0</v>
      </c>
      <c r="G187" s="245">
        <f t="shared" si="10"/>
        <v>0</v>
      </c>
    </row>
    <row r="188" spans="2:8">
      <c r="B188" s="218"/>
      <c r="C188" s="247" t="s">
        <v>135</v>
      </c>
      <c r="D188" s="260" t="s">
        <v>66</v>
      </c>
      <c r="E188" s="240">
        <v>14</v>
      </c>
      <c r="F188" s="2242">
        <v>0</v>
      </c>
      <c r="G188" s="245">
        <f t="shared" si="10"/>
        <v>0</v>
      </c>
    </row>
    <row r="189" spans="2:8">
      <c r="B189" s="218"/>
      <c r="C189" s="247" t="s">
        <v>891</v>
      </c>
      <c r="D189" s="260" t="s">
        <v>66</v>
      </c>
      <c r="E189" s="240">
        <v>14</v>
      </c>
      <c r="F189" s="2242">
        <v>0</v>
      </c>
      <c r="G189" s="245">
        <f t="shared" si="10"/>
        <v>0</v>
      </c>
    </row>
    <row r="190" spans="2:8">
      <c r="B190" s="218"/>
      <c r="C190" s="238" t="s">
        <v>170</v>
      </c>
      <c r="D190" s="185"/>
      <c r="E190" s="741"/>
      <c r="F190" s="2242"/>
      <c r="G190" s="245"/>
    </row>
    <row r="191" spans="2:8" ht="36">
      <c r="B191" s="218"/>
      <c r="C191" s="243" t="s">
        <v>2246</v>
      </c>
      <c r="D191" s="260" t="s">
        <v>66</v>
      </c>
      <c r="E191" s="240">
        <v>9</v>
      </c>
      <c r="F191" s="2242">
        <v>0</v>
      </c>
      <c r="G191" s="245">
        <f t="shared" si="10"/>
        <v>0</v>
      </c>
    </row>
    <row r="192" spans="2:8">
      <c r="B192" s="218"/>
      <c r="C192" s="1129" t="s">
        <v>171</v>
      </c>
      <c r="D192" s="260" t="s">
        <v>66</v>
      </c>
      <c r="E192" s="240">
        <v>9</v>
      </c>
      <c r="F192" s="2242">
        <v>0</v>
      </c>
      <c r="G192" s="245">
        <f t="shared" si="10"/>
        <v>0</v>
      </c>
    </row>
    <row r="193" spans="2:7">
      <c r="B193" s="218"/>
      <c r="C193" s="1130" t="s">
        <v>135</v>
      </c>
      <c r="D193" s="260" t="s">
        <v>66</v>
      </c>
      <c r="E193" s="240">
        <v>9</v>
      </c>
      <c r="F193" s="2242">
        <v>0</v>
      </c>
      <c r="G193" s="245">
        <f t="shared" si="10"/>
        <v>0</v>
      </c>
    </row>
    <row r="194" spans="2:7">
      <c r="B194" s="218"/>
      <c r="C194" s="247" t="s">
        <v>891</v>
      </c>
      <c r="D194" s="260" t="s">
        <v>66</v>
      </c>
      <c r="E194" s="240">
        <v>9</v>
      </c>
      <c r="F194" s="2242">
        <v>0</v>
      </c>
      <c r="G194" s="245">
        <f t="shared" si="10"/>
        <v>0</v>
      </c>
    </row>
    <row r="195" spans="2:7">
      <c r="B195" s="218"/>
      <c r="C195" s="238" t="s">
        <v>234</v>
      </c>
      <c r="D195" s="185"/>
      <c r="E195" s="741"/>
      <c r="F195" s="2242"/>
      <c r="G195" s="245"/>
    </row>
    <row r="196" spans="2:7" ht="36">
      <c r="B196" s="218"/>
      <c r="C196" s="243" t="s">
        <v>2245</v>
      </c>
      <c r="D196" s="260" t="s">
        <v>66</v>
      </c>
      <c r="E196" s="240">
        <v>27</v>
      </c>
      <c r="F196" s="2242">
        <v>0</v>
      </c>
      <c r="G196" s="245">
        <f t="shared" si="10"/>
        <v>0</v>
      </c>
    </row>
    <row r="197" spans="2:7">
      <c r="B197" s="218"/>
      <c r="C197" s="246" t="s">
        <v>171</v>
      </c>
      <c r="D197" s="260" t="s">
        <v>66</v>
      </c>
      <c r="E197" s="240">
        <v>27</v>
      </c>
      <c r="F197" s="2242">
        <v>0</v>
      </c>
      <c r="G197" s="245">
        <f t="shared" si="10"/>
        <v>0</v>
      </c>
    </row>
    <row r="198" spans="2:7">
      <c r="B198" s="218"/>
      <c r="C198" s="247" t="s">
        <v>135</v>
      </c>
      <c r="D198" s="260" t="s">
        <v>66</v>
      </c>
      <c r="E198" s="240">
        <v>27</v>
      </c>
      <c r="F198" s="2242">
        <v>0</v>
      </c>
      <c r="G198" s="245">
        <f t="shared" si="10"/>
        <v>0</v>
      </c>
    </row>
    <row r="199" spans="2:7">
      <c r="B199" s="218"/>
      <c r="C199" s="247" t="s">
        <v>891</v>
      </c>
      <c r="D199" s="260" t="s">
        <v>66</v>
      </c>
      <c r="E199" s="240">
        <v>27</v>
      </c>
      <c r="F199" s="2242">
        <v>0</v>
      </c>
      <c r="G199" s="245">
        <f t="shared" si="10"/>
        <v>0</v>
      </c>
    </row>
    <row r="200" spans="2:7">
      <c r="B200" s="201" t="s">
        <v>340</v>
      </c>
      <c r="C200" s="742" t="s">
        <v>173</v>
      </c>
      <c r="D200" s="743"/>
      <c r="E200" s="744"/>
      <c r="F200" s="1131"/>
      <c r="G200" s="1132"/>
    </row>
    <row r="201" spans="2:7" ht="60">
      <c r="B201" s="218"/>
      <c r="C201" s="745" t="s">
        <v>174</v>
      </c>
      <c r="D201" s="743" t="s">
        <v>66</v>
      </c>
      <c r="E201" s="747">
        <v>1</v>
      </c>
      <c r="F201" s="1172">
        <v>0</v>
      </c>
      <c r="G201" s="1173">
        <f>E201*F201</f>
        <v>0</v>
      </c>
    </row>
    <row r="202" spans="2:7">
      <c r="B202" s="258" t="s">
        <v>47</v>
      </c>
      <c r="C202" s="259" t="s">
        <v>1396</v>
      </c>
      <c r="D202" s="260"/>
      <c r="E202" s="261"/>
      <c r="F202" s="262"/>
      <c r="G202" s="263">
        <f>SUM(G80:G201)</f>
        <v>0</v>
      </c>
    </row>
  </sheetData>
  <mergeCells count="7">
    <mergeCell ref="B86:B89"/>
    <mergeCell ref="B43:G43"/>
    <mergeCell ref="B57:B58"/>
    <mergeCell ref="B59:B60"/>
    <mergeCell ref="B75:G75"/>
    <mergeCell ref="B76:G76"/>
    <mergeCell ref="B77:G77"/>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480BA-CD00-4030-8E92-597510043CD7}">
  <sheetPr>
    <tabColor rgb="FFFFC000"/>
  </sheetPr>
  <dimension ref="A1:AC160"/>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5.140625" style="66" customWidth="1"/>
    <col min="8" max="8" width="16" style="8" customWidth="1"/>
    <col min="9" max="9" width="17.710937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18</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G160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1100</v>
      </c>
      <c r="F23" s="141">
        <v>0</v>
      </c>
      <c r="G23" s="142">
        <f t="shared" ref="G23" si="0">E23*F23</f>
        <v>0</v>
      </c>
    </row>
    <row r="24" spans="2:29">
      <c r="B24" s="125">
        <v>2</v>
      </c>
      <c r="C24" s="139" t="s">
        <v>58</v>
      </c>
      <c r="D24" s="140" t="s">
        <v>57</v>
      </c>
      <c r="E24" s="128">
        <v>1100</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1100</v>
      </c>
      <c r="F28" s="141">
        <v>0</v>
      </c>
      <c r="G28" s="142">
        <f t="shared" si="1"/>
        <v>0</v>
      </c>
    </row>
    <row r="29" spans="2:29" ht="52.5" customHeight="1">
      <c r="B29" s="125">
        <v>7</v>
      </c>
      <c r="C29" s="147" t="s">
        <v>64</v>
      </c>
      <c r="D29" s="146" t="s">
        <v>60</v>
      </c>
      <c r="E29" s="128">
        <v>1</v>
      </c>
      <c r="F29" s="141">
        <v>0</v>
      </c>
      <c r="G29" s="142">
        <f t="shared" si="1"/>
        <v>0</v>
      </c>
    </row>
    <row r="30" spans="2:29" ht="54.75" customHeight="1">
      <c r="B30" s="125">
        <v>8</v>
      </c>
      <c r="C30" s="1080" t="s">
        <v>2292</v>
      </c>
      <c r="D30" s="146" t="s">
        <v>66</v>
      </c>
      <c r="E30" s="128">
        <v>57</v>
      </c>
      <c r="F30" s="141">
        <v>0</v>
      </c>
      <c r="G30" s="142">
        <f t="shared" si="1"/>
        <v>0</v>
      </c>
    </row>
    <row r="31" spans="2:29" ht="38.25" customHeight="1">
      <c r="B31" s="125">
        <v>9</v>
      </c>
      <c r="C31" s="1080" t="s">
        <v>2294</v>
      </c>
      <c r="D31" s="146" t="s">
        <v>57</v>
      </c>
      <c r="E31" s="128">
        <v>1398</v>
      </c>
      <c r="F31" s="141">
        <v>0</v>
      </c>
      <c r="G31" s="142">
        <f t="shared" si="1"/>
        <v>0</v>
      </c>
      <c r="H31" s="143"/>
    </row>
    <row r="32" spans="2:29" ht="27.75" customHeight="1">
      <c r="B32" s="125">
        <v>10</v>
      </c>
      <c r="C32" s="1080" t="s">
        <v>2293</v>
      </c>
      <c r="D32" s="146" t="s">
        <v>57</v>
      </c>
      <c r="E32" s="128">
        <v>1398</v>
      </c>
      <c r="F32" s="141">
        <v>0</v>
      </c>
      <c r="G32" s="142">
        <f t="shared" si="1"/>
        <v>0</v>
      </c>
    </row>
    <row r="33" spans="2:25" ht="14.25" customHeight="1">
      <c r="B33" s="125">
        <v>11</v>
      </c>
      <c r="C33" s="147" t="s">
        <v>67</v>
      </c>
      <c r="D33" s="146" t="s">
        <v>60</v>
      </c>
      <c r="E33" s="128">
        <v>1</v>
      </c>
      <c r="F33" s="141">
        <v>0</v>
      </c>
      <c r="G33" s="142">
        <f t="shared" si="1"/>
        <v>0</v>
      </c>
    </row>
    <row r="34" spans="2:25"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c r="W34" s="8"/>
      <c r="X34" s="8"/>
      <c r="Y34" s="8"/>
    </row>
    <row r="35" spans="2:25" ht="38.25" customHeight="1">
      <c r="B35" s="125">
        <v>13</v>
      </c>
      <c r="C35" s="150" t="s">
        <v>69</v>
      </c>
      <c r="D35" s="146" t="s">
        <v>60</v>
      </c>
      <c r="E35" s="149">
        <v>2</v>
      </c>
      <c r="F35" s="141">
        <v>0</v>
      </c>
      <c r="G35" s="142">
        <f t="shared" si="1"/>
        <v>0</v>
      </c>
      <c r="I35" s="8"/>
      <c r="J35" s="8"/>
      <c r="K35" s="8"/>
      <c r="L35" s="8"/>
      <c r="M35" s="8"/>
      <c r="N35" s="8"/>
      <c r="O35" s="8"/>
      <c r="P35" s="8"/>
      <c r="Q35" s="8"/>
      <c r="R35" s="8"/>
      <c r="S35" s="8"/>
      <c r="T35" s="8"/>
      <c r="U35" s="8"/>
      <c r="V35" s="8"/>
      <c r="W35" s="8"/>
      <c r="X35" s="8"/>
      <c r="Y35" s="8"/>
    </row>
    <row r="36" spans="2:25">
      <c r="B36" s="151" t="s">
        <v>43</v>
      </c>
      <c r="C36" s="152" t="s">
        <v>70</v>
      </c>
      <c r="D36" s="153"/>
      <c r="E36" s="154"/>
      <c r="F36" s="155"/>
      <c r="G36" s="156">
        <f>SUM(G23:G35)</f>
        <v>0</v>
      </c>
      <c r="I36" s="8"/>
      <c r="J36" s="8"/>
      <c r="K36" s="8"/>
      <c r="L36" s="8"/>
      <c r="M36" s="8"/>
      <c r="N36" s="8"/>
      <c r="O36" s="8"/>
      <c r="P36" s="8"/>
      <c r="Q36" s="8"/>
      <c r="R36" s="8"/>
      <c r="S36" s="8"/>
      <c r="T36" s="8"/>
      <c r="U36" s="8"/>
      <c r="V36" s="8"/>
      <c r="W36" s="8"/>
      <c r="X36" s="8"/>
      <c r="Y36" s="8"/>
    </row>
    <row r="37" spans="2:25">
      <c r="B37" s="125"/>
      <c r="C37" s="126"/>
      <c r="D37" s="127"/>
      <c r="E37" s="128"/>
      <c r="F37" s="129"/>
      <c r="G37" s="130"/>
      <c r="I37" s="8"/>
      <c r="J37" s="8"/>
      <c r="K37" s="8"/>
      <c r="L37" s="8"/>
      <c r="M37" s="8"/>
      <c r="N37" s="8"/>
      <c r="O37" s="8"/>
      <c r="P37" s="8"/>
      <c r="Q37" s="8"/>
      <c r="R37" s="8"/>
      <c r="S37" s="8"/>
      <c r="T37" s="8"/>
      <c r="U37" s="8"/>
      <c r="V37" s="8"/>
      <c r="W37" s="8"/>
      <c r="X37" s="8"/>
      <c r="Y37" s="8"/>
    </row>
    <row r="38" spans="2:25" ht="24">
      <c r="B38" s="157" t="s">
        <v>50</v>
      </c>
      <c r="C38" s="158" t="s">
        <v>51</v>
      </c>
      <c r="D38" s="159" t="s">
        <v>52</v>
      </c>
      <c r="E38" s="160" t="s">
        <v>53</v>
      </c>
      <c r="F38" s="161" t="s">
        <v>54</v>
      </c>
      <c r="G38" s="162" t="s">
        <v>55</v>
      </c>
      <c r="I38" s="8"/>
      <c r="J38" s="8"/>
      <c r="K38" s="8"/>
      <c r="L38" s="8"/>
      <c r="M38" s="8"/>
      <c r="N38" s="8"/>
      <c r="O38" s="8"/>
      <c r="P38" s="8"/>
      <c r="Q38" s="8"/>
      <c r="R38" s="8"/>
      <c r="S38" s="8"/>
      <c r="T38" s="8"/>
      <c r="U38" s="8"/>
      <c r="V38" s="8"/>
      <c r="W38" s="8"/>
      <c r="X38" s="8"/>
      <c r="Y38" s="8"/>
    </row>
    <row r="39" spans="2:25">
      <c r="B39" s="125"/>
      <c r="C39" s="163"/>
      <c r="D39" s="140"/>
      <c r="E39" s="128"/>
      <c r="F39" s="129"/>
      <c r="G39" s="130"/>
      <c r="I39" s="8"/>
      <c r="J39" s="8"/>
      <c r="K39" s="8"/>
      <c r="L39" s="8"/>
      <c r="M39" s="8"/>
      <c r="N39" s="8"/>
      <c r="O39" s="8"/>
      <c r="P39" s="8"/>
      <c r="Q39" s="8"/>
      <c r="R39" s="8"/>
      <c r="S39" s="8"/>
      <c r="T39" s="8"/>
      <c r="U39" s="8"/>
      <c r="V39" s="8"/>
      <c r="W39" s="8"/>
      <c r="X39" s="8"/>
      <c r="Y39" s="8"/>
    </row>
    <row r="40" spans="2:25" s="138" customFormat="1" ht="20.25">
      <c r="B40" s="131" t="s">
        <v>45</v>
      </c>
      <c r="C40" s="164" t="s">
        <v>71</v>
      </c>
      <c r="D40" s="165"/>
      <c r="E40" s="134"/>
      <c r="F40" s="135"/>
      <c r="G40" s="136"/>
      <c r="H40" s="8"/>
      <c r="I40" s="8"/>
      <c r="J40" s="8"/>
      <c r="K40" s="8"/>
      <c r="L40" s="8"/>
      <c r="M40" s="8"/>
      <c r="N40" s="8"/>
      <c r="O40" s="8"/>
      <c r="P40" s="8"/>
      <c r="Q40" s="8"/>
      <c r="R40" s="8"/>
      <c r="S40" s="8"/>
      <c r="T40" s="8"/>
      <c r="U40" s="8"/>
      <c r="V40" s="8"/>
      <c r="W40" s="8"/>
      <c r="X40" s="8"/>
      <c r="Y40" s="8"/>
    </row>
    <row r="41" spans="2:25" s="166" customFormat="1" ht="71.25" customHeight="1">
      <c r="B41" s="2399" t="s">
        <v>72</v>
      </c>
      <c r="C41" s="2400"/>
      <c r="D41" s="2400"/>
      <c r="E41" s="2400"/>
      <c r="F41" s="2400"/>
      <c r="G41" s="2401"/>
      <c r="H41" s="8"/>
      <c r="I41" s="8"/>
      <c r="J41" s="8"/>
      <c r="K41" s="8"/>
      <c r="L41" s="8"/>
      <c r="M41" s="8"/>
      <c r="N41" s="8"/>
      <c r="O41" s="8"/>
      <c r="P41" s="8"/>
      <c r="Q41" s="8"/>
      <c r="R41" s="8"/>
      <c r="S41" s="8"/>
      <c r="T41" s="8"/>
      <c r="U41" s="8"/>
      <c r="V41" s="8"/>
      <c r="W41" s="8"/>
      <c r="X41" s="8"/>
      <c r="Y41" s="8"/>
    </row>
    <row r="42" spans="2:25" ht="24">
      <c r="B42" s="167">
        <v>1</v>
      </c>
      <c r="C42" s="139" t="s">
        <v>73</v>
      </c>
      <c r="D42" s="140" t="s">
        <v>74</v>
      </c>
      <c r="E42" s="128">
        <v>55</v>
      </c>
      <c r="F42" s="141">
        <v>0</v>
      </c>
      <c r="G42" s="142">
        <f t="shared" ref="G42:G67" si="2">E42*F42</f>
        <v>0</v>
      </c>
      <c r="I42" s="8"/>
      <c r="J42" s="8"/>
      <c r="K42" s="8"/>
      <c r="L42" s="8"/>
      <c r="M42" s="8"/>
      <c r="N42" s="8"/>
      <c r="O42" s="8"/>
      <c r="P42" s="8"/>
      <c r="Q42" s="8"/>
      <c r="R42" s="8"/>
      <c r="S42" s="8"/>
      <c r="T42" s="8"/>
      <c r="U42" s="8"/>
      <c r="V42" s="8"/>
      <c r="W42" s="8"/>
      <c r="X42" s="8"/>
      <c r="Y42" s="8"/>
    </row>
    <row r="43" spans="2:25" ht="36">
      <c r="B43" s="167">
        <v>2</v>
      </c>
      <c r="C43" s="139" t="s">
        <v>75</v>
      </c>
      <c r="D43" s="145" t="s">
        <v>74</v>
      </c>
      <c r="E43" s="128">
        <v>37</v>
      </c>
      <c r="F43" s="141">
        <v>0</v>
      </c>
      <c r="G43" s="142">
        <f t="shared" si="2"/>
        <v>0</v>
      </c>
      <c r="I43" s="8"/>
      <c r="J43" s="8"/>
      <c r="K43" s="8"/>
      <c r="L43" s="8"/>
      <c r="M43" s="8"/>
      <c r="N43" s="8"/>
      <c r="O43" s="8"/>
      <c r="P43" s="8"/>
      <c r="Q43" s="8"/>
      <c r="R43" s="8"/>
      <c r="S43" s="8"/>
      <c r="T43" s="8"/>
      <c r="U43" s="8"/>
      <c r="V43" s="8"/>
      <c r="W43" s="8"/>
      <c r="X43" s="8"/>
      <c r="Y43" s="8"/>
    </row>
    <row r="44" spans="2:25" ht="39.75" customHeight="1">
      <c r="B44" s="167">
        <v>3</v>
      </c>
      <c r="C44" s="139" t="s">
        <v>76</v>
      </c>
      <c r="D44" s="145" t="s">
        <v>74</v>
      </c>
      <c r="E44" s="128">
        <v>1823</v>
      </c>
      <c r="F44" s="141">
        <v>0</v>
      </c>
      <c r="G44" s="142">
        <f t="shared" si="2"/>
        <v>0</v>
      </c>
      <c r="I44" s="8"/>
      <c r="J44" s="8"/>
      <c r="K44" s="8"/>
      <c r="L44" s="8"/>
      <c r="M44" s="8"/>
      <c r="N44" s="8"/>
      <c r="O44" s="8"/>
      <c r="P44" s="8"/>
      <c r="Q44" s="8"/>
      <c r="R44" s="8"/>
      <c r="S44" s="8"/>
      <c r="T44" s="8"/>
      <c r="U44" s="8"/>
      <c r="V44" s="8"/>
      <c r="W44" s="8"/>
      <c r="X44" s="8"/>
      <c r="Y44" s="8"/>
    </row>
    <row r="45" spans="2:25" ht="24">
      <c r="B45" s="167">
        <v>4</v>
      </c>
      <c r="C45" s="168" t="s">
        <v>77</v>
      </c>
      <c r="D45" s="169" t="s">
        <v>78</v>
      </c>
      <c r="E45" s="170">
        <v>4116</v>
      </c>
      <c r="F45" s="141">
        <v>0</v>
      </c>
      <c r="G45" s="142">
        <f t="shared" si="2"/>
        <v>0</v>
      </c>
      <c r="I45" s="8"/>
      <c r="J45" s="8"/>
      <c r="K45" s="8"/>
      <c r="L45" s="8"/>
      <c r="M45" s="8"/>
      <c r="N45" s="8"/>
      <c r="O45" s="8"/>
      <c r="P45" s="8"/>
      <c r="Q45" s="8"/>
      <c r="R45" s="8"/>
      <c r="S45" s="8"/>
      <c r="T45" s="8"/>
      <c r="U45" s="8"/>
      <c r="V45" s="8"/>
      <c r="W45" s="8"/>
      <c r="X45" s="8"/>
      <c r="Y45" s="8"/>
    </row>
    <row r="46" spans="2:25" ht="29.25" customHeight="1">
      <c r="B46" s="167">
        <v>5</v>
      </c>
      <c r="C46" s="139" t="s">
        <v>79</v>
      </c>
      <c r="D46" s="145" t="s">
        <v>78</v>
      </c>
      <c r="E46" s="128">
        <v>1249</v>
      </c>
      <c r="F46" s="141">
        <v>0</v>
      </c>
      <c r="G46" s="142">
        <f t="shared" si="2"/>
        <v>0</v>
      </c>
      <c r="I46" s="8"/>
      <c r="J46" s="8"/>
      <c r="K46" s="8"/>
      <c r="L46" s="8"/>
      <c r="M46" s="8"/>
      <c r="N46" s="8"/>
      <c r="O46" s="8"/>
      <c r="P46" s="8"/>
      <c r="Q46" s="8"/>
      <c r="R46" s="8"/>
      <c r="S46" s="8"/>
      <c r="T46" s="8"/>
      <c r="U46" s="8"/>
      <c r="V46" s="8"/>
      <c r="W46" s="8"/>
      <c r="X46" s="8"/>
      <c r="Y46" s="8"/>
    </row>
    <row r="47" spans="2:25" ht="27" customHeight="1">
      <c r="B47" s="167">
        <v>6</v>
      </c>
      <c r="C47" s="139" t="s">
        <v>80</v>
      </c>
      <c r="D47" s="145" t="s">
        <v>74</v>
      </c>
      <c r="E47" s="128">
        <v>375</v>
      </c>
      <c r="F47" s="141">
        <v>0</v>
      </c>
      <c r="G47" s="142">
        <f t="shared" si="2"/>
        <v>0</v>
      </c>
      <c r="I47" s="8"/>
      <c r="J47" s="8"/>
      <c r="K47" s="8"/>
      <c r="L47" s="8"/>
      <c r="M47" s="8"/>
      <c r="N47" s="8"/>
      <c r="O47" s="8"/>
      <c r="P47" s="8"/>
      <c r="Q47" s="8"/>
      <c r="R47" s="8"/>
      <c r="S47" s="8"/>
      <c r="T47" s="8"/>
      <c r="U47" s="8"/>
      <c r="V47" s="8"/>
      <c r="W47" s="8"/>
      <c r="X47" s="8"/>
      <c r="Y47" s="8"/>
    </row>
    <row r="48" spans="2:25" s="176" customFormat="1" ht="36">
      <c r="B48" s="167">
        <v>7</v>
      </c>
      <c r="C48" s="171" t="s">
        <v>81</v>
      </c>
      <c r="D48" s="172" t="s">
        <v>74</v>
      </c>
      <c r="E48" s="173">
        <v>915</v>
      </c>
      <c r="F48" s="141">
        <v>0</v>
      </c>
      <c r="G48" s="175">
        <f t="shared" si="2"/>
        <v>0</v>
      </c>
      <c r="H48" s="8"/>
      <c r="I48" s="8"/>
      <c r="J48" s="8"/>
      <c r="K48" s="8"/>
      <c r="L48" s="8"/>
      <c r="M48" s="8"/>
      <c r="N48" s="8"/>
      <c r="O48" s="8"/>
      <c r="P48" s="8"/>
      <c r="Q48" s="8"/>
      <c r="R48" s="8"/>
      <c r="S48" s="8"/>
      <c r="T48" s="8"/>
      <c r="U48" s="8"/>
      <c r="V48" s="8"/>
      <c r="W48" s="8"/>
      <c r="X48" s="8"/>
      <c r="Y48" s="8"/>
    </row>
    <row r="49" spans="2:25" s="166" customFormat="1" ht="36">
      <c r="B49" s="167">
        <v>8</v>
      </c>
      <c r="C49" s="274" t="s">
        <v>82</v>
      </c>
      <c r="D49" s="275" t="s">
        <v>74</v>
      </c>
      <c r="E49" s="173">
        <v>625</v>
      </c>
      <c r="F49" s="141">
        <v>0</v>
      </c>
      <c r="G49" s="175">
        <f t="shared" si="2"/>
        <v>0</v>
      </c>
      <c r="H49" s="8"/>
      <c r="I49" s="8"/>
      <c r="J49" s="8"/>
      <c r="K49" s="8"/>
      <c r="L49" s="8"/>
      <c r="M49" s="8"/>
      <c r="N49" s="8"/>
      <c r="O49" s="8"/>
      <c r="P49" s="8"/>
      <c r="Q49" s="8"/>
      <c r="R49" s="8"/>
      <c r="S49" s="8"/>
      <c r="T49" s="8"/>
      <c r="U49" s="8"/>
      <c r="V49" s="8"/>
      <c r="W49" s="8"/>
      <c r="X49" s="8"/>
      <c r="Y49" s="8"/>
    </row>
    <row r="50" spans="2:25" s="179" customFormat="1" ht="51" customHeight="1">
      <c r="B50" s="2406">
        <v>9</v>
      </c>
      <c r="C50" s="276" t="s">
        <v>83</v>
      </c>
      <c r="D50" s="277"/>
      <c r="E50" s="173"/>
      <c r="F50" s="174"/>
      <c r="G50" s="175"/>
      <c r="H50" s="8"/>
      <c r="I50" s="8"/>
      <c r="J50" s="8"/>
      <c r="K50" s="8"/>
      <c r="L50" s="8"/>
      <c r="M50" s="8"/>
      <c r="N50" s="8"/>
      <c r="O50" s="8"/>
      <c r="P50" s="8"/>
      <c r="Q50" s="8"/>
      <c r="R50" s="8"/>
      <c r="S50" s="8"/>
      <c r="T50" s="8"/>
      <c r="U50" s="8"/>
      <c r="V50" s="8"/>
      <c r="W50" s="8"/>
      <c r="X50" s="8"/>
      <c r="Y50" s="8"/>
    </row>
    <row r="51" spans="2:25" s="179" customFormat="1" ht="15" customHeight="1">
      <c r="B51" s="2407"/>
      <c r="C51" s="276" t="s">
        <v>84</v>
      </c>
      <c r="D51" s="277" t="s">
        <v>57</v>
      </c>
      <c r="E51" s="173">
        <v>5</v>
      </c>
      <c r="F51" s="174">
        <v>0</v>
      </c>
      <c r="G51" s="175">
        <f t="shared" ref="G51" si="3">E51*F51</f>
        <v>0</v>
      </c>
      <c r="H51" s="8"/>
      <c r="I51" s="8"/>
      <c r="J51" s="8"/>
      <c r="K51" s="8"/>
      <c r="L51" s="8"/>
      <c r="M51" s="8"/>
      <c r="N51" s="8"/>
      <c r="O51" s="8"/>
      <c r="P51" s="8"/>
      <c r="Q51" s="8"/>
      <c r="R51" s="8"/>
      <c r="S51" s="8"/>
      <c r="T51" s="8"/>
      <c r="U51" s="8"/>
      <c r="V51" s="8"/>
      <c r="W51" s="8"/>
      <c r="X51" s="8"/>
      <c r="Y51" s="8"/>
    </row>
    <row r="52" spans="2:25" ht="25.5" customHeight="1">
      <c r="B52" s="167">
        <v>10</v>
      </c>
      <c r="C52" s="171" t="s">
        <v>85</v>
      </c>
      <c r="D52" s="172" t="s">
        <v>57</v>
      </c>
      <c r="E52" s="173">
        <v>1796</v>
      </c>
      <c r="F52" s="174">
        <v>0</v>
      </c>
      <c r="G52" s="175">
        <f t="shared" si="2"/>
        <v>0</v>
      </c>
      <c r="I52" s="8"/>
      <c r="J52" s="8"/>
      <c r="K52" s="8"/>
      <c r="L52" s="8"/>
      <c r="M52" s="8"/>
      <c r="N52" s="8"/>
      <c r="O52" s="8"/>
      <c r="P52" s="8"/>
      <c r="Q52" s="8"/>
      <c r="R52" s="8"/>
      <c r="S52" s="8"/>
      <c r="T52" s="8"/>
      <c r="U52" s="8"/>
      <c r="V52" s="8"/>
      <c r="W52" s="8"/>
      <c r="X52" s="8"/>
      <c r="Y52" s="8"/>
    </row>
    <row r="53" spans="2:25" ht="24">
      <c r="B53" s="167">
        <v>11</v>
      </c>
      <c r="C53" s="171" t="s">
        <v>86</v>
      </c>
      <c r="D53" s="277" t="s">
        <v>78</v>
      </c>
      <c r="E53" s="173">
        <v>1799</v>
      </c>
      <c r="F53" s="174">
        <v>0</v>
      </c>
      <c r="G53" s="175">
        <f t="shared" si="2"/>
        <v>0</v>
      </c>
      <c r="I53" s="8"/>
      <c r="J53" s="8"/>
      <c r="K53" s="8"/>
      <c r="L53" s="8"/>
      <c r="M53" s="8"/>
      <c r="N53" s="8"/>
      <c r="O53" s="8"/>
      <c r="P53" s="8"/>
      <c r="Q53" s="8"/>
      <c r="R53" s="8"/>
      <c r="S53" s="8"/>
      <c r="T53" s="8"/>
      <c r="U53" s="8"/>
      <c r="V53" s="8"/>
      <c r="W53" s="8"/>
      <c r="X53" s="8"/>
      <c r="Y53" s="8"/>
    </row>
    <row r="54" spans="2:25" ht="49.5" customHeight="1">
      <c r="B54" s="167">
        <v>12</v>
      </c>
      <c r="C54" s="278" t="s">
        <v>87</v>
      </c>
      <c r="D54" s="277" t="s">
        <v>78</v>
      </c>
      <c r="E54" s="173">
        <v>1799</v>
      </c>
      <c r="F54" s="174">
        <v>0</v>
      </c>
      <c r="G54" s="175">
        <f t="shared" si="2"/>
        <v>0</v>
      </c>
      <c r="I54" s="8"/>
      <c r="J54" s="8"/>
      <c r="K54" s="8"/>
      <c r="L54" s="8"/>
      <c r="M54" s="8"/>
      <c r="N54" s="8"/>
      <c r="O54" s="8"/>
      <c r="P54" s="8"/>
      <c r="Q54" s="8"/>
      <c r="R54" s="8"/>
      <c r="S54" s="8"/>
      <c r="T54" s="8"/>
      <c r="U54" s="8"/>
      <c r="V54" s="8"/>
      <c r="W54" s="8"/>
      <c r="X54" s="8"/>
      <c r="Y54" s="8"/>
    </row>
    <row r="55" spans="2:25" ht="48">
      <c r="B55" s="167">
        <v>13</v>
      </c>
      <c r="C55" s="171" t="s">
        <v>88</v>
      </c>
      <c r="D55" s="172" t="s">
        <v>78</v>
      </c>
      <c r="E55" s="173">
        <v>1799</v>
      </c>
      <c r="F55" s="174">
        <v>0</v>
      </c>
      <c r="G55" s="175">
        <f t="shared" si="2"/>
        <v>0</v>
      </c>
      <c r="I55" s="8"/>
      <c r="J55" s="8"/>
      <c r="K55" s="8"/>
      <c r="L55" s="8"/>
      <c r="M55" s="8"/>
      <c r="N55" s="8"/>
      <c r="O55" s="8"/>
      <c r="P55" s="8"/>
      <c r="Q55" s="8"/>
      <c r="R55" s="8"/>
      <c r="S55" s="8"/>
      <c r="T55" s="8"/>
      <c r="U55" s="8"/>
      <c r="V55" s="8"/>
      <c r="W55" s="8"/>
      <c r="X55" s="8"/>
      <c r="Y55" s="8"/>
    </row>
    <row r="56" spans="2:25" ht="60">
      <c r="B56" s="167">
        <v>14</v>
      </c>
      <c r="C56" s="171" t="s">
        <v>89</v>
      </c>
      <c r="D56" s="172" t="s">
        <v>78</v>
      </c>
      <c r="E56" s="173">
        <v>2519</v>
      </c>
      <c r="F56" s="174">
        <v>0</v>
      </c>
      <c r="G56" s="175">
        <f>E56*F56</f>
        <v>0</v>
      </c>
      <c r="I56" s="8"/>
      <c r="J56" s="8"/>
      <c r="K56" s="8"/>
      <c r="L56" s="8"/>
      <c r="M56" s="8"/>
      <c r="N56" s="8"/>
      <c r="O56" s="8"/>
      <c r="P56" s="8"/>
      <c r="Q56" s="8"/>
      <c r="R56" s="8"/>
      <c r="S56" s="8"/>
      <c r="T56" s="8"/>
      <c r="U56" s="8"/>
      <c r="V56" s="8"/>
      <c r="W56" s="8"/>
      <c r="X56" s="8"/>
      <c r="Y56" s="8"/>
    </row>
    <row r="57" spans="2:25" ht="38.25" customHeight="1">
      <c r="B57" s="167">
        <v>15</v>
      </c>
      <c r="C57" s="171" t="s">
        <v>90</v>
      </c>
      <c r="D57" s="277" t="s">
        <v>78</v>
      </c>
      <c r="E57" s="173">
        <v>720</v>
      </c>
      <c r="F57" s="174">
        <v>0</v>
      </c>
      <c r="G57" s="175">
        <f t="shared" si="2"/>
        <v>0</v>
      </c>
      <c r="I57" s="8"/>
      <c r="J57" s="8"/>
      <c r="K57" s="8"/>
      <c r="L57" s="8"/>
      <c r="M57" s="8"/>
      <c r="N57" s="8"/>
      <c r="O57" s="8"/>
      <c r="P57" s="8"/>
      <c r="Q57" s="8"/>
      <c r="R57" s="8"/>
      <c r="S57" s="8"/>
      <c r="T57" s="8"/>
      <c r="U57" s="8"/>
      <c r="V57" s="8"/>
      <c r="W57" s="8"/>
      <c r="X57" s="8"/>
      <c r="Y57" s="8"/>
    </row>
    <row r="58" spans="2:25" ht="25.5" customHeight="1">
      <c r="B58" s="167">
        <v>16</v>
      </c>
      <c r="C58" s="171" t="s">
        <v>91</v>
      </c>
      <c r="D58" s="172" t="s">
        <v>74</v>
      </c>
      <c r="E58" s="173">
        <v>55</v>
      </c>
      <c r="F58" s="174">
        <v>0</v>
      </c>
      <c r="G58" s="175">
        <f t="shared" si="2"/>
        <v>0</v>
      </c>
      <c r="I58" s="8"/>
      <c r="J58" s="8"/>
      <c r="K58" s="8"/>
      <c r="L58" s="8"/>
      <c r="M58" s="8"/>
      <c r="N58" s="8"/>
      <c r="O58" s="8"/>
      <c r="P58" s="8"/>
      <c r="Q58" s="8"/>
      <c r="R58" s="8"/>
      <c r="S58" s="8"/>
      <c r="T58" s="8"/>
      <c r="U58" s="8"/>
      <c r="V58" s="8"/>
      <c r="W58" s="8"/>
      <c r="X58" s="8"/>
      <c r="Y58" s="8"/>
    </row>
    <row r="59" spans="2:25" s="176" customFormat="1" ht="24">
      <c r="B59" s="167">
        <v>17</v>
      </c>
      <c r="C59" s="171" t="s">
        <v>92</v>
      </c>
      <c r="D59" s="172" t="s">
        <v>74</v>
      </c>
      <c r="E59" s="173">
        <v>1890</v>
      </c>
      <c r="F59" s="174">
        <v>0</v>
      </c>
      <c r="G59" s="175">
        <f t="shared" si="2"/>
        <v>0</v>
      </c>
      <c r="H59" s="8"/>
      <c r="I59" s="8"/>
      <c r="J59" s="8"/>
      <c r="K59" s="8"/>
      <c r="L59" s="8"/>
      <c r="M59" s="8"/>
      <c r="N59" s="8"/>
      <c r="O59" s="8"/>
      <c r="P59" s="8"/>
      <c r="Q59" s="8"/>
      <c r="R59" s="8"/>
      <c r="S59" s="8"/>
      <c r="T59" s="8"/>
      <c r="U59" s="8"/>
      <c r="V59" s="8"/>
      <c r="W59" s="8"/>
      <c r="X59" s="8"/>
      <c r="Y59" s="8"/>
    </row>
    <row r="60" spans="2:25" s="176" customFormat="1">
      <c r="B60" s="167">
        <v>18</v>
      </c>
      <c r="C60" s="171" t="s">
        <v>93</v>
      </c>
      <c r="D60" s="172" t="s">
        <v>74</v>
      </c>
      <c r="E60" s="173">
        <v>1890</v>
      </c>
      <c r="F60" s="174">
        <v>0</v>
      </c>
      <c r="G60" s="175">
        <f t="shared" si="2"/>
        <v>0</v>
      </c>
      <c r="H60" s="8"/>
      <c r="I60" s="8"/>
      <c r="J60" s="8"/>
      <c r="K60" s="8"/>
      <c r="L60" s="8"/>
      <c r="M60" s="8"/>
      <c r="N60" s="8"/>
      <c r="O60" s="8"/>
      <c r="P60" s="8"/>
      <c r="Q60" s="8"/>
      <c r="R60" s="8"/>
      <c r="S60" s="8"/>
      <c r="T60" s="8"/>
      <c r="U60" s="8"/>
      <c r="V60" s="8"/>
      <c r="W60" s="8"/>
      <c r="X60" s="8"/>
      <c r="Y60" s="8"/>
    </row>
    <row r="61" spans="2:25" ht="24">
      <c r="B61" s="167">
        <v>19</v>
      </c>
      <c r="C61" s="139" t="s">
        <v>94</v>
      </c>
      <c r="D61" s="145" t="s">
        <v>78</v>
      </c>
      <c r="E61" s="128">
        <v>1799</v>
      </c>
      <c r="F61" s="174">
        <v>0</v>
      </c>
      <c r="G61" s="142">
        <f t="shared" si="2"/>
        <v>0</v>
      </c>
      <c r="I61" s="8"/>
      <c r="J61" s="8"/>
      <c r="K61" s="8"/>
      <c r="L61" s="8"/>
      <c r="M61" s="8"/>
      <c r="N61" s="8"/>
      <c r="O61" s="8"/>
      <c r="P61" s="8"/>
      <c r="Q61" s="8"/>
      <c r="R61" s="8"/>
      <c r="S61" s="8"/>
      <c r="T61" s="8"/>
      <c r="U61" s="8"/>
      <c r="V61" s="8"/>
      <c r="W61" s="8"/>
      <c r="X61" s="8"/>
      <c r="Y61" s="8"/>
    </row>
    <row r="62" spans="2:25" ht="27" customHeight="1">
      <c r="B62" s="167">
        <v>20</v>
      </c>
      <c r="C62" s="139" t="s">
        <v>95</v>
      </c>
      <c r="D62" s="140" t="s">
        <v>78</v>
      </c>
      <c r="E62" s="128">
        <v>1650</v>
      </c>
      <c r="F62" s="174">
        <v>0</v>
      </c>
      <c r="G62" s="142">
        <f t="shared" si="2"/>
        <v>0</v>
      </c>
      <c r="I62" s="8"/>
      <c r="J62" s="8"/>
      <c r="K62" s="8"/>
      <c r="L62" s="8"/>
      <c r="M62" s="8"/>
      <c r="N62" s="8"/>
      <c r="O62" s="8"/>
      <c r="P62" s="8"/>
      <c r="Q62" s="8"/>
      <c r="R62" s="8"/>
      <c r="S62" s="8"/>
      <c r="T62" s="8"/>
      <c r="U62" s="8"/>
      <c r="V62" s="8"/>
      <c r="W62" s="8"/>
      <c r="X62" s="8"/>
      <c r="Y62" s="8"/>
    </row>
    <row r="63" spans="2:25" ht="25.5" customHeight="1">
      <c r="B63" s="167">
        <v>21</v>
      </c>
      <c r="C63" s="177" t="s">
        <v>96</v>
      </c>
      <c r="D63" s="140" t="s">
        <v>57</v>
      </c>
      <c r="E63" s="128">
        <v>20</v>
      </c>
      <c r="F63" s="174">
        <v>0</v>
      </c>
      <c r="G63" s="142">
        <f t="shared" si="2"/>
        <v>0</v>
      </c>
      <c r="I63" s="8"/>
      <c r="J63" s="8"/>
      <c r="K63" s="8"/>
      <c r="L63" s="8"/>
      <c r="M63" s="8"/>
      <c r="N63" s="8"/>
      <c r="O63" s="8"/>
      <c r="P63" s="8"/>
      <c r="Q63" s="8"/>
      <c r="R63" s="8"/>
      <c r="S63" s="8"/>
      <c r="T63" s="8"/>
      <c r="U63" s="8"/>
      <c r="V63" s="8"/>
      <c r="W63" s="8"/>
      <c r="X63" s="8"/>
      <c r="Y63" s="8"/>
    </row>
    <row r="64" spans="2:25" ht="29.25" customHeight="1">
      <c r="B64" s="167">
        <v>22</v>
      </c>
      <c r="C64" s="181" t="s">
        <v>97</v>
      </c>
      <c r="D64" s="182" t="s">
        <v>74</v>
      </c>
      <c r="E64" s="183">
        <v>2</v>
      </c>
      <c r="F64" s="174">
        <v>0</v>
      </c>
      <c r="G64" s="142">
        <f t="shared" si="2"/>
        <v>0</v>
      </c>
      <c r="I64" s="8"/>
      <c r="J64" s="8"/>
      <c r="K64" s="8"/>
      <c r="L64" s="8"/>
      <c r="M64" s="8"/>
      <c r="N64" s="8"/>
      <c r="O64" s="8"/>
      <c r="P64" s="8"/>
      <c r="Q64" s="8"/>
      <c r="R64" s="8"/>
      <c r="S64" s="8"/>
      <c r="T64" s="8"/>
      <c r="U64" s="8"/>
      <c r="V64" s="8"/>
      <c r="W64" s="8"/>
      <c r="X64" s="8"/>
      <c r="Y64" s="8"/>
    </row>
    <row r="65" spans="1:25" ht="30" customHeight="1">
      <c r="B65" s="167">
        <v>23</v>
      </c>
      <c r="C65" s="184" t="s">
        <v>98</v>
      </c>
      <c r="D65" s="182" t="s">
        <v>66</v>
      </c>
      <c r="E65" s="128">
        <v>71</v>
      </c>
      <c r="F65" s="174">
        <v>0</v>
      </c>
      <c r="G65" s="142">
        <f t="shared" si="2"/>
        <v>0</v>
      </c>
      <c r="I65" s="8"/>
      <c r="J65" s="8"/>
      <c r="K65" s="8"/>
      <c r="L65" s="8"/>
      <c r="M65" s="8"/>
      <c r="N65" s="8"/>
      <c r="O65" s="8"/>
      <c r="P65" s="8"/>
      <c r="Q65" s="8"/>
      <c r="R65" s="8"/>
      <c r="S65" s="8"/>
      <c r="T65" s="8"/>
      <c r="U65" s="8"/>
      <c r="V65" s="8"/>
      <c r="W65" s="8"/>
      <c r="X65" s="8"/>
      <c r="Y65" s="8"/>
    </row>
    <row r="66" spans="1:25" ht="30" customHeight="1">
      <c r="B66" s="167">
        <v>24</v>
      </c>
      <c r="C66" s="184" t="s">
        <v>99</v>
      </c>
      <c r="D66" s="182" t="s">
        <v>74</v>
      </c>
      <c r="E66" s="183">
        <v>4</v>
      </c>
      <c r="F66" s="174">
        <v>0</v>
      </c>
      <c r="G66" s="142">
        <f t="shared" si="2"/>
        <v>0</v>
      </c>
      <c r="I66" s="8"/>
      <c r="J66" s="8"/>
      <c r="K66" s="8"/>
      <c r="L66" s="8"/>
      <c r="M66" s="8"/>
      <c r="N66" s="8"/>
      <c r="O66" s="8"/>
      <c r="P66" s="8"/>
      <c r="Q66" s="8"/>
      <c r="R66" s="8"/>
      <c r="S66" s="8"/>
      <c r="T66" s="8"/>
      <c r="U66" s="8"/>
      <c r="V66" s="8"/>
      <c r="W66" s="8"/>
      <c r="X66" s="8"/>
      <c r="Y66" s="8"/>
    </row>
    <row r="67" spans="1:25" ht="24">
      <c r="B67" s="167">
        <v>25</v>
      </c>
      <c r="C67" s="184" t="s">
        <v>100</v>
      </c>
      <c r="D67" s="182" t="s">
        <v>65</v>
      </c>
      <c r="E67" s="183">
        <v>177</v>
      </c>
      <c r="F67" s="174">
        <v>0</v>
      </c>
      <c r="G67" s="142">
        <f t="shared" si="2"/>
        <v>0</v>
      </c>
      <c r="I67" s="8"/>
      <c r="J67" s="8"/>
      <c r="K67" s="8"/>
      <c r="L67" s="8"/>
      <c r="M67" s="8"/>
      <c r="N67" s="8"/>
      <c r="O67" s="8"/>
      <c r="P67" s="8"/>
      <c r="Q67" s="8"/>
      <c r="R67" s="8"/>
      <c r="S67" s="8"/>
      <c r="T67" s="8"/>
      <c r="U67" s="8"/>
      <c r="V67" s="8"/>
      <c r="W67" s="8"/>
      <c r="X67" s="8"/>
      <c r="Y67" s="8"/>
    </row>
    <row r="68" spans="1:25">
      <c r="B68" s="151" t="s">
        <v>45</v>
      </c>
      <c r="C68" s="152" t="s">
        <v>101</v>
      </c>
      <c r="D68" s="185"/>
      <c r="E68" s="154"/>
      <c r="F68" s="155"/>
      <c r="G68" s="156">
        <f>SUM(G42:G67)</f>
        <v>0</v>
      </c>
      <c r="I68" s="8"/>
      <c r="J68" s="8"/>
      <c r="K68" s="8"/>
      <c r="L68" s="8"/>
      <c r="M68" s="8"/>
      <c r="N68" s="8"/>
      <c r="O68" s="8"/>
      <c r="P68" s="8"/>
      <c r="Q68" s="8"/>
      <c r="R68" s="8"/>
      <c r="S68" s="8"/>
      <c r="T68" s="8"/>
      <c r="U68" s="8"/>
      <c r="V68" s="8"/>
      <c r="W68" s="8"/>
      <c r="X68" s="8"/>
      <c r="Y68" s="8"/>
    </row>
    <row r="69" spans="1:25">
      <c r="B69" s="125"/>
      <c r="C69" s="126"/>
      <c r="D69" s="127"/>
      <c r="E69" s="128"/>
      <c r="F69" s="129"/>
      <c r="G69" s="130"/>
      <c r="I69" s="8"/>
      <c r="J69" s="8"/>
      <c r="K69" s="8"/>
      <c r="L69" s="8"/>
      <c r="M69" s="8"/>
      <c r="N69" s="8"/>
      <c r="O69" s="8"/>
      <c r="P69" s="8"/>
      <c r="Q69" s="8"/>
      <c r="R69" s="8"/>
      <c r="S69" s="8"/>
      <c r="T69" s="8"/>
      <c r="U69" s="8"/>
      <c r="V69" s="8"/>
      <c r="W69" s="8"/>
      <c r="X69" s="8"/>
      <c r="Y69" s="8"/>
    </row>
    <row r="70" spans="1:25" ht="24">
      <c r="B70" s="157" t="s">
        <v>50</v>
      </c>
      <c r="C70" s="158" t="s">
        <v>51</v>
      </c>
      <c r="D70" s="158" t="s">
        <v>52</v>
      </c>
      <c r="E70" s="160" t="s">
        <v>53</v>
      </c>
      <c r="F70" s="161" t="s">
        <v>54</v>
      </c>
      <c r="G70" s="162" t="s">
        <v>55</v>
      </c>
      <c r="I70" s="8"/>
      <c r="J70" s="8"/>
      <c r="K70" s="8"/>
      <c r="L70" s="8"/>
      <c r="M70" s="8"/>
      <c r="N70" s="8"/>
      <c r="O70" s="8"/>
      <c r="P70" s="8"/>
      <c r="Q70" s="8"/>
      <c r="R70" s="8"/>
      <c r="S70" s="8"/>
      <c r="T70" s="8"/>
      <c r="U70" s="8"/>
      <c r="V70" s="8"/>
      <c r="W70" s="8"/>
      <c r="X70" s="8"/>
      <c r="Y70" s="8"/>
    </row>
    <row r="71" spans="1:25">
      <c r="B71" s="125"/>
      <c r="C71" s="126"/>
      <c r="D71" s="140"/>
      <c r="E71" s="128"/>
      <c r="F71" s="129"/>
      <c r="G71" s="130"/>
      <c r="I71" s="8"/>
      <c r="J71" s="8"/>
      <c r="K71" s="8"/>
      <c r="L71" s="8"/>
      <c r="M71" s="8"/>
      <c r="N71" s="8"/>
      <c r="O71" s="8"/>
      <c r="P71" s="8"/>
      <c r="Q71" s="8"/>
      <c r="R71" s="8"/>
      <c r="S71" s="8"/>
      <c r="T71" s="8"/>
      <c r="U71" s="8"/>
      <c r="V71" s="8"/>
      <c r="W71" s="8"/>
      <c r="X71" s="8"/>
      <c r="Y71" s="8"/>
    </row>
    <row r="72" spans="1:25" s="138" customFormat="1" ht="20.25">
      <c r="B72" s="186" t="s">
        <v>47</v>
      </c>
      <c r="C72" s="187" t="s">
        <v>102</v>
      </c>
      <c r="D72" s="165"/>
      <c r="E72" s="134"/>
      <c r="F72" s="135"/>
      <c r="G72" s="136"/>
      <c r="H72" s="8"/>
      <c r="I72" s="8"/>
      <c r="J72" s="8"/>
      <c r="K72" s="8"/>
      <c r="L72" s="8"/>
      <c r="M72" s="8"/>
      <c r="N72" s="8"/>
      <c r="O72" s="8"/>
      <c r="P72" s="8"/>
      <c r="Q72" s="8"/>
      <c r="R72" s="8"/>
      <c r="S72" s="8"/>
      <c r="T72" s="8"/>
      <c r="U72" s="8"/>
      <c r="V72" s="8"/>
      <c r="W72" s="8"/>
      <c r="X72" s="8"/>
      <c r="Y72" s="8"/>
    </row>
    <row r="73" spans="1:25" s="14" customFormat="1" ht="18" customHeight="1">
      <c r="A73" s="9"/>
      <c r="B73" s="10" t="s">
        <v>38</v>
      </c>
      <c r="C73" s="11"/>
      <c r="D73" s="13"/>
      <c r="E73" s="12"/>
      <c r="F73" s="12"/>
      <c r="G73" s="13"/>
      <c r="H73" s="8"/>
      <c r="I73" s="8"/>
      <c r="J73" s="8"/>
      <c r="K73" s="8"/>
      <c r="L73" s="8"/>
      <c r="M73" s="8"/>
      <c r="N73" s="8"/>
      <c r="O73" s="8"/>
      <c r="P73" s="8"/>
      <c r="Q73" s="8"/>
      <c r="R73" s="8"/>
      <c r="S73" s="8"/>
      <c r="T73" s="8"/>
      <c r="U73" s="8"/>
      <c r="V73" s="8"/>
      <c r="W73" s="8"/>
      <c r="X73" s="8"/>
      <c r="Y73" s="8"/>
    </row>
    <row r="74" spans="1:25" s="14" customFormat="1" ht="18" customHeight="1">
      <c r="A74" s="15"/>
      <c r="B74" s="16" t="s">
        <v>39</v>
      </c>
      <c r="C74" s="17"/>
      <c r="D74" s="18"/>
      <c r="E74" s="19"/>
      <c r="F74" s="19"/>
      <c r="G74" s="18"/>
      <c r="H74" s="8"/>
      <c r="I74" s="8"/>
      <c r="J74" s="8"/>
      <c r="K74" s="8"/>
      <c r="L74" s="8"/>
      <c r="M74" s="8"/>
      <c r="N74" s="8"/>
      <c r="O74" s="8"/>
      <c r="P74" s="8"/>
      <c r="Q74" s="8"/>
      <c r="R74" s="8"/>
      <c r="S74" s="8"/>
      <c r="T74" s="8"/>
      <c r="U74" s="8"/>
      <c r="V74" s="8"/>
      <c r="W74" s="8"/>
      <c r="X74" s="8"/>
      <c r="Y74" s="8"/>
    </row>
    <row r="75" spans="1:25" s="14" customFormat="1" ht="18" customHeight="1">
      <c r="A75" s="9"/>
      <c r="B75" s="10" t="s">
        <v>4</v>
      </c>
      <c r="C75" s="11"/>
      <c r="D75" s="12"/>
      <c r="E75" s="12"/>
      <c r="F75" s="12"/>
      <c r="G75" s="13"/>
      <c r="H75" s="8"/>
      <c r="I75" s="8"/>
      <c r="J75" s="8"/>
      <c r="K75" s="8"/>
      <c r="L75" s="8"/>
      <c r="M75" s="8"/>
      <c r="N75" s="8"/>
      <c r="O75" s="8"/>
      <c r="P75" s="8"/>
      <c r="Q75" s="8"/>
      <c r="R75" s="8"/>
      <c r="S75" s="8"/>
      <c r="T75" s="8"/>
      <c r="U75" s="8"/>
      <c r="V75" s="8"/>
      <c r="W75" s="8"/>
      <c r="X75" s="8"/>
      <c r="Y75" s="8"/>
    </row>
    <row r="76" spans="1:25" s="14" customFormat="1" ht="18" customHeight="1">
      <c r="A76" s="15"/>
      <c r="B76" s="16" t="s">
        <v>5</v>
      </c>
      <c r="C76" s="17"/>
      <c r="D76" s="19"/>
      <c r="E76" s="19"/>
      <c r="F76" s="19"/>
      <c r="G76" s="18"/>
      <c r="H76" s="8"/>
      <c r="I76" s="8"/>
      <c r="J76" s="8"/>
      <c r="K76" s="8"/>
      <c r="L76" s="8"/>
      <c r="M76" s="8"/>
      <c r="N76" s="8"/>
      <c r="O76" s="8"/>
      <c r="P76" s="8"/>
      <c r="Q76" s="8"/>
      <c r="R76" s="8"/>
      <c r="S76" s="8"/>
      <c r="T76" s="8"/>
      <c r="U76" s="8"/>
      <c r="V76" s="8"/>
      <c r="W76" s="8"/>
      <c r="X76" s="8"/>
      <c r="Y76" s="8"/>
    </row>
    <row r="77" spans="1:25" s="166" customFormat="1" ht="30.75" customHeight="1">
      <c r="B77" s="2399" t="s">
        <v>103</v>
      </c>
      <c r="C77" s="2400"/>
      <c r="D77" s="2400"/>
      <c r="E77" s="2400"/>
      <c r="F77" s="2400"/>
      <c r="G77" s="2401"/>
      <c r="H77" s="8"/>
      <c r="I77" s="8"/>
      <c r="J77" s="8"/>
      <c r="K77" s="8"/>
      <c r="L77" s="8"/>
      <c r="M77" s="8"/>
      <c r="N77" s="8"/>
      <c r="O77" s="8"/>
      <c r="P77" s="8"/>
      <c r="Q77" s="8"/>
      <c r="R77" s="8"/>
      <c r="S77" s="8"/>
      <c r="T77" s="8"/>
      <c r="U77" s="8"/>
      <c r="V77" s="8"/>
      <c r="W77" s="8"/>
      <c r="X77" s="8"/>
      <c r="Y77" s="8"/>
    </row>
    <row r="78" spans="1:25" s="166" customFormat="1" ht="18.75" customHeight="1">
      <c r="B78" s="2399" t="s">
        <v>104</v>
      </c>
      <c r="C78" s="2400"/>
      <c r="D78" s="2400"/>
      <c r="E78" s="2400"/>
      <c r="F78" s="2400"/>
      <c r="G78" s="2401"/>
      <c r="H78" s="8"/>
      <c r="I78" s="8"/>
      <c r="J78" s="8"/>
      <c r="K78" s="8"/>
      <c r="L78" s="8"/>
      <c r="M78" s="8"/>
      <c r="N78" s="8"/>
      <c r="O78" s="8"/>
      <c r="P78" s="8"/>
      <c r="Q78" s="8"/>
      <c r="R78" s="8"/>
      <c r="S78" s="8"/>
      <c r="T78" s="8"/>
      <c r="U78" s="8"/>
      <c r="V78" s="8"/>
      <c r="W78" s="8"/>
      <c r="X78" s="8"/>
      <c r="Y78" s="8"/>
    </row>
    <row r="79" spans="1:25" s="166" customFormat="1" ht="18.75" customHeight="1">
      <c r="B79" s="2399" t="s">
        <v>105</v>
      </c>
      <c r="C79" s="2400"/>
      <c r="D79" s="2400"/>
      <c r="E79" s="2400"/>
      <c r="F79" s="2400"/>
      <c r="G79" s="2401"/>
      <c r="H79" s="8"/>
      <c r="I79" s="8"/>
      <c r="J79" s="8"/>
      <c r="K79" s="8"/>
      <c r="L79" s="8"/>
      <c r="M79" s="8"/>
      <c r="N79" s="8"/>
      <c r="O79" s="8"/>
      <c r="P79" s="8"/>
      <c r="Q79" s="8"/>
      <c r="R79" s="8"/>
      <c r="S79" s="8"/>
      <c r="T79" s="8"/>
      <c r="U79" s="8"/>
      <c r="V79" s="8"/>
      <c r="W79" s="8"/>
      <c r="X79" s="8"/>
      <c r="Y79" s="8"/>
    </row>
    <row r="80" spans="1:25" ht="30" customHeight="1">
      <c r="B80" s="188">
        <v>1</v>
      </c>
      <c r="C80" s="189" t="s">
        <v>106</v>
      </c>
      <c r="D80" s="190"/>
      <c r="E80" s="128"/>
      <c r="F80" s="129"/>
      <c r="G80" s="130"/>
      <c r="I80" s="8"/>
      <c r="J80" s="8"/>
      <c r="K80" s="8"/>
      <c r="L80" s="8"/>
      <c r="M80" s="8"/>
      <c r="N80" s="8"/>
      <c r="O80" s="8"/>
      <c r="P80" s="8"/>
      <c r="Q80" s="8"/>
      <c r="R80" s="8"/>
      <c r="S80" s="8"/>
      <c r="T80" s="8"/>
      <c r="U80" s="8"/>
      <c r="V80" s="8"/>
      <c r="W80" s="8"/>
      <c r="X80" s="8"/>
      <c r="Y80" s="8"/>
    </row>
    <row r="81" spans="2:25" s="179" customFormat="1" ht="18.75" customHeight="1">
      <c r="B81" s="191"/>
      <c r="C81" s="192" t="s">
        <v>107</v>
      </c>
      <c r="D81" s="190" t="s">
        <v>57</v>
      </c>
      <c r="E81" s="128">
        <v>990</v>
      </c>
      <c r="F81" s="141">
        <v>0</v>
      </c>
      <c r="G81" s="142">
        <f t="shared" ref="G81:G84" si="4">E81*F81</f>
        <v>0</v>
      </c>
      <c r="H81" s="8"/>
      <c r="I81" s="8"/>
      <c r="J81" s="8"/>
      <c r="K81" s="8"/>
      <c r="L81" s="8"/>
      <c r="M81" s="8"/>
      <c r="N81" s="8"/>
      <c r="O81" s="8"/>
      <c r="P81" s="8"/>
      <c r="Q81" s="8"/>
      <c r="R81" s="8"/>
      <c r="S81" s="8"/>
      <c r="T81" s="8"/>
      <c r="U81" s="8"/>
      <c r="V81" s="8"/>
      <c r="W81" s="8"/>
      <c r="X81" s="8"/>
      <c r="Y81" s="8"/>
    </row>
    <row r="82" spans="2:25" s="179" customFormat="1" ht="24.75" customHeight="1">
      <c r="B82" s="191"/>
      <c r="C82" s="192" t="s">
        <v>108</v>
      </c>
      <c r="D82" s="190" t="s">
        <v>57</v>
      </c>
      <c r="E82" s="128">
        <v>110</v>
      </c>
      <c r="F82" s="141">
        <v>0</v>
      </c>
      <c r="G82" s="142">
        <f t="shared" si="4"/>
        <v>0</v>
      </c>
      <c r="H82" s="8"/>
      <c r="I82" s="8"/>
      <c r="J82" s="8"/>
      <c r="K82" s="8"/>
      <c r="L82" s="8"/>
      <c r="M82" s="8"/>
      <c r="N82" s="8"/>
      <c r="O82" s="8"/>
      <c r="P82" s="8"/>
      <c r="Q82" s="8"/>
      <c r="R82" s="8"/>
      <c r="S82" s="8"/>
      <c r="T82" s="8"/>
      <c r="U82" s="8"/>
      <c r="V82" s="8"/>
      <c r="W82" s="8"/>
      <c r="X82" s="8"/>
      <c r="Y82" s="8"/>
    </row>
    <row r="83" spans="2:25" s="179" customFormat="1" ht="19.5" customHeight="1">
      <c r="B83" s="191"/>
      <c r="C83" s="192" t="s">
        <v>109</v>
      </c>
      <c r="D83" s="190" t="s">
        <v>57</v>
      </c>
      <c r="E83" s="128">
        <v>268</v>
      </c>
      <c r="F83" s="141">
        <v>0</v>
      </c>
      <c r="G83" s="142">
        <f t="shared" si="4"/>
        <v>0</v>
      </c>
      <c r="H83" s="8"/>
      <c r="I83" s="8"/>
      <c r="J83" s="8"/>
      <c r="K83" s="8"/>
      <c r="L83" s="8"/>
      <c r="M83" s="8"/>
      <c r="N83" s="8"/>
      <c r="O83" s="8"/>
      <c r="P83" s="8"/>
      <c r="Q83" s="8"/>
      <c r="R83" s="8"/>
      <c r="S83" s="8"/>
      <c r="T83" s="8"/>
      <c r="U83" s="8"/>
      <c r="V83" s="8"/>
      <c r="W83" s="8"/>
      <c r="X83" s="8"/>
      <c r="Y83" s="8"/>
    </row>
    <row r="84" spans="2:25" s="179" customFormat="1" ht="27.75" customHeight="1">
      <c r="B84" s="191"/>
      <c r="C84" s="192" t="s">
        <v>110</v>
      </c>
      <c r="D84" s="190" t="s">
        <v>57</v>
      </c>
      <c r="E84" s="128">
        <v>30</v>
      </c>
      <c r="F84" s="141">
        <v>0</v>
      </c>
      <c r="G84" s="142">
        <f t="shared" si="4"/>
        <v>0</v>
      </c>
      <c r="H84" s="8"/>
      <c r="I84" s="8"/>
      <c r="J84" s="8"/>
      <c r="K84" s="8"/>
      <c r="L84" s="8"/>
      <c r="M84" s="8"/>
      <c r="N84" s="8"/>
      <c r="O84" s="8"/>
      <c r="P84" s="8"/>
      <c r="Q84" s="8"/>
      <c r="R84" s="8"/>
      <c r="S84" s="8"/>
      <c r="T84" s="8"/>
      <c r="U84" s="8"/>
      <c r="V84" s="8"/>
      <c r="W84" s="8"/>
      <c r="X84" s="8"/>
      <c r="Y84" s="8"/>
    </row>
    <row r="85" spans="2:25" ht="36">
      <c r="B85" s="2404" t="s">
        <v>111</v>
      </c>
      <c r="C85" s="193" t="s">
        <v>112</v>
      </c>
      <c r="D85" s="194"/>
      <c r="E85" s="128"/>
      <c r="F85" s="141"/>
      <c r="G85" s="142"/>
      <c r="I85" s="8"/>
      <c r="J85" s="8"/>
      <c r="K85" s="8"/>
      <c r="L85" s="8"/>
      <c r="M85" s="8"/>
      <c r="N85" s="8"/>
      <c r="O85" s="8"/>
      <c r="P85" s="8"/>
      <c r="Q85" s="8"/>
      <c r="R85" s="8"/>
      <c r="S85" s="8"/>
      <c r="T85" s="8"/>
      <c r="U85" s="8"/>
      <c r="V85" s="8"/>
      <c r="W85" s="8"/>
      <c r="X85" s="8"/>
      <c r="Y85" s="8"/>
    </row>
    <row r="86" spans="2:25">
      <c r="B86" s="2405"/>
      <c r="C86" s="195" t="s">
        <v>113</v>
      </c>
      <c r="D86" s="194" t="s">
        <v>57</v>
      </c>
      <c r="E86" s="128">
        <v>1100</v>
      </c>
      <c r="F86" s="141">
        <v>0</v>
      </c>
      <c r="G86" s="142">
        <f t="shared" ref="G86:G90" si="5">E86*F86</f>
        <v>0</v>
      </c>
      <c r="I86" s="8"/>
      <c r="J86" s="8"/>
      <c r="K86" s="8"/>
      <c r="L86" s="8"/>
      <c r="M86" s="8"/>
      <c r="N86" s="8"/>
      <c r="O86" s="8"/>
      <c r="P86" s="8"/>
      <c r="Q86" s="8"/>
      <c r="R86" s="8"/>
      <c r="S86" s="8"/>
      <c r="T86" s="8"/>
      <c r="U86" s="8"/>
      <c r="V86" s="8"/>
      <c r="W86" s="8"/>
      <c r="X86" s="8"/>
      <c r="Y86" s="8"/>
    </row>
    <row r="87" spans="2:25" ht="36">
      <c r="B87" s="196">
        <v>2</v>
      </c>
      <c r="C87" s="197" t="s">
        <v>114</v>
      </c>
      <c r="D87" s="145" t="s">
        <v>57</v>
      </c>
      <c r="E87" s="198">
        <f>SUM(E81:E84)</f>
        <v>1398</v>
      </c>
      <c r="F87" s="141">
        <v>0</v>
      </c>
      <c r="G87" s="142">
        <f t="shared" si="5"/>
        <v>0</v>
      </c>
      <c r="I87" s="8"/>
      <c r="J87" s="8"/>
      <c r="K87" s="8"/>
      <c r="L87" s="8"/>
      <c r="M87" s="8"/>
      <c r="N87" s="8"/>
      <c r="O87" s="8"/>
      <c r="P87" s="8"/>
      <c r="Q87" s="8"/>
      <c r="R87" s="8"/>
      <c r="S87" s="8"/>
      <c r="T87" s="8"/>
      <c r="U87" s="8"/>
      <c r="V87" s="8"/>
      <c r="W87" s="8"/>
      <c r="X87" s="8"/>
      <c r="Y87" s="8"/>
    </row>
    <row r="88" spans="2:25" ht="36">
      <c r="B88" s="199" t="s">
        <v>115</v>
      </c>
      <c r="C88" s="197" t="s">
        <v>116</v>
      </c>
      <c r="D88" s="145" t="s">
        <v>57</v>
      </c>
      <c r="E88" s="198">
        <f>E87</f>
        <v>1398</v>
      </c>
      <c r="F88" s="141">
        <v>0</v>
      </c>
      <c r="G88" s="142">
        <f t="shared" si="5"/>
        <v>0</v>
      </c>
      <c r="I88" s="8"/>
      <c r="J88" s="8"/>
      <c r="K88" s="8"/>
      <c r="L88" s="8"/>
      <c r="M88" s="8"/>
      <c r="N88" s="8"/>
      <c r="O88" s="8"/>
      <c r="P88" s="8"/>
      <c r="Q88" s="8"/>
      <c r="R88" s="8"/>
      <c r="S88" s="8"/>
      <c r="T88" s="8"/>
      <c r="U88" s="8"/>
      <c r="V88" s="8"/>
      <c r="W88" s="8"/>
      <c r="X88" s="8"/>
      <c r="Y88" s="8"/>
    </row>
    <row r="89" spans="2:25" ht="24">
      <c r="B89" s="199" t="s">
        <v>117</v>
      </c>
      <c r="C89" s="197" t="s">
        <v>118</v>
      </c>
      <c r="D89" s="145" t="s">
        <v>57</v>
      </c>
      <c r="E89" s="198">
        <f>E87</f>
        <v>1398</v>
      </c>
      <c r="F89" s="141">
        <v>0</v>
      </c>
      <c r="G89" s="142">
        <f t="shared" si="5"/>
        <v>0</v>
      </c>
      <c r="I89" s="8"/>
      <c r="J89" s="8"/>
      <c r="K89" s="8"/>
      <c r="L89" s="8"/>
      <c r="M89" s="8"/>
      <c r="N89" s="8"/>
      <c r="O89" s="8"/>
      <c r="P89" s="8"/>
      <c r="Q89" s="8"/>
      <c r="R89" s="8"/>
      <c r="S89" s="8"/>
      <c r="T89" s="8"/>
      <c r="U89" s="8"/>
      <c r="V89" s="8"/>
      <c r="W89" s="8"/>
      <c r="X89" s="8"/>
      <c r="Y89" s="8"/>
    </row>
    <row r="90" spans="2:25" ht="36">
      <c r="B90" s="199" t="s">
        <v>119</v>
      </c>
      <c r="C90" s="197" t="s">
        <v>120</v>
      </c>
      <c r="D90" s="145" t="s">
        <v>57</v>
      </c>
      <c r="E90" s="198">
        <f>E87</f>
        <v>1398</v>
      </c>
      <c r="F90" s="141">
        <v>0</v>
      </c>
      <c r="G90" s="142">
        <f t="shared" si="5"/>
        <v>0</v>
      </c>
      <c r="I90" s="8"/>
      <c r="J90" s="8"/>
      <c r="K90" s="8"/>
      <c r="L90" s="8"/>
      <c r="M90" s="8"/>
      <c r="N90" s="8"/>
      <c r="O90" s="8"/>
      <c r="P90" s="8"/>
      <c r="Q90" s="8"/>
      <c r="R90" s="8"/>
      <c r="S90" s="8"/>
      <c r="T90" s="8"/>
      <c r="U90" s="8"/>
      <c r="V90" s="8"/>
      <c r="W90" s="8"/>
      <c r="X90" s="8"/>
      <c r="Y90" s="8"/>
    </row>
    <row r="91" spans="2:25" ht="24">
      <c r="B91" s="188">
        <v>3</v>
      </c>
      <c r="C91" s="200" t="s">
        <v>121</v>
      </c>
      <c r="D91" s="127"/>
      <c r="E91" s="128"/>
      <c r="F91" s="129"/>
      <c r="G91" s="130"/>
      <c r="I91" s="8"/>
      <c r="J91" s="8"/>
      <c r="K91" s="8"/>
      <c r="L91" s="8"/>
      <c r="M91" s="8"/>
      <c r="N91" s="8"/>
      <c r="O91" s="8"/>
      <c r="P91" s="8"/>
      <c r="Q91" s="8"/>
      <c r="R91" s="8"/>
      <c r="S91" s="8"/>
      <c r="T91" s="8"/>
      <c r="U91" s="8"/>
      <c r="V91" s="8"/>
      <c r="W91" s="8"/>
      <c r="X91" s="8"/>
      <c r="Y91" s="8"/>
    </row>
    <row r="92" spans="2:25">
      <c r="B92" s="201" t="s">
        <v>122</v>
      </c>
      <c r="C92" s="202" t="s">
        <v>123</v>
      </c>
      <c r="D92" s="203"/>
      <c r="E92" s="204"/>
      <c r="F92" s="205"/>
      <c r="G92" s="206"/>
      <c r="I92" s="8"/>
      <c r="J92" s="8"/>
      <c r="K92" s="8"/>
      <c r="L92" s="8"/>
      <c r="M92" s="8"/>
      <c r="N92" s="8"/>
      <c r="O92" s="8"/>
      <c r="P92" s="8"/>
      <c r="Q92" s="8"/>
      <c r="R92" s="8"/>
      <c r="S92" s="8"/>
      <c r="T92" s="8"/>
      <c r="U92" s="8"/>
      <c r="V92" s="8"/>
      <c r="W92" s="8"/>
      <c r="X92" s="8"/>
      <c r="Y92" s="8"/>
    </row>
    <row r="93" spans="2:25">
      <c r="B93" s="125"/>
      <c r="C93" s="202" t="s">
        <v>124</v>
      </c>
      <c r="D93" s="203"/>
      <c r="E93" s="204"/>
      <c r="F93" s="205"/>
      <c r="G93" s="206"/>
      <c r="I93" s="8"/>
      <c r="J93" s="8"/>
      <c r="K93" s="8"/>
      <c r="L93" s="8"/>
      <c r="M93" s="8"/>
      <c r="N93" s="8"/>
      <c r="O93" s="8"/>
      <c r="P93" s="8"/>
      <c r="Q93" s="8"/>
      <c r="R93" s="8"/>
      <c r="S93" s="8"/>
      <c r="T93" s="8"/>
      <c r="U93" s="8"/>
      <c r="V93" s="8"/>
      <c r="W93" s="8"/>
      <c r="X93" s="8"/>
      <c r="Y93" s="8"/>
    </row>
    <row r="94" spans="2:25" s="179" customFormat="1" ht="18" customHeight="1">
      <c r="B94" s="207"/>
      <c r="C94" s="208" t="s">
        <v>199</v>
      </c>
      <c r="D94" s="209" t="s">
        <v>66</v>
      </c>
      <c r="E94" s="204">
        <v>2</v>
      </c>
      <c r="F94" s="210"/>
      <c r="G94" s="211">
        <f t="shared" ref="G94" si="6">E94*F94</f>
        <v>0</v>
      </c>
      <c r="H94" s="8"/>
      <c r="I94" s="8"/>
      <c r="J94" s="8"/>
      <c r="K94" s="8"/>
      <c r="L94" s="8"/>
      <c r="M94" s="8"/>
      <c r="N94" s="8"/>
      <c r="O94" s="8"/>
      <c r="P94" s="8"/>
      <c r="Q94" s="8"/>
      <c r="R94" s="8"/>
      <c r="S94" s="8"/>
      <c r="T94" s="8"/>
      <c r="U94" s="8"/>
      <c r="V94" s="8"/>
      <c r="W94" s="8"/>
      <c r="X94" s="8"/>
      <c r="Y94" s="8"/>
    </row>
    <row r="95" spans="2:25" s="217" customFormat="1">
      <c r="B95" s="201" t="s">
        <v>126</v>
      </c>
      <c r="C95" s="223" t="s">
        <v>137</v>
      </c>
      <c r="D95" s="224"/>
      <c r="E95" s="225"/>
      <c r="F95" s="226"/>
      <c r="G95" s="227"/>
      <c r="H95" s="8"/>
      <c r="I95" s="8"/>
      <c r="J95" s="8"/>
      <c r="K95" s="8"/>
      <c r="L95" s="8"/>
      <c r="M95" s="8"/>
      <c r="N95" s="8"/>
      <c r="O95" s="8"/>
      <c r="P95" s="8"/>
      <c r="Q95" s="8"/>
      <c r="R95" s="8"/>
      <c r="S95" s="8"/>
      <c r="T95" s="8"/>
      <c r="U95" s="8"/>
      <c r="V95" s="8"/>
      <c r="W95" s="8"/>
      <c r="X95" s="8"/>
      <c r="Y95" s="8"/>
    </row>
    <row r="96" spans="2:25" s="217" customFormat="1">
      <c r="B96" s="218"/>
      <c r="C96" s="223" t="s">
        <v>138</v>
      </c>
      <c r="D96" s="224"/>
      <c r="E96" s="225"/>
      <c r="F96" s="226"/>
      <c r="G96" s="227"/>
      <c r="H96" s="8"/>
      <c r="I96" s="8"/>
      <c r="J96" s="8"/>
      <c r="K96" s="8"/>
      <c r="L96" s="8"/>
      <c r="M96" s="8"/>
      <c r="N96" s="8"/>
      <c r="O96" s="8"/>
      <c r="P96" s="8"/>
      <c r="Q96" s="8"/>
      <c r="R96" s="8"/>
      <c r="S96" s="8"/>
      <c r="T96" s="8"/>
      <c r="U96" s="8"/>
      <c r="V96" s="8"/>
      <c r="W96" s="8"/>
      <c r="X96" s="8"/>
      <c r="Y96" s="8"/>
    </row>
    <row r="97" spans="2:25" s="217" customFormat="1">
      <c r="B97" s="218"/>
      <c r="C97" s="228" t="s">
        <v>129</v>
      </c>
      <c r="D97" s="224" t="s">
        <v>66</v>
      </c>
      <c r="E97" s="225">
        <v>1</v>
      </c>
      <c r="F97" s="229">
        <v>0</v>
      </c>
      <c r="G97" s="230">
        <f t="shared" ref="G97:G110" si="7">E97*F97</f>
        <v>0</v>
      </c>
      <c r="H97" s="8"/>
      <c r="I97" s="8"/>
      <c r="J97" s="8"/>
      <c r="K97" s="8"/>
      <c r="L97" s="8"/>
      <c r="M97" s="8"/>
      <c r="N97" s="8"/>
      <c r="O97" s="8"/>
      <c r="P97" s="8"/>
      <c r="Q97" s="8"/>
      <c r="R97" s="8"/>
      <c r="S97" s="8"/>
      <c r="T97" s="8"/>
      <c r="U97" s="8"/>
      <c r="V97" s="8"/>
      <c r="W97" s="8"/>
      <c r="X97" s="8"/>
      <c r="Y97" s="8"/>
    </row>
    <row r="98" spans="2:25" s="217" customFormat="1">
      <c r="B98" s="218"/>
      <c r="C98" s="228" t="s">
        <v>139</v>
      </c>
      <c r="D98" s="224" t="s">
        <v>66</v>
      </c>
      <c r="E98" s="225">
        <v>2</v>
      </c>
      <c r="F98" s="229">
        <v>0</v>
      </c>
      <c r="G98" s="230">
        <f t="shared" si="7"/>
        <v>0</v>
      </c>
      <c r="H98" s="8"/>
      <c r="I98" s="8"/>
      <c r="J98" s="8"/>
      <c r="K98" s="8"/>
      <c r="L98" s="8"/>
      <c r="M98" s="8"/>
      <c r="N98" s="8"/>
      <c r="O98" s="8"/>
      <c r="P98" s="8"/>
      <c r="Q98" s="8"/>
      <c r="R98" s="8"/>
      <c r="S98" s="8"/>
      <c r="T98" s="8"/>
      <c r="U98" s="8"/>
      <c r="V98" s="8"/>
      <c r="W98" s="8"/>
      <c r="X98" s="8"/>
      <c r="Y98" s="8"/>
    </row>
    <row r="99" spans="2:25" s="217" customFormat="1" ht="12.75" customHeight="1">
      <c r="B99" s="218"/>
      <c r="C99" s="231" t="s">
        <v>140</v>
      </c>
      <c r="D99" s="224" t="s">
        <v>66</v>
      </c>
      <c r="E99" s="225">
        <v>1</v>
      </c>
      <c r="F99" s="229">
        <v>0</v>
      </c>
      <c r="G99" s="230">
        <f t="shared" si="7"/>
        <v>0</v>
      </c>
      <c r="H99" s="8"/>
      <c r="I99" s="8"/>
      <c r="J99" s="8"/>
      <c r="K99" s="8"/>
      <c r="L99" s="8"/>
      <c r="M99" s="8"/>
      <c r="N99" s="8"/>
      <c r="O99" s="8"/>
      <c r="P99" s="8"/>
      <c r="Q99" s="8"/>
      <c r="R99" s="8"/>
      <c r="S99" s="8"/>
      <c r="T99" s="8"/>
      <c r="U99" s="8"/>
      <c r="V99" s="8"/>
      <c r="W99" s="8"/>
      <c r="X99" s="8"/>
      <c r="Y99" s="8"/>
    </row>
    <row r="100" spans="2:25" s="217" customFormat="1">
      <c r="B100" s="218"/>
      <c r="C100" s="231" t="s">
        <v>141</v>
      </c>
      <c r="D100" s="224" t="s">
        <v>66</v>
      </c>
      <c r="E100" s="225">
        <v>1</v>
      </c>
      <c r="F100" s="229">
        <v>0</v>
      </c>
      <c r="G100" s="230">
        <f t="shared" si="7"/>
        <v>0</v>
      </c>
      <c r="H100" s="8"/>
      <c r="I100" s="8"/>
      <c r="J100" s="8"/>
      <c r="K100" s="8"/>
      <c r="L100" s="8"/>
      <c r="M100" s="8"/>
      <c r="N100" s="8"/>
      <c r="O100" s="8"/>
      <c r="P100" s="8"/>
      <c r="Q100" s="8"/>
      <c r="R100" s="8"/>
      <c r="S100" s="8"/>
      <c r="T100" s="8"/>
      <c r="U100" s="8"/>
      <c r="V100" s="8"/>
      <c r="W100" s="8"/>
      <c r="X100" s="8"/>
      <c r="Y100" s="8"/>
    </row>
    <row r="101" spans="2:25" s="217" customFormat="1">
      <c r="B101" s="218"/>
      <c r="C101" s="231" t="s">
        <v>142</v>
      </c>
      <c r="D101" s="224" t="s">
        <v>66</v>
      </c>
      <c r="E101" s="225">
        <v>1</v>
      </c>
      <c r="F101" s="229">
        <v>0</v>
      </c>
      <c r="G101" s="230">
        <f t="shared" si="7"/>
        <v>0</v>
      </c>
      <c r="H101" s="8"/>
      <c r="I101" s="8"/>
      <c r="J101" s="8"/>
      <c r="K101" s="8"/>
      <c r="L101" s="8"/>
      <c r="M101" s="8"/>
      <c r="N101" s="8"/>
      <c r="O101" s="8"/>
      <c r="P101" s="8"/>
      <c r="Q101" s="8"/>
      <c r="R101" s="8"/>
      <c r="S101" s="8"/>
      <c r="T101" s="8"/>
      <c r="U101" s="8"/>
      <c r="V101" s="8"/>
      <c r="W101" s="8"/>
      <c r="X101" s="8"/>
      <c r="Y101" s="8"/>
    </row>
    <row r="102" spans="2:25" s="217" customFormat="1">
      <c r="B102" s="218"/>
      <c r="C102" s="231" t="s">
        <v>143</v>
      </c>
      <c r="D102" s="224" t="s">
        <v>66</v>
      </c>
      <c r="E102" s="225">
        <v>1</v>
      </c>
      <c r="F102" s="229">
        <v>0</v>
      </c>
      <c r="G102" s="230">
        <f t="shared" si="7"/>
        <v>0</v>
      </c>
      <c r="H102" s="8"/>
      <c r="I102" s="8"/>
      <c r="J102" s="8"/>
      <c r="K102" s="8"/>
      <c r="L102" s="8"/>
      <c r="M102" s="8"/>
      <c r="N102" s="8"/>
      <c r="O102" s="8"/>
      <c r="P102" s="8"/>
      <c r="Q102" s="8"/>
      <c r="R102" s="8"/>
      <c r="S102" s="8"/>
      <c r="T102" s="8"/>
      <c r="U102" s="8"/>
      <c r="V102" s="8"/>
      <c r="W102" s="8"/>
      <c r="X102" s="8"/>
      <c r="Y102" s="8"/>
    </row>
    <row r="103" spans="2:25" s="217" customFormat="1">
      <c r="B103" s="218"/>
      <c r="C103" s="231" t="s">
        <v>155</v>
      </c>
      <c r="D103" s="224" t="s">
        <v>66</v>
      </c>
      <c r="E103" s="225">
        <v>1</v>
      </c>
      <c r="F103" s="229">
        <v>0</v>
      </c>
      <c r="G103" s="230">
        <f t="shared" si="7"/>
        <v>0</v>
      </c>
      <c r="H103" s="8"/>
      <c r="I103" s="8"/>
      <c r="J103" s="8"/>
      <c r="K103" s="8"/>
      <c r="L103" s="8"/>
      <c r="M103" s="8"/>
      <c r="N103" s="8"/>
      <c r="O103" s="8"/>
      <c r="P103" s="8"/>
      <c r="Q103" s="8"/>
      <c r="R103" s="8"/>
      <c r="S103" s="8"/>
      <c r="T103" s="8"/>
      <c r="U103" s="8"/>
      <c r="V103" s="8"/>
      <c r="W103" s="8"/>
      <c r="X103" s="8"/>
      <c r="Y103" s="8"/>
    </row>
    <row r="104" spans="2:25" s="217" customFormat="1">
      <c r="B104" s="218"/>
      <c r="C104" s="231" t="s">
        <v>145</v>
      </c>
      <c r="D104" s="224" t="s">
        <v>66</v>
      </c>
      <c r="E104" s="225">
        <v>1</v>
      </c>
      <c r="F104" s="229">
        <v>0</v>
      </c>
      <c r="G104" s="230">
        <f t="shared" si="7"/>
        <v>0</v>
      </c>
      <c r="H104" s="8"/>
      <c r="I104" s="8"/>
      <c r="J104" s="8"/>
      <c r="K104" s="8"/>
      <c r="L104" s="8"/>
      <c r="M104" s="8"/>
      <c r="N104" s="8"/>
      <c r="O104" s="8"/>
      <c r="P104" s="8"/>
      <c r="Q104" s="8"/>
      <c r="R104" s="8"/>
      <c r="S104" s="8"/>
      <c r="T104" s="8"/>
      <c r="U104" s="8"/>
      <c r="V104" s="8"/>
      <c r="W104" s="8"/>
      <c r="X104" s="8"/>
      <c r="Y104" s="8"/>
    </row>
    <row r="105" spans="2:25" s="217" customFormat="1">
      <c r="B105" s="218"/>
      <c r="C105" s="231" t="s">
        <v>146</v>
      </c>
      <c r="D105" s="224" t="s">
        <v>66</v>
      </c>
      <c r="E105" s="225">
        <v>1</v>
      </c>
      <c r="F105" s="229">
        <v>0</v>
      </c>
      <c r="G105" s="230">
        <f t="shared" si="7"/>
        <v>0</v>
      </c>
      <c r="H105" s="8"/>
      <c r="I105" s="8"/>
      <c r="J105" s="8"/>
      <c r="K105" s="8"/>
      <c r="L105" s="8"/>
      <c r="M105" s="8"/>
      <c r="N105" s="8"/>
      <c r="O105" s="8"/>
      <c r="P105" s="8"/>
      <c r="Q105" s="8"/>
      <c r="R105" s="8"/>
      <c r="S105" s="8"/>
      <c r="T105" s="8"/>
      <c r="U105" s="8"/>
      <c r="V105" s="8"/>
      <c r="W105" s="8"/>
      <c r="X105" s="8"/>
      <c r="Y105" s="8"/>
    </row>
    <row r="106" spans="2:25" s="217" customFormat="1">
      <c r="B106" s="218"/>
      <c r="C106" s="232" t="s">
        <v>147</v>
      </c>
      <c r="D106" s="224" t="s">
        <v>66</v>
      </c>
      <c r="E106" s="225">
        <v>1</v>
      </c>
      <c r="F106" s="229">
        <v>0</v>
      </c>
      <c r="G106" s="230">
        <f t="shared" si="7"/>
        <v>0</v>
      </c>
      <c r="H106" s="8"/>
      <c r="I106" s="8"/>
      <c r="J106" s="8"/>
      <c r="K106" s="8"/>
      <c r="L106" s="8"/>
      <c r="M106" s="8"/>
      <c r="N106" s="8"/>
      <c r="O106" s="8"/>
      <c r="P106" s="8"/>
      <c r="Q106" s="8"/>
      <c r="R106" s="8"/>
      <c r="S106" s="8"/>
      <c r="T106" s="8"/>
      <c r="U106" s="8"/>
      <c r="V106" s="8"/>
      <c r="W106" s="8"/>
      <c r="X106" s="8"/>
      <c r="Y106" s="8"/>
    </row>
    <row r="107" spans="2:25" s="217" customFormat="1">
      <c r="B107" s="218"/>
      <c r="C107" s="232" t="s">
        <v>132</v>
      </c>
      <c r="D107" s="224" t="s">
        <v>66</v>
      </c>
      <c r="E107" s="225">
        <v>2</v>
      </c>
      <c r="F107" s="229">
        <v>0</v>
      </c>
      <c r="G107" s="230">
        <f t="shared" si="7"/>
        <v>0</v>
      </c>
      <c r="H107" s="8"/>
      <c r="I107" s="8"/>
      <c r="J107" s="8"/>
      <c r="K107" s="8"/>
      <c r="L107" s="8"/>
      <c r="M107" s="8"/>
      <c r="N107" s="8"/>
      <c r="O107" s="8"/>
      <c r="P107" s="8"/>
      <c r="Q107" s="8"/>
      <c r="R107" s="8"/>
      <c r="S107" s="8"/>
      <c r="T107" s="8"/>
      <c r="U107" s="8"/>
      <c r="V107" s="8"/>
      <c r="W107" s="8"/>
      <c r="X107" s="8"/>
      <c r="Y107" s="8"/>
    </row>
    <row r="108" spans="2:25" s="217" customFormat="1">
      <c r="B108" s="218"/>
      <c r="C108" s="232" t="s">
        <v>148</v>
      </c>
      <c r="D108" s="224" t="s">
        <v>66</v>
      </c>
      <c r="E108" s="225">
        <v>2</v>
      </c>
      <c r="F108" s="229">
        <v>0</v>
      </c>
      <c r="G108" s="230">
        <f t="shared" si="7"/>
        <v>0</v>
      </c>
      <c r="H108" s="8"/>
      <c r="I108" s="8"/>
      <c r="J108" s="8"/>
      <c r="K108" s="8"/>
      <c r="L108" s="8"/>
      <c r="M108" s="8"/>
      <c r="N108" s="8"/>
      <c r="O108" s="8"/>
      <c r="P108" s="8"/>
      <c r="Q108" s="8"/>
      <c r="R108" s="8"/>
      <c r="S108" s="8"/>
      <c r="T108" s="8"/>
      <c r="U108" s="8"/>
      <c r="V108" s="8"/>
      <c r="W108" s="8"/>
      <c r="X108" s="8"/>
      <c r="Y108" s="8"/>
    </row>
    <row r="109" spans="2:25" s="217" customFormat="1">
      <c r="B109" s="218"/>
      <c r="C109" s="232" t="s">
        <v>149</v>
      </c>
      <c r="D109" s="224" t="s">
        <v>66</v>
      </c>
      <c r="E109" s="225">
        <v>1</v>
      </c>
      <c r="F109" s="229">
        <v>0</v>
      </c>
      <c r="G109" s="230">
        <f t="shared" si="7"/>
        <v>0</v>
      </c>
      <c r="H109" s="8"/>
      <c r="I109" s="8"/>
      <c r="J109" s="8"/>
      <c r="K109" s="8"/>
      <c r="L109" s="8"/>
      <c r="M109" s="8"/>
      <c r="N109" s="8"/>
      <c r="O109" s="8"/>
      <c r="P109" s="8"/>
      <c r="Q109" s="8"/>
      <c r="R109" s="8"/>
      <c r="S109" s="8"/>
      <c r="T109" s="8"/>
      <c r="U109" s="8"/>
      <c r="V109" s="8"/>
      <c r="W109" s="8"/>
      <c r="X109" s="8"/>
      <c r="Y109" s="8"/>
    </row>
    <row r="110" spans="2:25" s="217" customFormat="1">
      <c r="B110" s="218"/>
      <c r="C110" s="232" t="s">
        <v>150</v>
      </c>
      <c r="D110" s="224" t="s">
        <v>66</v>
      </c>
      <c r="E110" s="225">
        <v>2</v>
      </c>
      <c r="F110" s="229">
        <v>0</v>
      </c>
      <c r="G110" s="230">
        <f t="shared" si="7"/>
        <v>0</v>
      </c>
      <c r="H110" s="8"/>
      <c r="I110" s="8"/>
      <c r="J110" s="8"/>
      <c r="K110" s="8"/>
      <c r="L110" s="8"/>
      <c r="M110" s="8"/>
      <c r="N110" s="8"/>
      <c r="O110" s="8"/>
      <c r="P110" s="8"/>
      <c r="Q110" s="8"/>
      <c r="R110" s="8"/>
      <c r="S110" s="8"/>
      <c r="T110" s="8"/>
      <c r="U110" s="8"/>
      <c r="V110" s="8"/>
      <c r="W110" s="8"/>
      <c r="X110" s="8"/>
      <c r="Y110" s="8"/>
    </row>
    <row r="111" spans="2:25" s="217" customFormat="1">
      <c r="B111" s="218"/>
      <c r="C111" s="233" t="s">
        <v>135</v>
      </c>
      <c r="D111" s="224" t="s">
        <v>66</v>
      </c>
      <c r="E111" s="225">
        <v>3</v>
      </c>
      <c r="F111" s="229">
        <v>0</v>
      </c>
      <c r="G111" s="230">
        <f>E111*F111</f>
        <v>0</v>
      </c>
      <c r="H111" s="8"/>
      <c r="I111" s="8"/>
      <c r="J111" s="8"/>
      <c r="K111" s="8"/>
      <c r="L111" s="8"/>
      <c r="M111" s="8"/>
      <c r="N111" s="8"/>
      <c r="O111" s="8"/>
      <c r="P111" s="8"/>
      <c r="Q111" s="8"/>
      <c r="R111" s="8"/>
      <c r="S111" s="8"/>
      <c r="T111" s="8"/>
      <c r="U111" s="8"/>
      <c r="V111" s="8"/>
      <c r="W111" s="8"/>
      <c r="X111" s="8"/>
      <c r="Y111" s="8"/>
    </row>
    <row r="112" spans="2:25" s="217" customFormat="1">
      <c r="B112" s="201" t="s">
        <v>136</v>
      </c>
      <c r="C112" s="212" t="s">
        <v>152</v>
      </c>
      <c r="D112" s="213"/>
      <c r="E112" s="214"/>
      <c r="F112" s="215"/>
      <c r="G112" s="216"/>
      <c r="H112" s="8"/>
      <c r="I112" s="8"/>
      <c r="J112" s="8"/>
      <c r="K112" s="8"/>
      <c r="L112" s="8"/>
      <c r="M112" s="8"/>
      <c r="N112" s="8"/>
      <c r="O112" s="8"/>
      <c r="P112" s="8"/>
      <c r="Q112" s="8"/>
      <c r="R112" s="8"/>
      <c r="S112" s="8"/>
      <c r="T112" s="8"/>
      <c r="U112" s="8"/>
      <c r="V112" s="8"/>
      <c r="W112" s="8"/>
      <c r="X112" s="8"/>
      <c r="Y112" s="8"/>
    </row>
    <row r="113" spans="2:25" s="217" customFormat="1">
      <c r="B113" s="218"/>
      <c r="C113" s="212" t="s">
        <v>153</v>
      </c>
      <c r="D113" s="213"/>
      <c r="E113" s="214"/>
      <c r="F113" s="215"/>
      <c r="G113" s="216"/>
      <c r="H113" s="8"/>
      <c r="I113" s="8"/>
      <c r="J113" s="8"/>
      <c r="K113" s="8"/>
      <c r="L113" s="8"/>
      <c r="M113" s="8"/>
      <c r="N113" s="8"/>
      <c r="O113" s="8"/>
      <c r="P113" s="8"/>
      <c r="Q113" s="8"/>
      <c r="R113" s="8"/>
      <c r="S113" s="8"/>
      <c r="T113" s="8"/>
      <c r="U113" s="8"/>
      <c r="V113" s="8"/>
      <c r="W113" s="8"/>
      <c r="X113" s="8"/>
      <c r="Y113" s="8"/>
    </row>
    <row r="114" spans="2:25" s="217" customFormat="1">
      <c r="B114" s="218"/>
      <c r="C114" s="219" t="s">
        <v>129</v>
      </c>
      <c r="D114" s="213" t="s">
        <v>66</v>
      </c>
      <c r="E114" s="214">
        <v>7</v>
      </c>
      <c r="F114" s="220">
        <v>0</v>
      </c>
      <c r="G114" s="221">
        <f t="shared" ref="G114:G135" si="8">E114*F114</f>
        <v>0</v>
      </c>
      <c r="H114" s="8"/>
      <c r="I114" s="8"/>
      <c r="J114" s="8"/>
      <c r="K114" s="8"/>
      <c r="L114" s="8"/>
      <c r="M114" s="8"/>
      <c r="N114" s="8"/>
      <c r="O114" s="8"/>
      <c r="P114" s="8"/>
      <c r="Q114" s="8"/>
      <c r="R114" s="8"/>
      <c r="S114" s="8"/>
      <c r="T114" s="8"/>
      <c r="U114" s="8"/>
      <c r="V114" s="8"/>
      <c r="W114" s="8"/>
      <c r="X114" s="8"/>
      <c r="Y114" s="8"/>
    </row>
    <row r="115" spans="2:25" s="217" customFormat="1" ht="24.75" customHeight="1">
      <c r="B115" s="218"/>
      <c r="C115" s="222" t="s">
        <v>154</v>
      </c>
      <c r="D115" s="213" t="s">
        <v>66</v>
      </c>
      <c r="E115" s="214">
        <v>7</v>
      </c>
      <c r="F115" s="220">
        <v>0</v>
      </c>
      <c r="G115" s="221">
        <f t="shared" si="8"/>
        <v>0</v>
      </c>
      <c r="H115" s="8"/>
      <c r="I115" s="8"/>
      <c r="J115" s="8"/>
      <c r="K115" s="8"/>
      <c r="L115" s="8"/>
      <c r="M115" s="8"/>
      <c r="N115" s="8"/>
      <c r="O115" s="8"/>
      <c r="P115" s="8"/>
      <c r="Q115" s="8"/>
      <c r="R115" s="8"/>
      <c r="S115" s="8"/>
      <c r="T115" s="8"/>
      <c r="U115" s="8"/>
      <c r="V115" s="8"/>
      <c r="W115" s="8"/>
      <c r="X115" s="8"/>
      <c r="Y115" s="8"/>
    </row>
    <row r="116" spans="2:25" s="217" customFormat="1">
      <c r="B116" s="218"/>
      <c r="C116" s="222" t="s">
        <v>155</v>
      </c>
      <c r="D116" s="213" t="s">
        <v>66</v>
      </c>
      <c r="E116" s="214">
        <v>7</v>
      </c>
      <c r="F116" s="220">
        <v>0</v>
      </c>
      <c r="G116" s="221">
        <f t="shared" si="8"/>
        <v>0</v>
      </c>
      <c r="H116" s="8"/>
      <c r="I116" s="8"/>
      <c r="J116" s="8"/>
      <c r="K116" s="8"/>
      <c r="L116" s="8"/>
      <c r="M116" s="8"/>
      <c r="N116" s="8"/>
      <c r="O116" s="8"/>
      <c r="P116" s="8"/>
      <c r="Q116" s="8"/>
      <c r="R116" s="8"/>
      <c r="S116" s="8"/>
      <c r="T116" s="8"/>
      <c r="U116" s="8"/>
      <c r="V116" s="8"/>
      <c r="W116" s="8"/>
      <c r="X116" s="8"/>
      <c r="Y116" s="8"/>
    </row>
    <row r="117" spans="2:25" s="217" customFormat="1">
      <c r="B117" s="218"/>
      <c r="C117" s="222" t="s">
        <v>156</v>
      </c>
      <c r="D117" s="213" t="s">
        <v>66</v>
      </c>
      <c r="E117" s="214">
        <v>7</v>
      </c>
      <c r="F117" s="220">
        <v>0</v>
      </c>
      <c r="G117" s="221">
        <f t="shared" si="8"/>
        <v>0</v>
      </c>
      <c r="H117" s="8"/>
      <c r="I117" s="8"/>
      <c r="J117" s="8"/>
      <c r="K117" s="8"/>
      <c r="L117" s="8"/>
      <c r="M117" s="8"/>
      <c r="N117" s="8"/>
      <c r="O117" s="8"/>
      <c r="P117" s="8"/>
      <c r="Q117" s="8"/>
      <c r="R117" s="8"/>
      <c r="S117" s="8"/>
      <c r="T117" s="8"/>
      <c r="U117" s="8"/>
      <c r="V117" s="8"/>
      <c r="W117" s="8"/>
      <c r="X117" s="8"/>
      <c r="Y117" s="8"/>
    </row>
    <row r="118" spans="2:25" s="217" customFormat="1">
      <c r="B118" s="218"/>
      <c r="C118" s="222" t="s">
        <v>157</v>
      </c>
      <c r="D118" s="213" t="s">
        <v>66</v>
      </c>
      <c r="E118" s="214">
        <v>7</v>
      </c>
      <c r="F118" s="220">
        <v>0</v>
      </c>
      <c r="G118" s="221">
        <f t="shared" si="8"/>
        <v>0</v>
      </c>
      <c r="H118" s="8"/>
      <c r="I118" s="8"/>
      <c r="J118" s="8"/>
      <c r="K118" s="8"/>
      <c r="L118" s="8"/>
      <c r="M118" s="8"/>
      <c r="N118" s="8"/>
      <c r="O118" s="8"/>
      <c r="P118" s="8"/>
      <c r="Q118" s="8"/>
      <c r="R118" s="8"/>
      <c r="S118" s="8"/>
      <c r="T118" s="8"/>
      <c r="U118" s="8"/>
      <c r="V118" s="8"/>
      <c r="W118" s="8"/>
      <c r="X118" s="8"/>
      <c r="Y118" s="8"/>
    </row>
    <row r="119" spans="2:25" s="217" customFormat="1">
      <c r="B119" s="218"/>
      <c r="C119" s="234" t="s">
        <v>158</v>
      </c>
      <c r="D119" s="213" t="s">
        <v>66</v>
      </c>
      <c r="E119" s="214">
        <v>7</v>
      </c>
      <c r="F119" s="220">
        <v>0</v>
      </c>
      <c r="G119" s="221">
        <f t="shared" si="8"/>
        <v>0</v>
      </c>
      <c r="H119" s="8"/>
      <c r="I119" s="8"/>
      <c r="J119" s="8"/>
      <c r="K119" s="8"/>
      <c r="L119" s="8"/>
      <c r="M119" s="8"/>
      <c r="N119" s="8"/>
      <c r="O119" s="8"/>
      <c r="P119" s="8"/>
      <c r="Q119" s="8"/>
      <c r="R119" s="8"/>
      <c r="S119" s="8"/>
      <c r="T119" s="8"/>
      <c r="U119" s="8"/>
      <c r="V119" s="8"/>
      <c r="W119" s="8"/>
      <c r="X119" s="8"/>
      <c r="Y119" s="8"/>
    </row>
    <row r="120" spans="2:25" s="217" customFormat="1">
      <c r="B120" s="218"/>
      <c r="C120" s="234" t="s">
        <v>132</v>
      </c>
      <c r="D120" s="213" t="s">
        <v>66</v>
      </c>
      <c r="E120" s="214">
        <v>14</v>
      </c>
      <c r="F120" s="220">
        <v>0</v>
      </c>
      <c r="G120" s="221">
        <f t="shared" si="8"/>
        <v>0</v>
      </c>
      <c r="H120" s="8"/>
      <c r="I120" s="8"/>
      <c r="J120" s="8"/>
      <c r="K120" s="8"/>
      <c r="L120" s="8"/>
      <c r="M120" s="8"/>
      <c r="N120" s="8"/>
      <c r="O120" s="8"/>
      <c r="P120" s="8"/>
      <c r="Q120" s="8"/>
      <c r="R120" s="8"/>
      <c r="S120" s="8"/>
      <c r="T120" s="8"/>
      <c r="U120" s="8"/>
      <c r="V120" s="8"/>
      <c r="W120" s="8"/>
      <c r="X120" s="8"/>
      <c r="Y120" s="8"/>
    </row>
    <row r="121" spans="2:25" s="217" customFormat="1">
      <c r="B121" s="218"/>
      <c r="C121" s="234" t="s">
        <v>148</v>
      </c>
      <c r="D121" s="213" t="s">
        <v>66</v>
      </c>
      <c r="E121" s="214">
        <v>14</v>
      </c>
      <c r="F121" s="220">
        <v>0</v>
      </c>
      <c r="G121" s="221">
        <f t="shared" si="8"/>
        <v>0</v>
      </c>
      <c r="H121" s="8"/>
      <c r="I121" s="8"/>
      <c r="J121" s="8"/>
      <c r="K121" s="8"/>
      <c r="L121" s="8"/>
      <c r="M121" s="8"/>
      <c r="N121" s="8"/>
      <c r="O121" s="8"/>
      <c r="P121" s="8"/>
      <c r="Q121" s="8"/>
      <c r="R121" s="8"/>
      <c r="S121" s="8"/>
      <c r="T121" s="8"/>
      <c r="U121" s="8"/>
      <c r="V121" s="8"/>
      <c r="W121" s="8"/>
      <c r="X121" s="8"/>
      <c r="Y121" s="8"/>
    </row>
    <row r="122" spans="2:25" s="217" customFormat="1">
      <c r="B122" s="218"/>
      <c r="C122" s="234" t="s">
        <v>150</v>
      </c>
      <c r="D122" s="213" t="s">
        <v>66</v>
      </c>
      <c r="E122" s="214">
        <v>7</v>
      </c>
      <c r="F122" s="220">
        <v>0</v>
      </c>
      <c r="G122" s="221">
        <f t="shared" si="8"/>
        <v>0</v>
      </c>
      <c r="H122" s="8"/>
      <c r="I122" s="8"/>
      <c r="J122" s="8"/>
      <c r="K122" s="8"/>
      <c r="L122" s="8"/>
      <c r="M122" s="8"/>
      <c r="N122" s="8"/>
      <c r="O122" s="8"/>
      <c r="P122" s="8"/>
      <c r="Q122" s="8"/>
      <c r="R122" s="8"/>
      <c r="S122" s="8"/>
      <c r="T122" s="8"/>
      <c r="U122" s="8"/>
      <c r="V122" s="8"/>
      <c r="W122" s="8"/>
      <c r="X122" s="8"/>
      <c r="Y122" s="8"/>
    </row>
    <row r="123" spans="2:25" s="217" customFormat="1">
      <c r="B123" s="218"/>
      <c r="C123" s="235" t="s">
        <v>135</v>
      </c>
      <c r="D123" s="213" t="s">
        <v>66</v>
      </c>
      <c r="E123" s="214">
        <v>7</v>
      </c>
      <c r="F123" s="220">
        <v>0</v>
      </c>
      <c r="G123" s="221">
        <f t="shared" si="8"/>
        <v>0</v>
      </c>
      <c r="H123" s="8"/>
      <c r="I123" s="8"/>
      <c r="J123" s="8"/>
      <c r="K123" s="8"/>
      <c r="L123" s="8"/>
      <c r="M123" s="8"/>
      <c r="N123" s="8"/>
      <c r="O123" s="8"/>
      <c r="P123" s="8"/>
      <c r="Q123" s="8"/>
      <c r="R123" s="8"/>
      <c r="S123" s="8"/>
      <c r="T123" s="8"/>
      <c r="U123" s="8"/>
      <c r="V123" s="8"/>
      <c r="W123" s="8"/>
      <c r="X123" s="8"/>
      <c r="Y123" s="8"/>
    </row>
    <row r="124" spans="2:25" s="217" customFormat="1">
      <c r="B124" s="201" t="s">
        <v>151</v>
      </c>
      <c r="C124" s="223" t="s">
        <v>160</v>
      </c>
      <c r="D124" s="224"/>
      <c r="E124" s="225"/>
      <c r="F124" s="226"/>
      <c r="G124" s="226"/>
      <c r="H124" s="8"/>
      <c r="I124" s="8"/>
      <c r="J124" s="8"/>
      <c r="K124" s="8"/>
      <c r="L124" s="8"/>
      <c r="M124" s="8"/>
      <c r="N124" s="8"/>
      <c r="O124" s="8"/>
      <c r="P124" s="8"/>
      <c r="Q124" s="8"/>
      <c r="R124" s="8"/>
      <c r="S124" s="8"/>
      <c r="T124" s="8"/>
      <c r="U124" s="8"/>
      <c r="V124" s="8"/>
      <c r="W124" s="8"/>
      <c r="X124" s="8"/>
      <c r="Y124" s="8"/>
    </row>
    <row r="125" spans="2:25" s="217" customFormat="1">
      <c r="B125" s="201"/>
      <c r="C125" s="223" t="s">
        <v>200</v>
      </c>
      <c r="D125" s="224"/>
      <c r="E125" s="225"/>
      <c r="F125" s="226"/>
      <c r="G125" s="226"/>
      <c r="H125" s="8"/>
      <c r="I125" s="8"/>
      <c r="J125" s="8"/>
      <c r="K125" s="8"/>
      <c r="L125" s="8"/>
      <c r="M125" s="8"/>
      <c r="N125" s="8"/>
      <c r="O125" s="8"/>
      <c r="P125" s="8"/>
      <c r="Q125" s="8"/>
      <c r="R125" s="8"/>
      <c r="S125" s="8"/>
      <c r="T125" s="8"/>
      <c r="U125" s="8"/>
      <c r="V125" s="8"/>
      <c r="W125" s="8"/>
      <c r="X125" s="8"/>
      <c r="Y125" s="8"/>
    </row>
    <row r="126" spans="2:25" s="217" customFormat="1" ht="24">
      <c r="B126" s="201"/>
      <c r="C126" s="228" t="s">
        <v>2070</v>
      </c>
      <c r="D126" s="224" t="s">
        <v>66</v>
      </c>
      <c r="E126" s="225">
        <v>1</v>
      </c>
      <c r="F126" s="229">
        <v>0</v>
      </c>
      <c r="G126" s="229">
        <f>E126*F126</f>
        <v>0</v>
      </c>
      <c r="H126" s="8"/>
      <c r="I126" s="8"/>
      <c r="J126" s="8"/>
      <c r="K126" s="8"/>
      <c r="L126" s="8"/>
      <c r="M126" s="8"/>
      <c r="N126" s="8"/>
      <c r="O126" s="8"/>
      <c r="P126" s="8"/>
      <c r="Q126" s="8"/>
      <c r="R126" s="8"/>
      <c r="S126" s="8"/>
      <c r="T126" s="8"/>
      <c r="U126" s="8"/>
      <c r="V126" s="8"/>
      <c r="W126" s="8"/>
      <c r="X126" s="8"/>
      <c r="Y126" s="8"/>
    </row>
    <row r="127" spans="2:25" s="217" customFormat="1">
      <c r="B127" s="201"/>
      <c r="C127" s="228" t="s">
        <v>201</v>
      </c>
      <c r="D127" s="224" t="s">
        <v>66</v>
      </c>
      <c r="E127" s="225">
        <v>1</v>
      </c>
      <c r="F127" s="229">
        <v>0</v>
      </c>
      <c r="G127" s="229">
        <f t="shared" si="8"/>
        <v>0</v>
      </c>
      <c r="H127" s="8"/>
      <c r="I127" s="8"/>
      <c r="J127" s="8"/>
      <c r="K127" s="8"/>
      <c r="L127" s="8"/>
      <c r="M127" s="8"/>
      <c r="N127" s="8"/>
      <c r="O127" s="8"/>
      <c r="P127" s="8"/>
      <c r="Q127" s="8"/>
      <c r="R127" s="8"/>
      <c r="S127" s="8"/>
      <c r="T127" s="8"/>
      <c r="U127" s="8"/>
      <c r="V127" s="8"/>
      <c r="W127" s="8"/>
      <c r="X127" s="8"/>
      <c r="Y127" s="8"/>
    </row>
    <row r="128" spans="2:25" s="217" customFormat="1">
      <c r="B128" s="201"/>
      <c r="C128" s="279" t="s">
        <v>132</v>
      </c>
      <c r="D128" s="224" t="s">
        <v>66</v>
      </c>
      <c r="E128" s="225">
        <v>1</v>
      </c>
      <c r="F128" s="229">
        <v>0</v>
      </c>
      <c r="G128" s="229">
        <f t="shared" si="8"/>
        <v>0</v>
      </c>
      <c r="H128" s="8"/>
      <c r="I128" s="8"/>
      <c r="J128" s="8"/>
      <c r="K128" s="8"/>
      <c r="L128" s="8"/>
      <c r="M128" s="8"/>
      <c r="N128" s="8"/>
      <c r="O128" s="8"/>
      <c r="P128" s="8"/>
      <c r="Q128" s="8"/>
      <c r="R128" s="8"/>
      <c r="S128" s="8"/>
      <c r="T128" s="8"/>
      <c r="U128" s="8"/>
      <c r="V128" s="8"/>
      <c r="W128" s="8"/>
      <c r="X128" s="8"/>
      <c r="Y128" s="8"/>
    </row>
    <row r="129" spans="2:25" s="217" customFormat="1">
      <c r="B129" s="201"/>
      <c r="C129" s="279" t="s">
        <v>166</v>
      </c>
      <c r="D129" s="224" t="s">
        <v>66</v>
      </c>
      <c r="E129" s="225">
        <v>1</v>
      </c>
      <c r="F129" s="229">
        <v>0</v>
      </c>
      <c r="G129" s="229">
        <f t="shared" si="8"/>
        <v>0</v>
      </c>
      <c r="H129" s="8"/>
      <c r="I129" s="8"/>
      <c r="J129" s="8"/>
      <c r="K129" s="8"/>
      <c r="L129" s="8"/>
      <c r="M129" s="8"/>
      <c r="N129" s="8"/>
      <c r="O129" s="8"/>
      <c r="P129" s="8"/>
      <c r="Q129" s="8"/>
      <c r="R129" s="8"/>
      <c r="S129" s="8"/>
      <c r="T129" s="8"/>
      <c r="U129" s="8"/>
      <c r="V129" s="8"/>
      <c r="W129" s="8"/>
      <c r="X129" s="8"/>
      <c r="Y129" s="8"/>
    </row>
    <row r="130" spans="2:25" s="217" customFormat="1">
      <c r="B130" s="201"/>
      <c r="C130" s="279" t="s">
        <v>202</v>
      </c>
      <c r="D130" s="224" t="s">
        <v>66</v>
      </c>
      <c r="E130" s="225">
        <v>1</v>
      </c>
      <c r="F130" s="229">
        <v>0</v>
      </c>
      <c r="G130" s="229">
        <f t="shared" si="8"/>
        <v>0</v>
      </c>
      <c r="H130" s="8"/>
      <c r="I130" s="8"/>
      <c r="J130" s="8"/>
      <c r="K130" s="8"/>
      <c r="L130" s="8"/>
      <c r="M130" s="8"/>
      <c r="N130" s="8"/>
      <c r="O130" s="8"/>
      <c r="P130" s="8"/>
      <c r="Q130" s="8"/>
      <c r="R130" s="8"/>
      <c r="S130" s="8"/>
      <c r="T130" s="8"/>
      <c r="U130" s="8"/>
      <c r="V130" s="8"/>
      <c r="W130" s="8"/>
      <c r="X130" s="8"/>
      <c r="Y130" s="8"/>
    </row>
    <row r="131" spans="2:25" s="217" customFormat="1">
      <c r="B131" s="201"/>
      <c r="C131" s="279" t="s">
        <v>203</v>
      </c>
      <c r="D131" s="224" t="s">
        <v>66</v>
      </c>
      <c r="E131" s="225">
        <v>1</v>
      </c>
      <c r="F131" s="229">
        <v>0</v>
      </c>
      <c r="G131" s="229">
        <f t="shared" si="8"/>
        <v>0</v>
      </c>
      <c r="H131" s="8"/>
      <c r="I131" s="8"/>
      <c r="J131" s="8"/>
      <c r="K131" s="8"/>
      <c r="L131" s="8"/>
      <c r="M131" s="8"/>
      <c r="N131" s="8"/>
      <c r="O131" s="8"/>
      <c r="P131" s="8"/>
      <c r="Q131" s="8"/>
      <c r="R131" s="8"/>
      <c r="S131" s="8"/>
      <c r="T131" s="8"/>
      <c r="U131" s="8"/>
      <c r="V131" s="8"/>
      <c r="W131" s="8"/>
      <c r="X131" s="8"/>
      <c r="Y131" s="8"/>
    </row>
    <row r="132" spans="2:25" s="217" customFormat="1">
      <c r="B132" s="201"/>
      <c r="C132" s="279" t="s">
        <v>204</v>
      </c>
      <c r="D132" s="224" t="s">
        <v>66</v>
      </c>
      <c r="E132" s="225">
        <v>1</v>
      </c>
      <c r="F132" s="229">
        <v>0</v>
      </c>
      <c r="G132" s="229">
        <f t="shared" si="8"/>
        <v>0</v>
      </c>
      <c r="H132" s="8"/>
      <c r="I132" s="8"/>
      <c r="J132" s="8"/>
      <c r="K132" s="8"/>
      <c r="L132" s="8"/>
      <c r="M132" s="8"/>
      <c r="N132" s="8"/>
      <c r="O132" s="8"/>
      <c r="P132" s="8"/>
      <c r="Q132" s="8"/>
      <c r="R132" s="8"/>
      <c r="S132" s="8"/>
      <c r="T132" s="8"/>
      <c r="U132" s="8"/>
      <c r="V132" s="8"/>
      <c r="W132" s="8"/>
      <c r="X132" s="8"/>
      <c r="Y132" s="8"/>
    </row>
    <row r="133" spans="2:25" s="217" customFormat="1">
      <c r="B133" s="201"/>
      <c r="C133" s="279" t="s">
        <v>205</v>
      </c>
      <c r="D133" s="224" t="s">
        <v>66</v>
      </c>
      <c r="E133" s="225">
        <v>1</v>
      </c>
      <c r="F133" s="229">
        <v>0</v>
      </c>
      <c r="G133" s="229">
        <f t="shared" si="8"/>
        <v>0</v>
      </c>
      <c r="H133" s="8"/>
      <c r="I133" s="8"/>
      <c r="J133" s="8"/>
      <c r="K133" s="8"/>
      <c r="L133" s="8"/>
      <c r="M133" s="8"/>
      <c r="N133" s="8"/>
      <c r="O133" s="8"/>
      <c r="P133" s="8"/>
      <c r="Q133" s="8"/>
      <c r="R133" s="8"/>
      <c r="S133" s="8"/>
      <c r="T133" s="8"/>
      <c r="U133" s="8"/>
      <c r="V133" s="8"/>
      <c r="W133" s="8"/>
      <c r="X133" s="8"/>
      <c r="Y133" s="8"/>
    </row>
    <row r="134" spans="2:25" s="217" customFormat="1">
      <c r="B134" s="201"/>
      <c r="C134" s="232" t="s">
        <v>150</v>
      </c>
      <c r="D134" s="224" t="s">
        <v>66</v>
      </c>
      <c r="E134" s="225">
        <v>1</v>
      </c>
      <c r="F134" s="229">
        <v>0</v>
      </c>
      <c r="G134" s="229">
        <f t="shared" si="8"/>
        <v>0</v>
      </c>
      <c r="H134" s="8"/>
      <c r="I134" s="8"/>
      <c r="J134" s="8"/>
      <c r="K134" s="8"/>
      <c r="L134" s="8"/>
      <c r="M134" s="8"/>
      <c r="N134" s="8"/>
      <c r="O134" s="8"/>
      <c r="P134" s="8"/>
      <c r="Q134" s="8"/>
      <c r="R134" s="8"/>
      <c r="S134" s="8"/>
      <c r="T134" s="8"/>
      <c r="U134" s="8"/>
      <c r="V134" s="8"/>
      <c r="W134" s="8"/>
      <c r="X134" s="8"/>
      <c r="Y134" s="8"/>
    </row>
    <row r="135" spans="2:25" s="217" customFormat="1">
      <c r="B135" s="201"/>
      <c r="C135" s="233" t="s">
        <v>135</v>
      </c>
      <c r="D135" s="224" t="s">
        <v>66</v>
      </c>
      <c r="E135" s="225">
        <v>1</v>
      </c>
      <c r="F135" s="229">
        <v>0</v>
      </c>
      <c r="G135" s="229">
        <f t="shared" si="8"/>
        <v>0</v>
      </c>
      <c r="H135" s="8"/>
      <c r="I135" s="8"/>
      <c r="J135" s="8"/>
      <c r="K135" s="8"/>
      <c r="L135" s="8"/>
      <c r="M135" s="8"/>
      <c r="N135" s="8"/>
      <c r="O135" s="8"/>
      <c r="P135" s="8"/>
      <c r="Q135" s="8"/>
      <c r="R135" s="8"/>
      <c r="S135" s="8"/>
      <c r="T135" s="8"/>
      <c r="U135" s="8"/>
      <c r="V135" s="8"/>
      <c r="W135" s="8"/>
      <c r="X135" s="8"/>
      <c r="Y135" s="8"/>
    </row>
    <row r="136" spans="2:25" s="217" customFormat="1">
      <c r="B136" s="218"/>
      <c r="C136" s="223" t="s">
        <v>206</v>
      </c>
      <c r="D136" s="224"/>
      <c r="E136" s="225"/>
      <c r="F136" s="226"/>
      <c r="G136" s="227"/>
      <c r="H136" s="8"/>
      <c r="I136" s="8"/>
      <c r="J136" s="8"/>
      <c r="K136" s="8"/>
      <c r="L136" s="8"/>
      <c r="M136" s="8"/>
      <c r="N136" s="8"/>
      <c r="O136" s="8"/>
      <c r="P136" s="8"/>
      <c r="Q136" s="8"/>
      <c r="R136" s="8"/>
      <c r="S136" s="8"/>
      <c r="T136" s="8"/>
      <c r="U136" s="8"/>
      <c r="V136" s="8"/>
      <c r="W136" s="8"/>
      <c r="X136" s="8"/>
      <c r="Y136" s="8"/>
    </row>
    <row r="137" spans="2:25" s="217" customFormat="1" ht="14.25" customHeight="1">
      <c r="B137" s="218"/>
      <c r="C137" s="228" t="s">
        <v>207</v>
      </c>
      <c r="D137" s="224" t="s">
        <v>66</v>
      </c>
      <c r="E137" s="225">
        <v>1</v>
      </c>
      <c r="F137" s="229">
        <v>0</v>
      </c>
      <c r="G137" s="230">
        <f t="shared" ref="G137:G144" si="9">E137*F137</f>
        <v>0</v>
      </c>
      <c r="H137" s="8"/>
      <c r="I137" s="8"/>
      <c r="J137" s="8"/>
      <c r="K137" s="8"/>
      <c r="L137" s="8"/>
      <c r="M137" s="8"/>
      <c r="N137" s="8"/>
      <c r="O137" s="8"/>
      <c r="P137" s="8"/>
      <c r="Q137" s="8"/>
      <c r="R137" s="8"/>
      <c r="S137" s="8"/>
      <c r="T137" s="8"/>
      <c r="U137" s="8"/>
      <c r="V137" s="8"/>
      <c r="W137" s="8"/>
      <c r="X137" s="8"/>
      <c r="Y137" s="8"/>
    </row>
    <row r="138" spans="2:25" s="217" customFormat="1">
      <c r="B138" s="218"/>
      <c r="C138" s="232" t="s">
        <v>139</v>
      </c>
      <c r="D138" s="224" t="s">
        <v>66</v>
      </c>
      <c r="E138" s="225">
        <v>1</v>
      </c>
      <c r="F138" s="229">
        <v>0</v>
      </c>
      <c r="G138" s="230">
        <f t="shared" si="9"/>
        <v>0</v>
      </c>
      <c r="H138" s="8"/>
      <c r="I138" s="8"/>
      <c r="J138" s="8"/>
      <c r="K138" s="8"/>
      <c r="L138" s="8"/>
      <c r="M138" s="8"/>
      <c r="N138" s="8"/>
      <c r="O138" s="8"/>
      <c r="P138" s="8"/>
      <c r="Q138" s="8"/>
      <c r="R138" s="8"/>
      <c r="S138" s="8"/>
      <c r="T138" s="8"/>
      <c r="U138" s="8"/>
      <c r="V138" s="8"/>
      <c r="W138" s="8"/>
      <c r="X138" s="8"/>
      <c r="Y138" s="8"/>
    </row>
    <row r="139" spans="2:25" s="217" customFormat="1">
      <c r="B139" s="218"/>
      <c r="C139" s="232" t="s">
        <v>208</v>
      </c>
      <c r="D139" s="224" t="s">
        <v>66</v>
      </c>
      <c r="E139" s="225">
        <v>2</v>
      </c>
      <c r="F139" s="229">
        <v>0</v>
      </c>
      <c r="G139" s="230">
        <f t="shared" si="9"/>
        <v>0</v>
      </c>
      <c r="H139" s="8"/>
      <c r="I139" s="8"/>
      <c r="J139" s="8"/>
      <c r="K139" s="8"/>
      <c r="L139" s="8"/>
      <c r="M139" s="8"/>
      <c r="N139" s="8"/>
      <c r="O139" s="8"/>
      <c r="P139" s="8"/>
      <c r="Q139" s="8"/>
      <c r="R139" s="8"/>
      <c r="S139" s="8"/>
      <c r="T139" s="8"/>
      <c r="U139" s="8"/>
      <c r="V139" s="8"/>
      <c r="W139" s="8"/>
      <c r="X139" s="8"/>
      <c r="Y139" s="8"/>
    </row>
    <row r="140" spans="2:25" s="217" customFormat="1">
      <c r="B140" s="218"/>
      <c r="C140" s="232" t="s">
        <v>132</v>
      </c>
      <c r="D140" s="224" t="s">
        <v>66</v>
      </c>
      <c r="E140" s="225">
        <v>1</v>
      </c>
      <c r="F140" s="229">
        <v>0</v>
      </c>
      <c r="G140" s="230">
        <f t="shared" si="9"/>
        <v>0</v>
      </c>
      <c r="H140" s="8"/>
      <c r="I140" s="8"/>
      <c r="J140" s="8"/>
      <c r="K140" s="8"/>
      <c r="L140" s="8"/>
      <c r="M140" s="8"/>
      <c r="N140" s="8"/>
      <c r="O140" s="8"/>
      <c r="P140" s="8"/>
      <c r="Q140" s="8"/>
      <c r="R140" s="8"/>
      <c r="S140" s="8"/>
      <c r="T140" s="8"/>
      <c r="U140" s="8"/>
      <c r="V140" s="8"/>
      <c r="W140" s="8"/>
      <c r="X140" s="8"/>
      <c r="Y140" s="8"/>
    </row>
    <row r="141" spans="2:25" s="217" customFormat="1">
      <c r="B141" s="218"/>
      <c r="C141" s="232" t="s">
        <v>209</v>
      </c>
      <c r="D141" s="224" t="s">
        <v>66</v>
      </c>
      <c r="E141" s="225">
        <v>2</v>
      </c>
      <c r="F141" s="229">
        <v>0</v>
      </c>
      <c r="G141" s="230">
        <f t="shared" si="9"/>
        <v>0</v>
      </c>
      <c r="H141" s="8"/>
      <c r="I141" s="8"/>
      <c r="J141" s="8"/>
      <c r="K141" s="8"/>
      <c r="L141" s="8"/>
      <c r="M141" s="8"/>
      <c r="N141" s="8"/>
      <c r="O141" s="8"/>
      <c r="P141" s="8"/>
      <c r="Q141" s="8"/>
      <c r="R141" s="8"/>
      <c r="S141" s="8"/>
      <c r="T141" s="8"/>
      <c r="U141" s="8"/>
      <c r="V141" s="8"/>
      <c r="W141" s="8"/>
      <c r="X141" s="8"/>
      <c r="Y141" s="8"/>
    </row>
    <row r="142" spans="2:25" s="217" customFormat="1">
      <c r="B142" s="218"/>
      <c r="C142" s="232" t="s">
        <v>148</v>
      </c>
      <c r="D142" s="224" t="s">
        <v>66</v>
      </c>
      <c r="E142" s="225">
        <v>1</v>
      </c>
      <c r="F142" s="229">
        <v>0</v>
      </c>
      <c r="G142" s="230">
        <f t="shared" si="9"/>
        <v>0</v>
      </c>
      <c r="H142" s="8"/>
      <c r="I142" s="8"/>
      <c r="J142" s="8"/>
      <c r="K142" s="8"/>
      <c r="L142" s="8"/>
      <c r="M142" s="8"/>
      <c r="N142" s="8"/>
      <c r="O142" s="8"/>
      <c r="P142" s="8"/>
      <c r="Q142" s="8"/>
      <c r="R142" s="8"/>
      <c r="S142" s="8"/>
      <c r="T142" s="8"/>
      <c r="U142" s="8"/>
      <c r="V142" s="8"/>
      <c r="W142" s="8"/>
      <c r="X142" s="8"/>
      <c r="Y142" s="8"/>
    </row>
    <row r="143" spans="2:25" s="217" customFormat="1">
      <c r="B143" s="218"/>
      <c r="C143" s="232" t="s">
        <v>150</v>
      </c>
      <c r="D143" s="224" t="s">
        <v>66</v>
      </c>
      <c r="E143" s="225">
        <v>1</v>
      </c>
      <c r="F143" s="229">
        <v>0</v>
      </c>
      <c r="G143" s="230">
        <f t="shared" si="9"/>
        <v>0</v>
      </c>
      <c r="H143" s="8"/>
      <c r="I143" s="8"/>
      <c r="J143" s="8"/>
      <c r="K143" s="8"/>
      <c r="L143" s="8"/>
      <c r="M143" s="8"/>
      <c r="N143" s="8"/>
      <c r="O143" s="8"/>
      <c r="P143" s="8"/>
      <c r="Q143" s="8"/>
      <c r="R143" s="8"/>
      <c r="S143" s="8"/>
      <c r="T143" s="8"/>
      <c r="U143" s="8"/>
      <c r="V143" s="8"/>
      <c r="W143" s="8"/>
      <c r="X143" s="8"/>
      <c r="Y143" s="8"/>
    </row>
    <row r="144" spans="2:25" s="217" customFormat="1">
      <c r="B144" s="218"/>
      <c r="C144" s="233" t="s">
        <v>135</v>
      </c>
      <c r="D144" s="224" t="s">
        <v>66</v>
      </c>
      <c r="E144" s="225">
        <v>1</v>
      </c>
      <c r="F144" s="229">
        <v>0</v>
      </c>
      <c r="G144" s="230">
        <f t="shared" si="9"/>
        <v>0</v>
      </c>
      <c r="H144" s="8"/>
      <c r="I144" s="8"/>
      <c r="J144" s="8"/>
      <c r="K144" s="8"/>
      <c r="L144" s="8"/>
      <c r="M144" s="8"/>
      <c r="N144" s="8"/>
      <c r="O144" s="8"/>
      <c r="P144" s="8"/>
      <c r="Q144" s="8"/>
      <c r="R144" s="8"/>
      <c r="S144" s="8"/>
      <c r="T144" s="8"/>
      <c r="U144" s="8"/>
      <c r="V144" s="8"/>
      <c r="W144" s="8"/>
      <c r="X144" s="8"/>
      <c r="Y144" s="8"/>
    </row>
    <row r="145" spans="2:25" s="217" customFormat="1">
      <c r="B145" s="218"/>
      <c r="C145" s="223" t="s">
        <v>164</v>
      </c>
      <c r="D145" s="224"/>
      <c r="E145" s="225"/>
      <c r="F145" s="226"/>
      <c r="G145" s="227"/>
      <c r="H145" s="8"/>
      <c r="I145" s="8"/>
      <c r="J145" s="8"/>
      <c r="K145" s="8"/>
      <c r="L145" s="8"/>
      <c r="M145" s="8"/>
      <c r="N145" s="8"/>
      <c r="O145" s="8"/>
      <c r="P145" s="8"/>
      <c r="Q145" s="8"/>
      <c r="R145" s="8"/>
      <c r="S145" s="8"/>
      <c r="T145" s="8"/>
      <c r="U145" s="8"/>
      <c r="V145" s="8"/>
      <c r="W145" s="8"/>
      <c r="X145" s="8"/>
      <c r="Y145" s="8"/>
    </row>
    <row r="146" spans="2:25" s="217" customFormat="1" ht="26.25" customHeight="1">
      <c r="B146" s="218"/>
      <c r="C146" s="228" t="s">
        <v>2066</v>
      </c>
      <c r="D146" s="224" t="s">
        <v>66</v>
      </c>
      <c r="E146" s="225">
        <v>2</v>
      </c>
      <c r="F146" s="229">
        <v>0</v>
      </c>
      <c r="G146" s="230">
        <f t="shared" ref="G146:G152" si="10">E146*F146</f>
        <v>0</v>
      </c>
      <c r="H146" s="8"/>
      <c r="I146" s="8"/>
      <c r="J146" s="8"/>
      <c r="K146" s="8"/>
      <c r="L146" s="8"/>
      <c r="M146" s="8"/>
      <c r="N146" s="8"/>
      <c r="O146" s="8"/>
      <c r="P146" s="8"/>
      <c r="Q146" s="8"/>
      <c r="R146" s="8"/>
      <c r="S146" s="8"/>
      <c r="T146" s="8"/>
      <c r="U146" s="8"/>
      <c r="V146" s="8"/>
      <c r="W146" s="8"/>
      <c r="X146" s="8"/>
      <c r="Y146" s="8"/>
    </row>
    <row r="147" spans="2:25" s="217" customFormat="1">
      <c r="B147" s="218"/>
      <c r="C147" s="232" t="s">
        <v>132</v>
      </c>
      <c r="D147" s="224" t="s">
        <v>66</v>
      </c>
      <c r="E147" s="225">
        <v>4</v>
      </c>
      <c r="F147" s="229">
        <v>0</v>
      </c>
      <c r="G147" s="230">
        <f t="shared" si="10"/>
        <v>0</v>
      </c>
      <c r="H147" s="8"/>
      <c r="I147" s="8"/>
      <c r="J147" s="8"/>
      <c r="K147" s="8"/>
      <c r="L147" s="8"/>
      <c r="M147" s="8"/>
      <c r="N147" s="8"/>
      <c r="O147" s="8"/>
      <c r="P147" s="8"/>
      <c r="Q147" s="8"/>
      <c r="R147" s="8"/>
      <c r="S147" s="8"/>
      <c r="T147" s="8"/>
      <c r="U147" s="8"/>
      <c r="V147" s="8"/>
      <c r="W147" s="8"/>
      <c r="X147" s="8"/>
      <c r="Y147" s="8"/>
    </row>
    <row r="148" spans="2:25" s="217" customFormat="1">
      <c r="B148" s="218"/>
      <c r="C148" s="232" t="s">
        <v>166</v>
      </c>
      <c r="D148" s="224" t="s">
        <v>66</v>
      </c>
      <c r="E148" s="225">
        <v>2</v>
      </c>
      <c r="F148" s="229">
        <v>0</v>
      </c>
      <c r="G148" s="230">
        <f t="shared" si="10"/>
        <v>0</v>
      </c>
      <c r="H148" s="8"/>
      <c r="I148" s="8"/>
      <c r="J148" s="8"/>
      <c r="K148" s="8"/>
      <c r="L148" s="8"/>
      <c r="M148" s="8"/>
      <c r="N148" s="8"/>
      <c r="O148" s="8"/>
      <c r="P148" s="8"/>
      <c r="Q148" s="8"/>
      <c r="R148" s="8"/>
      <c r="S148" s="8"/>
      <c r="T148" s="8"/>
      <c r="U148" s="8"/>
      <c r="V148" s="8"/>
      <c r="W148" s="8"/>
      <c r="X148" s="8"/>
      <c r="Y148" s="8"/>
    </row>
    <row r="149" spans="2:25" s="217" customFormat="1">
      <c r="B149" s="218"/>
      <c r="C149" s="232" t="s">
        <v>148</v>
      </c>
      <c r="D149" s="224" t="s">
        <v>66</v>
      </c>
      <c r="E149" s="225">
        <v>4</v>
      </c>
      <c r="F149" s="229">
        <v>0</v>
      </c>
      <c r="G149" s="230">
        <f t="shared" si="10"/>
        <v>0</v>
      </c>
      <c r="H149" s="8"/>
      <c r="I149" s="8"/>
      <c r="J149" s="8"/>
      <c r="K149" s="8"/>
      <c r="L149" s="8"/>
      <c r="M149" s="8"/>
      <c r="N149" s="8"/>
      <c r="O149" s="8"/>
      <c r="P149" s="8"/>
      <c r="Q149" s="8"/>
      <c r="R149" s="8"/>
      <c r="S149" s="8"/>
      <c r="T149" s="8"/>
      <c r="U149" s="8"/>
      <c r="V149" s="8"/>
      <c r="W149" s="8"/>
      <c r="X149" s="8"/>
      <c r="Y149" s="8"/>
    </row>
    <row r="150" spans="2:25" s="217" customFormat="1">
      <c r="B150" s="218"/>
      <c r="C150" s="232" t="s">
        <v>167</v>
      </c>
      <c r="D150" s="224" t="s">
        <v>66</v>
      </c>
      <c r="E150" s="225">
        <v>2</v>
      </c>
      <c r="F150" s="229">
        <v>0</v>
      </c>
      <c r="G150" s="230">
        <f t="shared" si="10"/>
        <v>0</v>
      </c>
      <c r="H150" s="8"/>
      <c r="I150" s="8"/>
      <c r="J150" s="8"/>
      <c r="K150" s="8"/>
      <c r="L150" s="8"/>
      <c r="M150" s="8"/>
      <c r="N150" s="8"/>
      <c r="O150" s="8"/>
      <c r="P150" s="8"/>
      <c r="Q150" s="8"/>
      <c r="R150" s="8"/>
      <c r="S150" s="8"/>
      <c r="T150" s="8"/>
      <c r="U150" s="8"/>
      <c r="V150" s="8"/>
      <c r="W150" s="8"/>
      <c r="X150" s="8"/>
      <c r="Y150" s="8"/>
    </row>
    <row r="151" spans="2:25" s="217" customFormat="1">
      <c r="B151" s="218"/>
      <c r="C151" s="232" t="s">
        <v>150</v>
      </c>
      <c r="D151" s="224" t="s">
        <v>66</v>
      </c>
      <c r="E151" s="225">
        <v>2</v>
      </c>
      <c r="F151" s="229">
        <v>0</v>
      </c>
      <c r="G151" s="230">
        <f t="shared" si="10"/>
        <v>0</v>
      </c>
      <c r="H151" s="8"/>
      <c r="I151" s="8"/>
      <c r="J151" s="8"/>
      <c r="K151" s="8"/>
      <c r="L151" s="8"/>
      <c r="M151" s="8"/>
      <c r="N151" s="8"/>
      <c r="O151" s="8"/>
      <c r="P151" s="8"/>
      <c r="Q151" s="8"/>
      <c r="R151" s="8"/>
      <c r="S151" s="8"/>
      <c r="T151" s="8"/>
      <c r="U151" s="8"/>
      <c r="V151" s="8"/>
      <c r="W151" s="8"/>
      <c r="X151" s="8"/>
      <c r="Y151" s="8"/>
    </row>
    <row r="152" spans="2:25" s="217" customFormat="1">
      <c r="B152" s="218"/>
      <c r="C152" s="233" t="s">
        <v>135</v>
      </c>
      <c r="D152" s="224" t="s">
        <v>66</v>
      </c>
      <c r="E152" s="225">
        <v>2</v>
      </c>
      <c r="F152" s="229">
        <v>0</v>
      </c>
      <c r="G152" s="230">
        <f t="shared" si="10"/>
        <v>0</v>
      </c>
      <c r="H152" s="8"/>
      <c r="I152" s="8"/>
      <c r="J152" s="8"/>
      <c r="K152" s="8"/>
      <c r="L152" s="8"/>
      <c r="M152" s="8"/>
      <c r="N152" s="8"/>
      <c r="O152" s="8"/>
      <c r="P152" s="8"/>
      <c r="Q152" s="8"/>
      <c r="R152" s="8"/>
      <c r="S152" s="8"/>
      <c r="T152" s="8"/>
      <c r="U152" s="8"/>
      <c r="V152" s="8"/>
      <c r="W152" s="8"/>
      <c r="X152" s="8"/>
      <c r="Y152" s="8"/>
    </row>
    <row r="153" spans="2:25" s="217" customFormat="1">
      <c r="B153" s="201" t="s">
        <v>159</v>
      </c>
      <c r="C153" s="238" t="s">
        <v>169</v>
      </c>
      <c r="D153" s="239"/>
      <c r="E153" s="240"/>
      <c r="F153" s="241"/>
      <c r="G153" s="242"/>
      <c r="H153" s="8"/>
      <c r="I153" s="8"/>
      <c r="J153" s="8"/>
      <c r="K153" s="8"/>
      <c r="L153" s="8"/>
      <c r="M153" s="8"/>
      <c r="N153" s="8"/>
      <c r="O153" s="8"/>
      <c r="P153" s="8"/>
      <c r="Q153" s="8"/>
      <c r="R153" s="8"/>
      <c r="S153" s="8"/>
      <c r="T153" s="8"/>
      <c r="U153" s="8"/>
      <c r="V153" s="8"/>
      <c r="W153" s="8"/>
      <c r="X153" s="8"/>
      <c r="Y153" s="8"/>
    </row>
    <row r="154" spans="2:25" s="217" customFormat="1">
      <c r="B154" s="218"/>
      <c r="C154" s="238" t="s">
        <v>170</v>
      </c>
      <c r="D154" s="239"/>
      <c r="E154" s="240"/>
      <c r="F154" s="241"/>
      <c r="G154" s="242"/>
      <c r="H154" s="8"/>
      <c r="I154" s="8"/>
      <c r="J154" s="8"/>
      <c r="K154" s="8"/>
      <c r="L154" s="8"/>
      <c r="M154" s="8"/>
      <c r="N154" s="8"/>
      <c r="O154" s="8"/>
      <c r="P154" s="8"/>
      <c r="Q154" s="8"/>
      <c r="R154" s="8"/>
      <c r="S154" s="8"/>
      <c r="T154" s="8"/>
      <c r="U154" s="8"/>
      <c r="V154" s="8"/>
      <c r="W154" s="8"/>
      <c r="X154" s="8"/>
      <c r="Y154" s="8"/>
    </row>
    <row r="155" spans="2:25" s="217" customFormat="1" ht="39" customHeight="1">
      <c r="B155" s="218"/>
      <c r="C155" s="243" t="s">
        <v>2063</v>
      </c>
      <c r="D155" s="239" t="s">
        <v>66</v>
      </c>
      <c r="E155" s="240">
        <v>57</v>
      </c>
      <c r="F155" s="244">
        <v>0</v>
      </c>
      <c r="G155" s="245">
        <f t="shared" ref="G155:G157" si="11">E155*F155</f>
        <v>0</v>
      </c>
      <c r="H155" s="8"/>
      <c r="I155" s="8"/>
      <c r="J155" s="8"/>
      <c r="K155" s="8"/>
      <c r="L155" s="8"/>
      <c r="M155" s="8"/>
      <c r="N155" s="8"/>
      <c r="O155" s="8"/>
      <c r="P155" s="8"/>
      <c r="Q155" s="8"/>
      <c r="R155" s="8"/>
      <c r="S155" s="8"/>
      <c r="T155" s="8"/>
      <c r="U155" s="8"/>
      <c r="V155" s="8"/>
      <c r="W155" s="8"/>
      <c r="X155" s="8"/>
      <c r="Y155" s="8"/>
    </row>
    <row r="156" spans="2:25" s="217" customFormat="1">
      <c r="B156" s="218"/>
      <c r="C156" s="246" t="s">
        <v>171</v>
      </c>
      <c r="D156" s="239" t="s">
        <v>66</v>
      </c>
      <c r="E156" s="240">
        <v>57</v>
      </c>
      <c r="F156" s="244">
        <v>0</v>
      </c>
      <c r="G156" s="245">
        <f t="shared" si="11"/>
        <v>0</v>
      </c>
      <c r="H156" s="8"/>
      <c r="I156" s="8"/>
      <c r="J156" s="8"/>
      <c r="K156" s="8"/>
      <c r="L156" s="8"/>
      <c r="M156" s="8"/>
      <c r="N156" s="8"/>
      <c r="O156" s="8"/>
      <c r="P156" s="8"/>
      <c r="Q156" s="8"/>
      <c r="R156" s="8"/>
      <c r="S156" s="8"/>
      <c r="T156" s="8"/>
      <c r="U156" s="8"/>
      <c r="V156" s="8"/>
      <c r="W156" s="8"/>
      <c r="X156" s="8"/>
      <c r="Y156" s="8"/>
    </row>
    <row r="157" spans="2:25" s="217" customFormat="1">
      <c r="B157" s="218"/>
      <c r="C157" s="247" t="s">
        <v>135</v>
      </c>
      <c r="D157" s="239" t="s">
        <v>66</v>
      </c>
      <c r="E157" s="240">
        <v>57</v>
      </c>
      <c r="F157" s="244">
        <v>0</v>
      </c>
      <c r="G157" s="245">
        <f t="shared" si="11"/>
        <v>0</v>
      </c>
      <c r="H157" s="8"/>
      <c r="I157" s="8"/>
      <c r="J157" s="8"/>
      <c r="K157" s="8"/>
      <c r="L157" s="8"/>
      <c r="M157" s="8"/>
      <c r="N157" s="8"/>
      <c r="O157" s="8"/>
      <c r="P157" s="8"/>
      <c r="Q157" s="8"/>
      <c r="R157" s="8"/>
      <c r="S157" s="8"/>
      <c r="T157" s="8"/>
      <c r="U157" s="8"/>
      <c r="V157" s="8"/>
      <c r="W157" s="8"/>
      <c r="X157" s="8"/>
      <c r="Y157" s="8"/>
    </row>
    <row r="158" spans="2:25">
      <c r="B158" s="201" t="s">
        <v>168</v>
      </c>
      <c r="C158" s="248" t="s">
        <v>173</v>
      </c>
      <c r="D158" s="249"/>
      <c r="E158" s="250"/>
      <c r="F158" s="251"/>
      <c r="G158" s="252"/>
      <c r="I158" s="8"/>
      <c r="J158" s="8"/>
      <c r="K158" s="8"/>
      <c r="L158" s="8"/>
      <c r="M158" s="8"/>
      <c r="N158" s="8"/>
      <c r="O158" s="8"/>
      <c r="P158" s="8"/>
      <c r="Q158" s="8"/>
      <c r="R158" s="8"/>
      <c r="S158" s="8"/>
      <c r="T158" s="8"/>
      <c r="U158" s="8"/>
      <c r="V158" s="8"/>
      <c r="W158" s="8"/>
      <c r="X158" s="8"/>
      <c r="Y158" s="8"/>
    </row>
    <row r="159" spans="2:25" s="217" customFormat="1" ht="63" customHeight="1">
      <c r="B159" s="218"/>
      <c r="C159" s="253" t="s">
        <v>174</v>
      </c>
      <c r="D159" s="254" t="s">
        <v>66</v>
      </c>
      <c r="E159" s="255">
        <v>1</v>
      </c>
      <c r="F159" s="256">
        <v>0</v>
      </c>
      <c r="G159" s="257">
        <f t="shared" ref="G159" si="12">E159*F159</f>
        <v>0</v>
      </c>
      <c r="H159" s="8"/>
      <c r="I159" s="8"/>
      <c r="J159" s="8"/>
      <c r="K159" s="8"/>
      <c r="L159" s="8"/>
      <c r="M159" s="8"/>
      <c r="N159" s="8"/>
      <c r="O159" s="8"/>
      <c r="P159" s="8"/>
      <c r="Q159" s="8"/>
      <c r="R159" s="8"/>
      <c r="S159" s="8"/>
      <c r="T159" s="8"/>
      <c r="U159" s="8"/>
      <c r="V159" s="8"/>
      <c r="W159" s="8"/>
      <c r="X159" s="8"/>
      <c r="Y159" s="8"/>
    </row>
    <row r="160" spans="2:25" s="179" customFormat="1" ht="16.5" customHeight="1">
      <c r="B160" s="258" t="s">
        <v>47</v>
      </c>
      <c r="C160" s="259" t="s">
        <v>175</v>
      </c>
      <c r="D160" s="260"/>
      <c r="E160" s="261"/>
      <c r="F160" s="262"/>
      <c r="G160" s="263">
        <f>SUM(G80:G159)</f>
        <v>0</v>
      </c>
      <c r="H160" s="8"/>
      <c r="I160" s="8"/>
      <c r="J160" s="8"/>
      <c r="K160" s="8"/>
      <c r="L160" s="8"/>
      <c r="M160" s="8"/>
      <c r="N160" s="8"/>
      <c r="O160" s="8"/>
      <c r="P160" s="8"/>
      <c r="Q160" s="8"/>
      <c r="R160" s="8"/>
      <c r="S160" s="8"/>
      <c r="T160" s="8"/>
      <c r="U160" s="8"/>
      <c r="V160" s="8"/>
      <c r="W160" s="8"/>
      <c r="X160" s="8"/>
      <c r="Y160" s="8"/>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1" min="1" max="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6DC94-D227-44CB-AA07-41E9E88379A5}">
  <sheetPr>
    <tabColor rgb="FF00B0F0"/>
  </sheetPr>
  <dimension ref="A2:M221"/>
  <sheetViews>
    <sheetView showZeros="0" topLeftCell="A30" zoomScale="110" zoomScaleNormal="110" zoomScaleSheetLayoutView="110" workbookViewId="0">
      <selection activeCell="B30" sqref="B30:B38"/>
    </sheetView>
  </sheetViews>
  <sheetFormatPr defaultColWidth="10.42578125" defaultRowHeight="12.75"/>
  <cols>
    <col min="1" max="1" width="4.42578125" style="1" customWidth="1"/>
    <col min="2" max="2" width="9.5703125" style="67" customWidth="1"/>
    <col min="3" max="3" width="41.5703125" style="68" customWidth="1"/>
    <col min="4" max="4" width="10.42578125" style="69" customWidth="1"/>
    <col min="5" max="5" width="9.28515625" style="70" customWidth="1"/>
    <col min="6" max="6" width="12.140625" style="670" customWidth="1"/>
    <col min="7" max="7" width="15.7109375" style="66" customWidth="1"/>
    <col min="8" max="8" width="16" style="8" customWidth="1"/>
    <col min="9" max="241" width="10.42578125" style="1"/>
    <col min="242" max="242" width="7.42578125" style="1" customWidth="1"/>
    <col min="243" max="243" width="37.42578125" style="1" customWidth="1"/>
    <col min="244" max="244" width="10.42578125" style="1"/>
    <col min="245" max="245" width="9.28515625" style="1" customWidth="1"/>
    <col min="246" max="247" width="12.140625" style="1" customWidth="1"/>
    <col min="248" max="248" width="16" style="1" customWidth="1"/>
    <col min="249" max="249" width="26.28515625" style="1" customWidth="1"/>
    <col min="250" max="497" width="10.42578125" style="1"/>
    <col min="498" max="498" width="7.42578125" style="1" customWidth="1"/>
    <col min="499" max="499" width="37.42578125" style="1" customWidth="1"/>
    <col min="500" max="500" width="10.42578125" style="1"/>
    <col min="501" max="501" width="9.28515625" style="1" customWidth="1"/>
    <col min="502" max="503" width="12.140625" style="1" customWidth="1"/>
    <col min="504" max="504" width="16" style="1" customWidth="1"/>
    <col min="505" max="505" width="26.28515625" style="1" customWidth="1"/>
    <col min="506" max="753" width="10.42578125" style="1"/>
    <col min="754" max="754" width="7.42578125" style="1" customWidth="1"/>
    <col min="755" max="755" width="37.42578125" style="1" customWidth="1"/>
    <col min="756" max="756" width="10.42578125" style="1"/>
    <col min="757" max="757" width="9.28515625" style="1" customWidth="1"/>
    <col min="758" max="759" width="12.140625" style="1" customWidth="1"/>
    <col min="760" max="760" width="16" style="1" customWidth="1"/>
    <col min="761" max="761" width="26.28515625" style="1" customWidth="1"/>
    <col min="762" max="1009" width="10.42578125" style="1"/>
    <col min="1010" max="1010" width="7.42578125" style="1" customWidth="1"/>
    <col min="1011" max="1011" width="37.42578125" style="1" customWidth="1"/>
    <col min="1012" max="1012" width="10.42578125" style="1"/>
    <col min="1013" max="1013" width="9.28515625" style="1" customWidth="1"/>
    <col min="1014" max="1015" width="12.140625" style="1" customWidth="1"/>
    <col min="1016" max="1016" width="16" style="1" customWidth="1"/>
    <col min="1017" max="1017" width="26.28515625" style="1" customWidth="1"/>
    <col min="1018" max="1265" width="10.42578125" style="1"/>
    <col min="1266" max="1266" width="7.42578125" style="1" customWidth="1"/>
    <col min="1267" max="1267" width="37.42578125" style="1" customWidth="1"/>
    <col min="1268" max="1268" width="10.42578125" style="1"/>
    <col min="1269" max="1269" width="9.28515625" style="1" customWidth="1"/>
    <col min="1270" max="1271" width="12.140625" style="1" customWidth="1"/>
    <col min="1272" max="1272" width="16" style="1" customWidth="1"/>
    <col min="1273" max="1273" width="26.28515625" style="1" customWidth="1"/>
    <col min="1274" max="1521" width="10.42578125" style="1"/>
    <col min="1522" max="1522" width="7.42578125" style="1" customWidth="1"/>
    <col min="1523" max="1523" width="37.42578125" style="1" customWidth="1"/>
    <col min="1524" max="1524" width="10.42578125" style="1"/>
    <col min="1525" max="1525" width="9.28515625" style="1" customWidth="1"/>
    <col min="1526" max="1527" width="12.140625" style="1" customWidth="1"/>
    <col min="1528" max="1528" width="16" style="1" customWidth="1"/>
    <col min="1529" max="1529" width="26.28515625" style="1" customWidth="1"/>
    <col min="1530" max="1777" width="10.42578125" style="1"/>
    <col min="1778" max="1778" width="7.42578125" style="1" customWidth="1"/>
    <col min="1779" max="1779" width="37.42578125" style="1" customWidth="1"/>
    <col min="1780" max="1780" width="10.42578125" style="1"/>
    <col min="1781" max="1781" width="9.28515625" style="1" customWidth="1"/>
    <col min="1782" max="1783" width="12.140625" style="1" customWidth="1"/>
    <col min="1784" max="1784" width="16" style="1" customWidth="1"/>
    <col min="1785" max="1785" width="26.28515625" style="1" customWidth="1"/>
    <col min="1786" max="2033" width="10.42578125" style="1"/>
    <col min="2034" max="2034" width="7.42578125" style="1" customWidth="1"/>
    <col min="2035" max="2035" width="37.42578125" style="1" customWidth="1"/>
    <col min="2036" max="2036" width="10.42578125" style="1"/>
    <col min="2037" max="2037" width="9.28515625" style="1" customWidth="1"/>
    <col min="2038" max="2039" width="12.140625" style="1" customWidth="1"/>
    <col min="2040" max="2040" width="16" style="1" customWidth="1"/>
    <col min="2041" max="2041" width="26.28515625" style="1" customWidth="1"/>
    <col min="2042" max="2289" width="10.42578125" style="1"/>
    <col min="2290" max="2290" width="7.42578125" style="1" customWidth="1"/>
    <col min="2291" max="2291" width="37.42578125" style="1" customWidth="1"/>
    <col min="2292" max="2292" width="10.42578125" style="1"/>
    <col min="2293" max="2293" width="9.28515625" style="1" customWidth="1"/>
    <col min="2294" max="2295" width="12.140625" style="1" customWidth="1"/>
    <col min="2296" max="2296" width="16" style="1" customWidth="1"/>
    <col min="2297" max="2297" width="26.28515625" style="1" customWidth="1"/>
    <col min="2298" max="2545" width="10.42578125" style="1"/>
    <col min="2546" max="2546" width="7.42578125" style="1" customWidth="1"/>
    <col min="2547" max="2547" width="37.42578125" style="1" customWidth="1"/>
    <col min="2548" max="2548" width="10.42578125" style="1"/>
    <col min="2549" max="2549" width="9.28515625" style="1" customWidth="1"/>
    <col min="2550" max="2551" width="12.140625" style="1" customWidth="1"/>
    <col min="2552" max="2552" width="16" style="1" customWidth="1"/>
    <col min="2553" max="2553" width="26.28515625" style="1" customWidth="1"/>
    <col min="2554" max="2801" width="10.42578125" style="1"/>
    <col min="2802" max="2802" width="7.42578125" style="1" customWidth="1"/>
    <col min="2803" max="2803" width="37.42578125" style="1" customWidth="1"/>
    <col min="2804" max="2804" width="10.42578125" style="1"/>
    <col min="2805" max="2805" width="9.28515625" style="1" customWidth="1"/>
    <col min="2806" max="2807" width="12.140625" style="1" customWidth="1"/>
    <col min="2808" max="2808" width="16" style="1" customWidth="1"/>
    <col min="2809" max="2809" width="26.28515625" style="1" customWidth="1"/>
    <col min="2810" max="3057" width="10.42578125" style="1"/>
    <col min="3058" max="3058" width="7.42578125" style="1" customWidth="1"/>
    <col min="3059" max="3059" width="37.42578125" style="1" customWidth="1"/>
    <col min="3060" max="3060" width="10.42578125" style="1"/>
    <col min="3061" max="3061" width="9.28515625" style="1" customWidth="1"/>
    <col min="3062" max="3063" width="12.140625" style="1" customWidth="1"/>
    <col min="3064" max="3064" width="16" style="1" customWidth="1"/>
    <col min="3065" max="3065" width="26.28515625" style="1" customWidth="1"/>
    <col min="3066" max="3313" width="10.42578125" style="1"/>
    <col min="3314" max="3314" width="7.42578125" style="1" customWidth="1"/>
    <col min="3315" max="3315" width="37.42578125" style="1" customWidth="1"/>
    <col min="3316" max="3316" width="10.42578125" style="1"/>
    <col min="3317" max="3317" width="9.28515625" style="1" customWidth="1"/>
    <col min="3318" max="3319" width="12.140625" style="1" customWidth="1"/>
    <col min="3320" max="3320" width="16" style="1" customWidth="1"/>
    <col min="3321" max="3321" width="26.28515625" style="1" customWidth="1"/>
    <col min="3322" max="3569" width="10.42578125" style="1"/>
    <col min="3570" max="3570" width="7.42578125" style="1" customWidth="1"/>
    <col min="3571" max="3571" width="37.42578125" style="1" customWidth="1"/>
    <col min="3572" max="3572" width="10.42578125" style="1"/>
    <col min="3573" max="3573" width="9.28515625" style="1" customWidth="1"/>
    <col min="3574" max="3575" width="12.140625" style="1" customWidth="1"/>
    <col min="3576" max="3576" width="16" style="1" customWidth="1"/>
    <col min="3577" max="3577" width="26.28515625" style="1" customWidth="1"/>
    <col min="3578" max="3825" width="10.42578125" style="1"/>
    <col min="3826" max="3826" width="7.42578125" style="1" customWidth="1"/>
    <col min="3827" max="3827" width="37.42578125" style="1" customWidth="1"/>
    <col min="3828" max="3828" width="10.42578125" style="1"/>
    <col min="3829" max="3829" width="9.28515625" style="1" customWidth="1"/>
    <col min="3830" max="3831" width="12.140625" style="1" customWidth="1"/>
    <col min="3832" max="3832" width="16" style="1" customWidth="1"/>
    <col min="3833" max="3833" width="26.28515625" style="1" customWidth="1"/>
    <col min="3834" max="4081" width="10.42578125" style="1"/>
    <col min="4082" max="4082" width="7.42578125" style="1" customWidth="1"/>
    <col min="4083" max="4083" width="37.42578125" style="1" customWidth="1"/>
    <col min="4084" max="4084" width="10.42578125" style="1"/>
    <col min="4085" max="4085" width="9.28515625" style="1" customWidth="1"/>
    <col min="4086" max="4087" width="12.140625" style="1" customWidth="1"/>
    <col min="4088" max="4088" width="16" style="1" customWidth="1"/>
    <col min="4089" max="4089" width="26.28515625" style="1" customWidth="1"/>
    <col min="4090" max="4337" width="10.42578125" style="1"/>
    <col min="4338" max="4338" width="7.42578125" style="1" customWidth="1"/>
    <col min="4339" max="4339" width="37.42578125" style="1" customWidth="1"/>
    <col min="4340" max="4340" width="10.42578125" style="1"/>
    <col min="4341" max="4341" width="9.28515625" style="1" customWidth="1"/>
    <col min="4342" max="4343" width="12.140625" style="1" customWidth="1"/>
    <col min="4344" max="4344" width="16" style="1" customWidth="1"/>
    <col min="4345" max="4345" width="26.28515625" style="1" customWidth="1"/>
    <col min="4346" max="4593" width="10.42578125" style="1"/>
    <col min="4594" max="4594" width="7.42578125" style="1" customWidth="1"/>
    <col min="4595" max="4595" width="37.42578125" style="1" customWidth="1"/>
    <col min="4596" max="4596" width="10.42578125" style="1"/>
    <col min="4597" max="4597" width="9.28515625" style="1" customWidth="1"/>
    <col min="4598" max="4599" width="12.140625" style="1" customWidth="1"/>
    <col min="4600" max="4600" width="16" style="1" customWidth="1"/>
    <col min="4601" max="4601" width="26.28515625" style="1" customWidth="1"/>
    <col min="4602" max="4849" width="10.42578125" style="1"/>
    <col min="4850" max="4850" width="7.42578125" style="1" customWidth="1"/>
    <col min="4851" max="4851" width="37.42578125" style="1" customWidth="1"/>
    <col min="4852" max="4852" width="10.42578125" style="1"/>
    <col min="4853" max="4853" width="9.28515625" style="1" customWidth="1"/>
    <col min="4854" max="4855" width="12.140625" style="1" customWidth="1"/>
    <col min="4856" max="4856" width="16" style="1" customWidth="1"/>
    <col min="4857" max="4857" width="26.28515625" style="1" customWidth="1"/>
    <col min="4858" max="5105" width="10.42578125" style="1"/>
    <col min="5106" max="5106" width="7.42578125" style="1" customWidth="1"/>
    <col min="5107" max="5107" width="37.42578125" style="1" customWidth="1"/>
    <col min="5108" max="5108" width="10.42578125" style="1"/>
    <col min="5109" max="5109" width="9.28515625" style="1" customWidth="1"/>
    <col min="5110" max="5111" width="12.140625" style="1" customWidth="1"/>
    <col min="5112" max="5112" width="16" style="1" customWidth="1"/>
    <col min="5113" max="5113" width="26.28515625" style="1" customWidth="1"/>
    <col min="5114" max="5361" width="10.42578125" style="1"/>
    <col min="5362" max="5362" width="7.42578125" style="1" customWidth="1"/>
    <col min="5363" max="5363" width="37.42578125" style="1" customWidth="1"/>
    <col min="5364" max="5364" width="10.42578125" style="1"/>
    <col min="5365" max="5365" width="9.28515625" style="1" customWidth="1"/>
    <col min="5366" max="5367" width="12.140625" style="1" customWidth="1"/>
    <col min="5368" max="5368" width="16" style="1" customWidth="1"/>
    <col min="5369" max="5369" width="26.28515625" style="1" customWidth="1"/>
    <col min="5370" max="5617" width="10.42578125" style="1"/>
    <col min="5618" max="5618" width="7.42578125" style="1" customWidth="1"/>
    <col min="5619" max="5619" width="37.42578125" style="1" customWidth="1"/>
    <col min="5620" max="5620" width="10.42578125" style="1"/>
    <col min="5621" max="5621" width="9.28515625" style="1" customWidth="1"/>
    <col min="5622" max="5623" width="12.140625" style="1" customWidth="1"/>
    <col min="5624" max="5624" width="16" style="1" customWidth="1"/>
    <col min="5625" max="5625" width="26.28515625" style="1" customWidth="1"/>
    <col min="5626" max="5873" width="10.42578125" style="1"/>
    <col min="5874" max="5874" width="7.42578125" style="1" customWidth="1"/>
    <col min="5875" max="5875" width="37.42578125" style="1" customWidth="1"/>
    <col min="5876" max="5876" width="10.42578125" style="1"/>
    <col min="5877" max="5877" width="9.28515625" style="1" customWidth="1"/>
    <col min="5878" max="5879" width="12.140625" style="1" customWidth="1"/>
    <col min="5880" max="5880" width="16" style="1" customWidth="1"/>
    <col min="5881" max="5881" width="26.28515625" style="1" customWidth="1"/>
    <col min="5882" max="6129" width="10.42578125" style="1"/>
    <col min="6130" max="6130" width="7.42578125" style="1" customWidth="1"/>
    <col min="6131" max="6131" width="37.42578125" style="1" customWidth="1"/>
    <col min="6132" max="6132" width="10.42578125" style="1"/>
    <col min="6133" max="6133" width="9.28515625" style="1" customWidth="1"/>
    <col min="6134" max="6135" width="12.140625" style="1" customWidth="1"/>
    <col min="6136" max="6136" width="16" style="1" customWidth="1"/>
    <col min="6137" max="6137" width="26.28515625" style="1" customWidth="1"/>
    <col min="6138" max="6385" width="10.42578125" style="1"/>
    <col min="6386" max="6386" width="7.42578125" style="1" customWidth="1"/>
    <col min="6387" max="6387" width="37.42578125" style="1" customWidth="1"/>
    <col min="6388" max="6388" width="10.42578125" style="1"/>
    <col min="6389" max="6389" width="9.28515625" style="1" customWidth="1"/>
    <col min="6390" max="6391" width="12.140625" style="1" customWidth="1"/>
    <col min="6392" max="6392" width="16" style="1" customWidth="1"/>
    <col min="6393" max="6393" width="26.28515625" style="1" customWidth="1"/>
    <col min="6394" max="6641" width="10.42578125" style="1"/>
    <col min="6642" max="6642" width="7.42578125" style="1" customWidth="1"/>
    <col min="6643" max="6643" width="37.42578125" style="1" customWidth="1"/>
    <col min="6644" max="6644" width="10.42578125" style="1"/>
    <col min="6645" max="6645" width="9.28515625" style="1" customWidth="1"/>
    <col min="6646" max="6647" width="12.140625" style="1" customWidth="1"/>
    <col min="6648" max="6648" width="16" style="1" customWidth="1"/>
    <col min="6649" max="6649" width="26.28515625" style="1" customWidth="1"/>
    <col min="6650" max="6897" width="10.42578125" style="1"/>
    <col min="6898" max="6898" width="7.42578125" style="1" customWidth="1"/>
    <col min="6899" max="6899" width="37.42578125" style="1" customWidth="1"/>
    <col min="6900" max="6900" width="10.42578125" style="1"/>
    <col min="6901" max="6901" width="9.28515625" style="1" customWidth="1"/>
    <col min="6902" max="6903" width="12.140625" style="1" customWidth="1"/>
    <col min="6904" max="6904" width="16" style="1" customWidth="1"/>
    <col min="6905" max="6905" width="26.28515625" style="1" customWidth="1"/>
    <col min="6906" max="7153" width="10.42578125" style="1"/>
    <col min="7154" max="7154" width="7.42578125" style="1" customWidth="1"/>
    <col min="7155" max="7155" width="37.42578125" style="1" customWidth="1"/>
    <col min="7156" max="7156" width="10.42578125" style="1"/>
    <col min="7157" max="7157" width="9.28515625" style="1" customWidth="1"/>
    <col min="7158" max="7159" width="12.140625" style="1" customWidth="1"/>
    <col min="7160" max="7160" width="16" style="1" customWidth="1"/>
    <col min="7161" max="7161" width="26.28515625" style="1" customWidth="1"/>
    <col min="7162" max="7409" width="10.42578125" style="1"/>
    <col min="7410" max="7410" width="7.42578125" style="1" customWidth="1"/>
    <col min="7411" max="7411" width="37.42578125" style="1" customWidth="1"/>
    <col min="7412" max="7412" width="10.42578125" style="1"/>
    <col min="7413" max="7413" width="9.28515625" style="1" customWidth="1"/>
    <col min="7414" max="7415" width="12.140625" style="1" customWidth="1"/>
    <col min="7416" max="7416" width="16" style="1" customWidth="1"/>
    <col min="7417" max="7417" width="26.28515625" style="1" customWidth="1"/>
    <col min="7418" max="7665" width="10.42578125" style="1"/>
    <col min="7666" max="7666" width="7.42578125" style="1" customWidth="1"/>
    <col min="7667" max="7667" width="37.42578125" style="1" customWidth="1"/>
    <col min="7668" max="7668" width="10.42578125" style="1"/>
    <col min="7669" max="7669" width="9.28515625" style="1" customWidth="1"/>
    <col min="7670" max="7671" width="12.140625" style="1" customWidth="1"/>
    <col min="7672" max="7672" width="16" style="1" customWidth="1"/>
    <col min="7673" max="7673" width="26.28515625" style="1" customWidth="1"/>
    <col min="7674" max="7921" width="10.42578125" style="1"/>
    <col min="7922" max="7922" width="7.42578125" style="1" customWidth="1"/>
    <col min="7923" max="7923" width="37.42578125" style="1" customWidth="1"/>
    <col min="7924" max="7924" width="10.42578125" style="1"/>
    <col min="7925" max="7925" width="9.28515625" style="1" customWidth="1"/>
    <col min="7926" max="7927" width="12.140625" style="1" customWidth="1"/>
    <col min="7928" max="7928" width="16" style="1" customWidth="1"/>
    <col min="7929" max="7929" width="26.28515625" style="1" customWidth="1"/>
    <col min="7930" max="8177" width="10.42578125" style="1"/>
    <col min="8178" max="8178" width="7.42578125" style="1" customWidth="1"/>
    <col min="8179" max="8179" width="37.42578125" style="1" customWidth="1"/>
    <col min="8180" max="8180" width="10.42578125" style="1"/>
    <col min="8181" max="8181" width="9.28515625" style="1" customWidth="1"/>
    <col min="8182" max="8183" width="12.140625" style="1" customWidth="1"/>
    <col min="8184" max="8184" width="16" style="1" customWidth="1"/>
    <col min="8185" max="8185" width="26.28515625" style="1" customWidth="1"/>
    <col min="8186" max="8433" width="10.42578125" style="1"/>
    <col min="8434" max="8434" width="7.42578125" style="1" customWidth="1"/>
    <col min="8435" max="8435" width="37.42578125" style="1" customWidth="1"/>
    <col min="8436" max="8436" width="10.42578125" style="1"/>
    <col min="8437" max="8437" width="9.28515625" style="1" customWidth="1"/>
    <col min="8438" max="8439" width="12.140625" style="1" customWidth="1"/>
    <col min="8440" max="8440" width="16" style="1" customWidth="1"/>
    <col min="8441" max="8441" width="26.28515625" style="1" customWidth="1"/>
    <col min="8442" max="8689" width="10.42578125" style="1"/>
    <col min="8690" max="8690" width="7.42578125" style="1" customWidth="1"/>
    <col min="8691" max="8691" width="37.42578125" style="1" customWidth="1"/>
    <col min="8692" max="8692" width="10.42578125" style="1"/>
    <col min="8693" max="8693" width="9.28515625" style="1" customWidth="1"/>
    <col min="8694" max="8695" width="12.140625" style="1" customWidth="1"/>
    <col min="8696" max="8696" width="16" style="1" customWidth="1"/>
    <col min="8697" max="8697" width="26.28515625" style="1" customWidth="1"/>
    <col min="8698" max="8945" width="10.42578125" style="1"/>
    <col min="8946" max="8946" width="7.42578125" style="1" customWidth="1"/>
    <col min="8947" max="8947" width="37.42578125" style="1" customWidth="1"/>
    <col min="8948" max="8948" width="10.42578125" style="1"/>
    <col min="8949" max="8949" width="9.28515625" style="1" customWidth="1"/>
    <col min="8950" max="8951" width="12.140625" style="1" customWidth="1"/>
    <col min="8952" max="8952" width="16" style="1" customWidth="1"/>
    <col min="8953" max="8953" width="26.28515625" style="1" customWidth="1"/>
    <col min="8954" max="9201" width="10.42578125" style="1"/>
    <col min="9202" max="9202" width="7.42578125" style="1" customWidth="1"/>
    <col min="9203" max="9203" width="37.42578125" style="1" customWidth="1"/>
    <col min="9204" max="9204" width="10.42578125" style="1"/>
    <col min="9205" max="9205" width="9.28515625" style="1" customWidth="1"/>
    <col min="9206" max="9207" width="12.140625" style="1" customWidth="1"/>
    <col min="9208" max="9208" width="16" style="1" customWidth="1"/>
    <col min="9209" max="9209" width="26.28515625" style="1" customWidth="1"/>
    <col min="9210" max="9457" width="10.42578125" style="1"/>
    <col min="9458" max="9458" width="7.42578125" style="1" customWidth="1"/>
    <col min="9459" max="9459" width="37.42578125" style="1" customWidth="1"/>
    <col min="9460" max="9460" width="10.42578125" style="1"/>
    <col min="9461" max="9461" width="9.28515625" style="1" customWidth="1"/>
    <col min="9462" max="9463" width="12.140625" style="1" customWidth="1"/>
    <col min="9464" max="9464" width="16" style="1" customWidth="1"/>
    <col min="9465" max="9465" width="26.28515625" style="1" customWidth="1"/>
    <col min="9466" max="9713" width="10.42578125" style="1"/>
    <col min="9714" max="9714" width="7.42578125" style="1" customWidth="1"/>
    <col min="9715" max="9715" width="37.42578125" style="1" customWidth="1"/>
    <col min="9716" max="9716" width="10.42578125" style="1"/>
    <col min="9717" max="9717" width="9.28515625" style="1" customWidth="1"/>
    <col min="9718" max="9719" width="12.140625" style="1" customWidth="1"/>
    <col min="9720" max="9720" width="16" style="1" customWidth="1"/>
    <col min="9721" max="9721" width="26.28515625" style="1" customWidth="1"/>
    <col min="9722" max="9969" width="10.42578125" style="1"/>
    <col min="9970" max="9970" width="7.42578125" style="1" customWidth="1"/>
    <col min="9971" max="9971" width="37.42578125" style="1" customWidth="1"/>
    <col min="9972" max="9972" width="10.42578125" style="1"/>
    <col min="9973" max="9973" width="9.28515625" style="1" customWidth="1"/>
    <col min="9974" max="9975" width="12.140625" style="1" customWidth="1"/>
    <col min="9976" max="9976" width="16" style="1" customWidth="1"/>
    <col min="9977" max="9977" width="26.28515625" style="1" customWidth="1"/>
    <col min="9978" max="10225" width="10.42578125" style="1"/>
    <col min="10226" max="10226" width="7.42578125" style="1" customWidth="1"/>
    <col min="10227" max="10227" width="37.42578125" style="1" customWidth="1"/>
    <col min="10228" max="10228" width="10.42578125" style="1"/>
    <col min="10229" max="10229" width="9.28515625" style="1" customWidth="1"/>
    <col min="10230" max="10231" width="12.140625" style="1" customWidth="1"/>
    <col min="10232" max="10232" width="16" style="1" customWidth="1"/>
    <col min="10233" max="10233" width="26.28515625" style="1" customWidth="1"/>
    <col min="10234" max="10481" width="10.42578125" style="1"/>
    <col min="10482" max="10482" width="7.42578125" style="1" customWidth="1"/>
    <col min="10483" max="10483" width="37.42578125" style="1" customWidth="1"/>
    <col min="10484" max="10484" width="10.42578125" style="1"/>
    <col min="10485" max="10485" width="9.28515625" style="1" customWidth="1"/>
    <col min="10486" max="10487" width="12.140625" style="1" customWidth="1"/>
    <col min="10488" max="10488" width="16" style="1" customWidth="1"/>
    <col min="10489" max="10489" width="26.28515625" style="1" customWidth="1"/>
    <col min="10490" max="10737" width="10.42578125" style="1"/>
    <col min="10738" max="10738" width="7.42578125" style="1" customWidth="1"/>
    <col min="10739" max="10739" width="37.42578125" style="1" customWidth="1"/>
    <col min="10740" max="10740" width="10.42578125" style="1"/>
    <col min="10741" max="10741" width="9.28515625" style="1" customWidth="1"/>
    <col min="10742" max="10743" width="12.140625" style="1" customWidth="1"/>
    <col min="10744" max="10744" width="16" style="1" customWidth="1"/>
    <col min="10745" max="10745" width="26.28515625" style="1" customWidth="1"/>
    <col min="10746" max="10993" width="10.42578125" style="1"/>
    <col min="10994" max="10994" width="7.42578125" style="1" customWidth="1"/>
    <col min="10995" max="10995" width="37.42578125" style="1" customWidth="1"/>
    <col min="10996" max="10996" width="10.42578125" style="1"/>
    <col min="10997" max="10997" width="9.28515625" style="1" customWidth="1"/>
    <col min="10998" max="10999" width="12.140625" style="1" customWidth="1"/>
    <col min="11000" max="11000" width="16" style="1" customWidth="1"/>
    <col min="11001" max="11001" width="26.28515625" style="1" customWidth="1"/>
    <col min="11002" max="11249" width="10.42578125" style="1"/>
    <col min="11250" max="11250" width="7.42578125" style="1" customWidth="1"/>
    <col min="11251" max="11251" width="37.42578125" style="1" customWidth="1"/>
    <col min="11252" max="11252" width="10.42578125" style="1"/>
    <col min="11253" max="11253" width="9.28515625" style="1" customWidth="1"/>
    <col min="11254" max="11255" width="12.140625" style="1" customWidth="1"/>
    <col min="11256" max="11256" width="16" style="1" customWidth="1"/>
    <col min="11257" max="11257" width="26.28515625" style="1" customWidth="1"/>
    <col min="11258" max="11505" width="10.42578125" style="1"/>
    <col min="11506" max="11506" width="7.42578125" style="1" customWidth="1"/>
    <col min="11507" max="11507" width="37.42578125" style="1" customWidth="1"/>
    <col min="11508" max="11508" width="10.42578125" style="1"/>
    <col min="11509" max="11509" width="9.28515625" style="1" customWidth="1"/>
    <col min="11510" max="11511" width="12.140625" style="1" customWidth="1"/>
    <col min="11512" max="11512" width="16" style="1" customWidth="1"/>
    <col min="11513" max="11513" width="26.28515625" style="1" customWidth="1"/>
    <col min="11514" max="11761" width="10.42578125" style="1"/>
    <col min="11762" max="11762" width="7.42578125" style="1" customWidth="1"/>
    <col min="11763" max="11763" width="37.42578125" style="1" customWidth="1"/>
    <col min="11764" max="11764" width="10.42578125" style="1"/>
    <col min="11765" max="11765" width="9.28515625" style="1" customWidth="1"/>
    <col min="11766" max="11767" width="12.140625" style="1" customWidth="1"/>
    <col min="11768" max="11768" width="16" style="1" customWidth="1"/>
    <col min="11769" max="11769" width="26.28515625" style="1" customWidth="1"/>
    <col min="11770" max="12017" width="10.42578125" style="1"/>
    <col min="12018" max="12018" width="7.42578125" style="1" customWidth="1"/>
    <col min="12019" max="12019" width="37.42578125" style="1" customWidth="1"/>
    <col min="12020" max="12020" width="10.42578125" style="1"/>
    <col min="12021" max="12021" width="9.28515625" style="1" customWidth="1"/>
    <col min="12022" max="12023" width="12.140625" style="1" customWidth="1"/>
    <col min="12024" max="12024" width="16" style="1" customWidth="1"/>
    <col min="12025" max="12025" width="26.28515625" style="1" customWidth="1"/>
    <col min="12026" max="12273" width="10.42578125" style="1"/>
    <col min="12274" max="12274" width="7.42578125" style="1" customWidth="1"/>
    <col min="12275" max="12275" width="37.42578125" style="1" customWidth="1"/>
    <col min="12276" max="12276" width="10.42578125" style="1"/>
    <col min="12277" max="12277" width="9.28515625" style="1" customWidth="1"/>
    <col min="12278" max="12279" width="12.140625" style="1" customWidth="1"/>
    <col min="12280" max="12280" width="16" style="1" customWidth="1"/>
    <col min="12281" max="12281" width="26.28515625" style="1" customWidth="1"/>
    <col min="12282" max="12529" width="10.42578125" style="1"/>
    <col min="12530" max="12530" width="7.42578125" style="1" customWidth="1"/>
    <col min="12531" max="12531" width="37.42578125" style="1" customWidth="1"/>
    <col min="12532" max="12532" width="10.42578125" style="1"/>
    <col min="12533" max="12533" width="9.28515625" style="1" customWidth="1"/>
    <col min="12534" max="12535" width="12.140625" style="1" customWidth="1"/>
    <col min="12536" max="12536" width="16" style="1" customWidth="1"/>
    <col min="12537" max="12537" width="26.28515625" style="1" customWidth="1"/>
    <col min="12538" max="12785" width="10.42578125" style="1"/>
    <col min="12786" max="12786" width="7.42578125" style="1" customWidth="1"/>
    <col min="12787" max="12787" width="37.42578125" style="1" customWidth="1"/>
    <col min="12788" max="12788" width="10.42578125" style="1"/>
    <col min="12789" max="12789" width="9.28515625" style="1" customWidth="1"/>
    <col min="12790" max="12791" width="12.140625" style="1" customWidth="1"/>
    <col min="12792" max="12792" width="16" style="1" customWidth="1"/>
    <col min="12793" max="12793" width="26.28515625" style="1" customWidth="1"/>
    <col min="12794" max="13041" width="10.42578125" style="1"/>
    <col min="13042" max="13042" width="7.42578125" style="1" customWidth="1"/>
    <col min="13043" max="13043" width="37.42578125" style="1" customWidth="1"/>
    <col min="13044" max="13044" width="10.42578125" style="1"/>
    <col min="13045" max="13045" width="9.28515625" style="1" customWidth="1"/>
    <col min="13046" max="13047" width="12.140625" style="1" customWidth="1"/>
    <col min="13048" max="13048" width="16" style="1" customWidth="1"/>
    <col min="13049" max="13049" width="26.28515625" style="1" customWidth="1"/>
    <col min="13050" max="13297" width="10.42578125" style="1"/>
    <col min="13298" max="13298" width="7.42578125" style="1" customWidth="1"/>
    <col min="13299" max="13299" width="37.42578125" style="1" customWidth="1"/>
    <col min="13300" max="13300" width="10.42578125" style="1"/>
    <col min="13301" max="13301" width="9.28515625" style="1" customWidth="1"/>
    <col min="13302" max="13303" width="12.140625" style="1" customWidth="1"/>
    <col min="13304" max="13304" width="16" style="1" customWidth="1"/>
    <col min="13305" max="13305" width="26.28515625" style="1" customWidth="1"/>
    <col min="13306" max="13553" width="10.42578125" style="1"/>
    <col min="13554" max="13554" width="7.42578125" style="1" customWidth="1"/>
    <col min="13555" max="13555" width="37.42578125" style="1" customWidth="1"/>
    <col min="13556" max="13556" width="10.42578125" style="1"/>
    <col min="13557" max="13557" width="9.28515625" style="1" customWidth="1"/>
    <col min="13558" max="13559" width="12.140625" style="1" customWidth="1"/>
    <col min="13560" max="13560" width="16" style="1" customWidth="1"/>
    <col min="13561" max="13561" width="26.28515625" style="1" customWidth="1"/>
    <col min="13562" max="13809" width="10.42578125" style="1"/>
    <col min="13810" max="13810" width="7.42578125" style="1" customWidth="1"/>
    <col min="13811" max="13811" width="37.42578125" style="1" customWidth="1"/>
    <col min="13812" max="13812" width="10.42578125" style="1"/>
    <col min="13813" max="13813" width="9.28515625" style="1" customWidth="1"/>
    <col min="13814" max="13815" width="12.140625" style="1" customWidth="1"/>
    <col min="13816" max="13816" width="16" style="1" customWidth="1"/>
    <col min="13817" max="13817" width="26.28515625" style="1" customWidth="1"/>
    <col min="13818" max="14065" width="10.42578125" style="1"/>
    <col min="14066" max="14066" width="7.42578125" style="1" customWidth="1"/>
    <col min="14067" max="14067" width="37.42578125" style="1" customWidth="1"/>
    <col min="14068" max="14068" width="10.42578125" style="1"/>
    <col min="14069" max="14069" width="9.28515625" style="1" customWidth="1"/>
    <col min="14070" max="14071" width="12.140625" style="1" customWidth="1"/>
    <col min="14072" max="14072" width="16" style="1" customWidth="1"/>
    <col min="14073" max="14073" width="26.28515625" style="1" customWidth="1"/>
    <col min="14074" max="14321" width="10.42578125" style="1"/>
    <col min="14322" max="14322" width="7.42578125" style="1" customWidth="1"/>
    <col min="14323" max="14323" width="37.42578125" style="1" customWidth="1"/>
    <col min="14324" max="14324" width="10.42578125" style="1"/>
    <col min="14325" max="14325" width="9.28515625" style="1" customWidth="1"/>
    <col min="14326" max="14327" width="12.140625" style="1" customWidth="1"/>
    <col min="14328" max="14328" width="16" style="1" customWidth="1"/>
    <col min="14329" max="14329" width="26.28515625" style="1" customWidth="1"/>
    <col min="14330" max="14577" width="10.42578125" style="1"/>
    <col min="14578" max="14578" width="7.42578125" style="1" customWidth="1"/>
    <col min="14579" max="14579" width="37.42578125" style="1" customWidth="1"/>
    <col min="14580" max="14580" width="10.42578125" style="1"/>
    <col min="14581" max="14581" width="9.28515625" style="1" customWidth="1"/>
    <col min="14582" max="14583" width="12.140625" style="1" customWidth="1"/>
    <col min="14584" max="14584" width="16" style="1" customWidth="1"/>
    <col min="14585" max="14585" width="26.28515625" style="1" customWidth="1"/>
    <col min="14586" max="14833" width="10.42578125" style="1"/>
    <col min="14834" max="14834" width="7.42578125" style="1" customWidth="1"/>
    <col min="14835" max="14835" width="37.42578125" style="1" customWidth="1"/>
    <col min="14836" max="14836" width="10.42578125" style="1"/>
    <col min="14837" max="14837" width="9.28515625" style="1" customWidth="1"/>
    <col min="14838" max="14839" width="12.140625" style="1" customWidth="1"/>
    <col min="14840" max="14840" width="16" style="1" customWidth="1"/>
    <col min="14841" max="14841" width="26.28515625" style="1" customWidth="1"/>
    <col min="14842" max="15089" width="10.42578125" style="1"/>
    <col min="15090" max="15090" width="7.42578125" style="1" customWidth="1"/>
    <col min="15091" max="15091" width="37.42578125" style="1" customWidth="1"/>
    <col min="15092" max="15092" width="10.42578125" style="1"/>
    <col min="15093" max="15093" width="9.28515625" style="1" customWidth="1"/>
    <col min="15094" max="15095" width="12.140625" style="1" customWidth="1"/>
    <col min="15096" max="15096" width="16" style="1" customWidth="1"/>
    <col min="15097" max="15097" width="26.28515625" style="1" customWidth="1"/>
    <col min="15098" max="15345" width="10.42578125" style="1"/>
    <col min="15346" max="15346" width="7.42578125" style="1" customWidth="1"/>
    <col min="15347" max="15347" width="37.42578125" style="1" customWidth="1"/>
    <col min="15348" max="15348" width="10.42578125" style="1"/>
    <col min="15349" max="15349" width="9.28515625" style="1" customWidth="1"/>
    <col min="15350" max="15351" width="12.140625" style="1" customWidth="1"/>
    <col min="15352" max="15352" width="16" style="1" customWidth="1"/>
    <col min="15353" max="15353" width="26.28515625" style="1" customWidth="1"/>
    <col min="15354" max="15601" width="10.42578125" style="1"/>
    <col min="15602" max="15602" width="7.42578125" style="1" customWidth="1"/>
    <col min="15603" max="15603" width="37.42578125" style="1" customWidth="1"/>
    <col min="15604" max="15604" width="10.42578125" style="1"/>
    <col min="15605" max="15605" width="9.28515625" style="1" customWidth="1"/>
    <col min="15606" max="15607" width="12.140625" style="1" customWidth="1"/>
    <col min="15608" max="15608" width="16" style="1" customWidth="1"/>
    <col min="15609" max="15609" width="26.28515625" style="1" customWidth="1"/>
    <col min="15610" max="15857" width="10.42578125" style="1"/>
    <col min="15858" max="15858" width="7.42578125" style="1" customWidth="1"/>
    <col min="15859" max="15859" width="37.42578125" style="1" customWidth="1"/>
    <col min="15860" max="15860" width="10.42578125" style="1"/>
    <col min="15861" max="15861" width="9.28515625" style="1" customWidth="1"/>
    <col min="15862" max="15863" width="12.140625" style="1" customWidth="1"/>
    <col min="15864" max="15864" width="16" style="1" customWidth="1"/>
    <col min="15865" max="15865" width="26.28515625" style="1" customWidth="1"/>
    <col min="15866" max="16113" width="10.42578125" style="1"/>
    <col min="16114" max="16114" width="7.42578125" style="1" customWidth="1"/>
    <col min="16115" max="16115" width="37.42578125" style="1" customWidth="1"/>
    <col min="16116" max="16116" width="10.42578125" style="1"/>
    <col min="16117" max="16117" width="9.28515625" style="1" customWidth="1"/>
    <col min="16118" max="16119" width="12.140625" style="1" customWidth="1"/>
    <col min="16120" max="16120" width="16" style="1" customWidth="1"/>
    <col min="16121" max="16121" width="26.28515625" style="1" customWidth="1"/>
    <col min="16122" max="16384" width="10.42578125" style="1"/>
  </cols>
  <sheetData>
    <row r="2" spans="1:13" ht="16.149999999999999" customHeight="1">
      <c r="B2" s="2"/>
      <c r="C2" s="72" t="s">
        <v>0</v>
      </c>
      <c r="D2" s="4"/>
      <c r="E2" s="5"/>
      <c r="F2" s="671"/>
      <c r="G2" s="672" t="s">
        <v>1</v>
      </c>
    </row>
    <row r="4" spans="1:13" s="73" customFormat="1" ht="15">
      <c r="B4" s="74" t="s">
        <v>35</v>
      </c>
      <c r="C4" s="673" t="s">
        <v>1490</v>
      </c>
      <c r="D4" s="76"/>
      <c r="E4" s="77"/>
      <c r="F4" s="674"/>
      <c r="G4" s="79"/>
      <c r="H4" s="37"/>
    </row>
    <row r="5" spans="1:13" s="73" customFormat="1" ht="12" customHeight="1">
      <c r="B5" s="80"/>
      <c r="C5" s="81"/>
      <c r="D5" s="82"/>
      <c r="E5" s="83"/>
      <c r="F5" s="675"/>
      <c r="G5" s="85"/>
      <c r="H5" s="37"/>
    </row>
    <row r="6" spans="1:13" s="86" customFormat="1" ht="21" customHeight="1">
      <c r="B6" s="676" t="s">
        <v>37</v>
      </c>
      <c r="C6" s="677" t="s">
        <v>1491</v>
      </c>
      <c r="D6" s="678"/>
      <c r="E6" s="679"/>
      <c r="F6" s="680"/>
      <c r="G6" s="681"/>
      <c r="H6" s="27"/>
    </row>
    <row r="7" spans="1:13" s="86" customFormat="1" ht="21" customHeight="1">
      <c r="B7" s="1146"/>
      <c r="C7" s="1147"/>
      <c r="D7" s="1148"/>
      <c r="E7" s="1149"/>
      <c r="F7" s="1150"/>
      <c r="G7" s="1151"/>
      <c r="H7" s="27"/>
    </row>
    <row r="8" spans="1:13" s="86" customFormat="1" ht="14.25">
      <c r="B8" s="682" t="s">
        <v>551</v>
      </c>
      <c r="C8" s="683" t="s">
        <v>1492</v>
      </c>
      <c r="D8" s="684"/>
      <c r="E8" s="685"/>
      <c r="F8" s="686"/>
      <c r="G8" s="687"/>
      <c r="H8" s="27"/>
    </row>
    <row r="9" spans="1:13" s="86" customFormat="1" ht="14.25">
      <c r="B9" s="80"/>
      <c r="C9" s="81"/>
      <c r="D9" s="82"/>
      <c r="E9" s="83"/>
      <c r="F9" s="675"/>
      <c r="G9" s="88"/>
      <c r="H9" s="27"/>
    </row>
    <row r="10" spans="1:13" s="14" customFormat="1" ht="18" customHeight="1">
      <c r="A10" s="9"/>
      <c r="B10" s="10" t="s">
        <v>38</v>
      </c>
      <c r="C10" s="11"/>
      <c r="D10" s="13"/>
      <c r="E10" s="12"/>
      <c r="F10" s="688"/>
      <c r="G10" s="13"/>
    </row>
    <row r="11" spans="1:13" s="14" customFormat="1" ht="18" customHeight="1">
      <c r="A11" s="15"/>
      <c r="B11" s="16" t="s">
        <v>39</v>
      </c>
      <c r="C11" s="17"/>
      <c r="D11" s="18"/>
      <c r="E11" s="19"/>
      <c r="F11" s="689"/>
      <c r="G11" s="18"/>
    </row>
    <row r="12" spans="1:13" s="14" customFormat="1" ht="18" customHeight="1">
      <c r="A12" s="9"/>
      <c r="B12" s="10" t="s">
        <v>4</v>
      </c>
      <c r="C12" s="11"/>
      <c r="D12" s="12"/>
      <c r="E12" s="12"/>
      <c r="F12" s="688"/>
      <c r="G12" s="13"/>
    </row>
    <row r="13" spans="1:13" s="14" customFormat="1" ht="18" customHeight="1">
      <c r="A13" s="15"/>
      <c r="B13" s="16" t="s">
        <v>5</v>
      </c>
      <c r="C13" s="17"/>
      <c r="D13" s="19"/>
      <c r="E13" s="19"/>
      <c r="F13" s="689"/>
      <c r="G13" s="18"/>
    </row>
    <row r="14" spans="1:13" s="86" customFormat="1" ht="14.25">
      <c r="B14" s="89"/>
      <c r="C14" s="90"/>
      <c r="D14" s="91"/>
      <c r="E14" s="92"/>
      <c r="F14" s="690"/>
      <c r="G14" s="94"/>
      <c r="H14" s="27"/>
    </row>
    <row r="15" spans="1:13" s="86" customFormat="1" ht="18.75" customHeight="1">
      <c r="B15" s="95"/>
      <c r="C15" s="96" t="s">
        <v>40</v>
      </c>
      <c r="D15" s="97"/>
      <c r="E15" s="98"/>
      <c r="F15" s="691"/>
      <c r="G15" s="100"/>
      <c r="H15" s="27"/>
    </row>
    <row r="16" spans="1:13" s="101" customFormat="1" ht="18.75" customHeight="1">
      <c r="B16" s="95" t="s">
        <v>41</v>
      </c>
      <c r="C16" s="96" t="s">
        <v>42</v>
      </c>
      <c r="D16" s="103"/>
      <c r="E16" s="104"/>
      <c r="F16" s="692"/>
      <c r="G16" s="106" t="s">
        <v>10</v>
      </c>
      <c r="H16" s="37"/>
      <c r="I16" s="73"/>
      <c r="J16" s="73"/>
      <c r="K16" s="73"/>
      <c r="L16" s="73"/>
      <c r="M16" s="73"/>
    </row>
    <row r="17" spans="2:13" s="101" customFormat="1" ht="18.75" customHeight="1">
      <c r="B17" s="693" t="s">
        <v>43</v>
      </c>
      <c r="C17" s="694" t="s">
        <v>44</v>
      </c>
      <c r="D17" s="109"/>
      <c r="E17" s="110"/>
      <c r="F17" s="695"/>
      <c r="G17" s="1408">
        <f>G40</f>
        <v>0</v>
      </c>
      <c r="H17" s="37"/>
      <c r="I17" s="73"/>
      <c r="J17" s="73"/>
      <c r="K17" s="73"/>
      <c r="L17" s="73"/>
      <c r="M17" s="73"/>
    </row>
    <row r="18" spans="2:13" s="101" customFormat="1" ht="18.75" customHeight="1">
      <c r="B18" s="693" t="s">
        <v>45</v>
      </c>
      <c r="C18" s="694" t="s">
        <v>46</v>
      </c>
      <c r="D18" s="109"/>
      <c r="E18" s="110"/>
      <c r="F18" s="695"/>
      <c r="G18" s="1408">
        <f>G63</f>
        <v>0</v>
      </c>
      <c r="H18" s="37"/>
      <c r="I18" s="73"/>
      <c r="J18" s="73"/>
      <c r="K18" s="73"/>
      <c r="L18" s="73"/>
      <c r="M18" s="73"/>
    </row>
    <row r="19" spans="2:13" s="101" customFormat="1" ht="18.75" customHeight="1">
      <c r="B19" s="693" t="s">
        <v>47</v>
      </c>
      <c r="C19" s="694" t="s">
        <v>48</v>
      </c>
      <c r="D19" s="109"/>
      <c r="E19" s="110"/>
      <c r="F19" s="695"/>
      <c r="G19" s="1408">
        <f>G221</f>
        <v>0</v>
      </c>
      <c r="H19" s="37"/>
      <c r="I19" s="73"/>
      <c r="J19" s="73"/>
      <c r="K19" s="73"/>
      <c r="L19" s="73"/>
      <c r="M19" s="73"/>
    </row>
    <row r="20" spans="2:13" s="101" customFormat="1" ht="18.75" customHeight="1">
      <c r="B20" s="113"/>
      <c r="C20" s="114" t="s">
        <v>49</v>
      </c>
      <c r="D20" s="115"/>
      <c r="E20" s="116"/>
      <c r="F20" s="2372"/>
      <c r="G20" s="1415">
        <f>SUM(G17:G19)</f>
        <v>0</v>
      </c>
      <c r="H20" s="37"/>
      <c r="I20" s="73"/>
      <c r="J20" s="73"/>
      <c r="K20" s="73"/>
      <c r="L20" s="73"/>
      <c r="M20" s="73"/>
    </row>
    <row r="21" spans="2:13">
      <c r="B21" s="61"/>
      <c r="C21" s="62"/>
      <c r="D21" s="63"/>
      <c r="E21" s="64"/>
      <c r="F21" s="701"/>
    </row>
    <row r="22" spans="2:13">
      <c r="G22" s="118"/>
    </row>
    <row r="23" spans="2:13" ht="24">
      <c r="B23" s="119" t="s">
        <v>41</v>
      </c>
      <c r="C23" s="120" t="s">
        <v>51</v>
      </c>
      <c r="D23" s="121" t="s">
        <v>52</v>
      </c>
      <c r="E23" s="122" t="s">
        <v>53</v>
      </c>
      <c r="F23" s="756" t="s">
        <v>54</v>
      </c>
      <c r="G23" s="124" t="s">
        <v>55</v>
      </c>
    </row>
    <row r="24" spans="2:13">
      <c r="B24" s="125"/>
      <c r="C24" s="126"/>
      <c r="D24" s="127"/>
      <c r="E24" s="128"/>
      <c r="F24" s="708"/>
      <c r="G24" s="130"/>
    </row>
    <row r="25" spans="2:13" s="138" customFormat="1" ht="20.25">
      <c r="B25" s="131" t="s">
        <v>43</v>
      </c>
      <c r="C25" s="132" t="s">
        <v>44</v>
      </c>
      <c r="D25" s="133"/>
      <c r="E25" s="134"/>
      <c r="F25" s="709"/>
      <c r="G25" s="136"/>
      <c r="H25" s="137"/>
    </row>
    <row r="26" spans="2:13" ht="24">
      <c r="B26" s="125">
        <v>1</v>
      </c>
      <c r="C26" s="144" t="s">
        <v>56</v>
      </c>
      <c r="D26" s="140" t="s">
        <v>57</v>
      </c>
      <c r="E26" s="1081">
        <v>922</v>
      </c>
      <c r="F26" s="1082">
        <v>0</v>
      </c>
      <c r="G26" s="1083">
        <f t="shared" ref="G26" si="0">E26*F26</f>
        <v>0</v>
      </c>
    </row>
    <row r="27" spans="2:13">
      <c r="B27" s="125">
        <v>2</v>
      </c>
      <c r="C27" s="144" t="s">
        <v>58</v>
      </c>
      <c r="D27" s="140" t="s">
        <v>57</v>
      </c>
      <c r="E27" s="1081">
        <f>E26</f>
        <v>922</v>
      </c>
      <c r="F27" s="1082">
        <v>0</v>
      </c>
      <c r="G27" s="1083">
        <f>E27*F27</f>
        <v>0</v>
      </c>
    </row>
    <row r="28" spans="2:13" ht="51.75" customHeight="1">
      <c r="B28" s="125">
        <v>3</v>
      </c>
      <c r="C28" s="144" t="s">
        <v>245</v>
      </c>
      <c r="D28" s="140" t="s">
        <v>60</v>
      </c>
      <c r="E28" s="1081">
        <v>1</v>
      </c>
      <c r="F28" s="1082">
        <v>0</v>
      </c>
      <c r="G28" s="1083">
        <f t="shared" ref="G28:G38" si="1">E28*F28</f>
        <v>0</v>
      </c>
    </row>
    <row r="29" spans="2:13" ht="124.5" customHeight="1">
      <c r="B29" s="125">
        <v>4</v>
      </c>
      <c r="C29" s="144" t="s">
        <v>61</v>
      </c>
      <c r="D29" s="145" t="s">
        <v>60</v>
      </c>
      <c r="E29" s="1081">
        <v>1</v>
      </c>
      <c r="F29" s="1082">
        <v>0</v>
      </c>
      <c r="G29" s="1083">
        <f t="shared" si="1"/>
        <v>0</v>
      </c>
    </row>
    <row r="30" spans="2:13" ht="24">
      <c r="B30" s="125">
        <v>5</v>
      </c>
      <c r="C30" s="144" t="s">
        <v>1389</v>
      </c>
      <c r="D30" s="146" t="s">
        <v>60</v>
      </c>
      <c r="E30" s="1081">
        <v>4</v>
      </c>
      <c r="F30" s="1082">
        <v>0</v>
      </c>
      <c r="G30" s="1083">
        <f t="shared" si="1"/>
        <v>0</v>
      </c>
    </row>
    <row r="31" spans="2:13" ht="27.75" customHeight="1">
      <c r="B31" s="125">
        <v>6</v>
      </c>
      <c r="C31" s="1084" t="s">
        <v>63</v>
      </c>
      <c r="D31" s="140" t="s">
        <v>57</v>
      </c>
      <c r="E31" s="1081">
        <f>E26</f>
        <v>922</v>
      </c>
      <c r="F31" s="1082">
        <v>0</v>
      </c>
      <c r="G31" s="1083">
        <f t="shared" si="1"/>
        <v>0</v>
      </c>
    </row>
    <row r="32" spans="2:13" ht="52.5" customHeight="1">
      <c r="B32" s="125">
        <v>7</v>
      </c>
      <c r="C32" s="1084" t="s">
        <v>64</v>
      </c>
      <c r="D32" s="146" t="s">
        <v>60</v>
      </c>
      <c r="E32" s="1081">
        <v>1</v>
      </c>
      <c r="F32" s="1082">
        <v>0</v>
      </c>
      <c r="G32" s="1083">
        <f t="shared" si="1"/>
        <v>0</v>
      </c>
    </row>
    <row r="33" spans="1:13" ht="54" customHeight="1">
      <c r="B33" s="125">
        <v>8</v>
      </c>
      <c r="C33" s="1080" t="s">
        <v>2292</v>
      </c>
      <c r="D33" s="146" t="s">
        <v>66</v>
      </c>
      <c r="E33" s="1081">
        <v>63</v>
      </c>
      <c r="F33" s="1082">
        <v>0</v>
      </c>
      <c r="G33" s="1083">
        <f t="shared" si="1"/>
        <v>0</v>
      </c>
    </row>
    <row r="34" spans="1:13" ht="36">
      <c r="B34" s="125">
        <v>9</v>
      </c>
      <c r="C34" s="1080" t="s">
        <v>2295</v>
      </c>
      <c r="D34" s="146" t="s">
        <v>57</v>
      </c>
      <c r="E34" s="1081">
        <f>E26+E83+E84</f>
        <v>1302</v>
      </c>
      <c r="F34" s="1082">
        <v>0</v>
      </c>
      <c r="G34" s="1083">
        <f t="shared" si="1"/>
        <v>0</v>
      </c>
    </row>
    <row r="35" spans="1:13" ht="24">
      <c r="B35" s="125">
        <v>10</v>
      </c>
      <c r="C35" s="1080" t="s">
        <v>2293</v>
      </c>
      <c r="D35" s="146" t="s">
        <v>57</v>
      </c>
      <c r="E35" s="1081">
        <f>E26+E83+E84</f>
        <v>1302</v>
      </c>
      <c r="F35" s="1082">
        <v>0</v>
      </c>
      <c r="G35" s="1083">
        <f t="shared" si="1"/>
        <v>0</v>
      </c>
    </row>
    <row r="36" spans="1:13">
      <c r="B36" s="125">
        <v>11</v>
      </c>
      <c r="C36" s="1084" t="s">
        <v>67</v>
      </c>
      <c r="D36" s="146" t="s">
        <v>60</v>
      </c>
      <c r="E36" s="1081">
        <v>1</v>
      </c>
      <c r="F36" s="1082">
        <v>0</v>
      </c>
      <c r="G36" s="1083">
        <f t="shared" si="1"/>
        <v>0</v>
      </c>
    </row>
    <row r="37" spans="1:13" ht="48">
      <c r="B37" s="125">
        <v>12</v>
      </c>
      <c r="C37" s="952" t="s">
        <v>68</v>
      </c>
      <c r="D37" s="146" t="s">
        <v>60</v>
      </c>
      <c r="E37" s="1085">
        <v>1</v>
      </c>
      <c r="F37" s="1082">
        <v>0</v>
      </c>
      <c r="G37" s="1083">
        <f t="shared" si="1"/>
        <v>0</v>
      </c>
    </row>
    <row r="38" spans="1:13" ht="36">
      <c r="B38" s="125">
        <v>13</v>
      </c>
      <c r="C38" s="952" t="s">
        <v>69</v>
      </c>
      <c r="D38" s="146" t="s">
        <v>60</v>
      </c>
      <c r="E38" s="1085">
        <v>1</v>
      </c>
      <c r="F38" s="1082">
        <v>0</v>
      </c>
      <c r="G38" s="1083">
        <f t="shared" si="1"/>
        <v>0</v>
      </c>
    </row>
    <row r="39" spans="1:13">
      <c r="B39" s="125"/>
      <c r="C39" s="150"/>
      <c r="D39" s="146"/>
      <c r="E39" s="1085"/>
      <c r="F39" s="1082"/>
      <c r="G39" s="1083"/>
    </row>
    <row r="40" spans="1:13">
      <c r="B40" s="151" t="s">
        <v>43</v>
      </c>
      <c r="C40" s="1086" t="s">
        <v>1390</v>
      </c>
      <c r="D40" s="1087"/>
      <c r="E40" s="1088"/>
      <c r="F40" s="1089"/>
      <c r="G40" s="263">
        <f>SUM(G26:G38)</f>
        <v>0</v>
      </c>
    </row>
    <row r="41" spans="1:13" s="8" customFormat="1">
      <c r="A41" s="1"/>
      <c r="B41" s="125"/>
      <c r="C41" s="126"/>
      <c r="D41" s="127"/>
      <c r="E41" s="128"/>
      <c r="F41" s="129"/>
      <c r="G41" s="130"/>
      <c r="I41" s="1"/>
      <c r="J41" s="1"/>
      <c r="K41" s="1"/>
      <c r="L41" s="1"/>
      <c r="M41" s="1"/>
    </row>
    <row r="42" spans="1:13" s="8" customFormat="1" ht="24">
      <c r="A42" s="1"/>
      <c r="B42" s="157" t="s">
        <v>50</v>
      </c>
      <c r="C42" s="158" t="s">
        <v>51</v>
      </c>
      <c r="D42" s="159" t="s">
        <v>52</v>
      </c>
      <c r="E42" s="160" t="s">
        <v>53</v>
      </c>
      <c r="F42" s="161" t="s">
        <v>54</v>
      </c>
      <c r="G42" s="162" t="s">
        <v>55</v>
      </c>
      <c r="I42" s="1"/>
      <c r="J42" s="1"/>
      <c r="K42" s="1"/>
      <c r="L42" s="1"/>
      <c r="M42" s="1"/>
    </row>
    <row r="43" spans="1:13" s="8" customFormat="1">
      <c r="A43" s="1"/>
      <c r="B43" s="125"/>
      <c r="C43" s="163"/>
      <c r="D43" s="140"/>
      <c r="E43" s="128"/>
      <c r="F43" s="129"/>
      <c r="G43" s="130"/>
      <c r="I43" s="1"/>
      <c r="J43" s="1"/>
      <c r="K43" s="1"/>
      <c r="L43" s="1"/>
      <c r="M43" s="1"/>
    </row>
    <row r="44" spans="1:13" s="8" customFormat="1" ht="40.5">
      <c r="A44" s="1"/>
      <c r="B44" s="131" t="s">
        <v>45</v>
      </c>
      <c r="C44" s="164" t="s">
        <v>871</v>
      </c>
      <c r="D44" s="165"/>
      <c r="E44" s="134"/>
      <c r="F44" s="135"/>
      <c r="G44" s="136"/>
      <c r="I44" s="1"/>
      <c r="J44" s="1"/>
      <c r="K44" s="1"/>
      <c r="L44" s="1"/>
      <c r="M44" s="1"/>
    </row>
    <row r="45" spans="1:13" s="8" customFormat="1" ht="67.5" customHeight="1">
      <c r="A45" s="1"/>
      <c r="B45" s="2399" t="s">
        <v>72</v>
      </c>
      <c r="C45" s="2400"/>
      <c r="D45" s="2400"/>
      <c r="E45" s="2400"/>
      <c r="F45" s="2400"/>
      <c r="G45" s="2401"/>
      <c r="I45" s="1"/>
      <c r="J45" s="1"/>
      <c r="K45" s="1"/>
      <c r="L45" s="1"/>
      <c r="M45" s="1"/>
    </row>
    <row r="46" spans="1:13" s="8" customFormat="1" ht="41.25" customHeight="1">
      <c r="A46" s="1"/>
      <c r="B46" s="717">
        <v>1</v>
      </c>
      <c r="C46" s="139" t="s">
        <v>75</v>
      </c>
      <c r="D46" s="140" t="s">
        <v>74</v>
      </c>
      <c r="E46" s="1091">
        <f>E26*1.5*1.2*0.15</f>
        <v>248.93999999999997</v>
      </c>
      <c r="F46" s="1092">
        <v>0</v>
      </c>
      <c r="G46" s="1093">
        <f t="shared" ref="G46:G61" si="2">E46*F46</f>
        <v>0</v>
      </c>
      <c r="I46" s="1"/>
      <c r="J46" s="1"/>
      <c r="K46" s="1"/>
      <c r="L46" s="1"/>
      <c r="M46" s="1"/>
    </row>
    <row r="47" spans="1:13" s="8" customFormat="1" ht="41.25" customHeight="1">
      <c r="A47" s="1"/>
      <c r="B47" s="167">
        <v>2</v>
      </c>
      <c r="C47" s="139" t="s">
        <v>76</v>
      </c>
      <c r="D47" s="145" t="s">
        <v>74</v>
      </c>
      <c r="E47" s="1094">
        <f>E26*1.5*1.2*0.85</f>
        <v>1410.6599999999999</v>
      </c>
      <c r="F47" s="1092">
        <v>0</v>
      </c>
      <c r="G47" s="142">
        <f t="shared" si="2"/>
        <v>0</v>
      </c>
      <c r="I47" s="1"/>
      <c r="J47" s="1"/>
      <c r="K47" s="1"/>
      <c r="L47" s="1"/>
      <c r="M47" s="1"/>
    </row>
    <row r="48" spans="1:13" s="8" customFormat="1" ht="27.75" customHeight="1">
      <c r="A48" s="1"/>
      <c r="B48" s="717">
        <v>3</v>
      </c>
      <c r="C48" s="126" t="s">
        <v>77</v>
      </c>
      <c r="D48" s="140" t="s">
        <v>78</v>
      </c>
      <c r="E48" s="1094">
        <f>E26*1.5</f>
        <v>1383</v>
      </c>
      <c r="F48" s="1092">
        <v>0</v>
      </c>
      <c r="G48" s="1083">
        <f t="shared" si="2"/>
        <v>0</v>
      </c>
      <c r="I48" s="1"/>
      <c r="J48" s="1"/>
      <c r="K48" s="1"/>
      <c r="L48" s="1"/>
      <c r="M48" s="1"/>
    </row>
    <row r="49" spans="1:13" s="8" customFormat="1" ht="27.75" customHeight="1">
      <c r="A49" s="1"/>
      <c r="B49" s="167">
        <v>4</v>
      </c>
      <c r="C49" s="126" t="s">
        <v>79</v>
      </c>
      <c r="D49" s="145" t="s">
        <v>78</v>
      </c>
      <c r="E49" s="1094">
        <f>E26</f>
        <v>922</v>
      </c>
      <c r="F49" s="1092">
        <v>0</v>
      </c>
      <c r="G49" s="1083">
        <f t="shared" si="2"/>
        <v>0</v>
      </c>
      <c r="I49" s="1"/>
      <c r="J49" s="1"/>
      <c r="K49" s="1"/>
      <c r="L49" s="1"/>
      <c r="M49" s="1"/>
    </row>
    <row r="50" spans="1:13" s="8" customFormat="1" ht="27.75" customHeight="1">
      <c r="A50" s="1"/>
      <c r="B50" s="717">
        <v>5</v>
      </c>
      <c r="C50" s="139" t="s">
        <v>247</v>
      </c>
      <c r="D50" s="145" t="s">
        <v>74</v>
      </c>
      <c r="E50" s="1094">
        <f>E26*1.2*1</f>
        <v>1106.3999999999999</v>
      </c>
      <c r="F50" s="1092">
        <v>0</v>
      </c>
      <c r="G50" s="1083">
        <f t="shared" si="2"/>
        <v>0</v>
      </c>
      <c r="I50" s="1"/>
      <c r="J50" s="1"/>
      <c r="K50" s="1"/>
      <c r="L50" s="1"/>
      <c r="M50" s="1"/>
    </row>
    <row r="51" spans="1:13" s="8" customFormat="1" ht="40.5" customHeight="1">
      <c r="A51" s="1"/>
      <c r="B51" s="167">
        <v>6</v>
      </c>
      <c r="C51" s="139" t="s">
        <v>82</v>
      </c>
      <c r="D51" s="146" t="s">
        <v>74</v>
      </c>
      <c r="E51" s="1094">
        <f>E26*1.5*0.4</f>
        <v>553.20000000000005</v>
      </c>
      <c r="F51" s="1092">
        <v>0</v>
      </c>
      <c r="G51" s="1083">
        <f t="shared" si="2"/>
        <v>0</v>
      </c>
      <c r="I51" s="1"/>
      <c r="J51" s="1"/>
      <c r="K51" s="1"/>
      <c r="L51" s="1"/>
      <c r="M51" s="1"/>
    </row>
    <row r="52" spans="1:13" s="8" customFormat="1" ht="27" customHeight="1">
      <c r="A52" s="1"/>
      <c r="B52" s="717">
        <v>7</v>
      </c>
      <c r="C52" s="1095" t="s">
        <v>85</v>
      </c>
      <c r="D52" s="140" t="s">
        <v>57</v>
      </c>
      <c r="E52" s="1094">
        <v>14</v>
      </c>
      <c r="F52" s="1092">
        <v>0</v>
      </c>
      <c r="G52" s="1083">
        <f t="shared" si="2"/>
        <v>0</v>
      </c>
      <c r="I52" s="1"/>
      <c r="J52" s="1"/>
      <c r="K52" s="1"/>
      <c r="L52" s="1"/>
      <c r="M52" s="1"/>
    </row>
    <row r="53" spans="1:13" s="8" customFormat="1" ht="27" customHeight="1">
      <c r="A53" s="1"/>
      <c r="B53" s="167">
        <v>8</v>
      </c>
      <c r="C53" s="1095" t="s">
        <v>1391</v>
      </c>
      <c r="D53" s="140" t="s">
        <v>78</v>
      </c>
      <c r="E53" s="1094">
        <f>E26*1.2</f>
        <v>1106.3999999999999</v>
      </c>
      <c r="F53" s="1092">
        <v>0</v>
      </c>
      <c r="G53" s="1083">
        <f t="shared" si="2"/>
        <v>0</v>
      </c>
      <c r="I53" s="1"/>
      <c r="J53" s="1"/>
      <c r="K53" s="1"/>
      <c r="L53" s="1"/>
      <c r="M53" s="1"/>
    </row>
    <row r="54" spans="1:13" s="8" customFormat="1" ht="63.75" customHeight="1">
      <c r="A54" s="1"/>
      <c r="B54" s="717">
        <v>9</v>
      </c>
      <c r="C54" s="397" t="s">
        <v>254</v>
      </c>
      <c r="D54" s="145" t="s">
        <v>78</v>
      </c>
      <c r="E54" s="1094">
        <v>10</v>
      </c>
      <c r="F54" s="1092">
        <v>0</v>
      </c>
      <c r="G54" s="1083">
        <f t="shared" si="2"/>
        <v>0</v>
      </c>
      <c r="I54" s="1"/>
      <c r="J54" s="1"/>
      <c r="K54" s="1"/>
      <c r="L54" s="1"/>
      <c r="M54" s="1"/>
    </row>
    <row r="55" spans="1:13" s="8" customFormat="1" ht="14.25" customHeight="1">
      <c r="A55" s="1"/>
      <c r="B55" s="167">
        <v>10</v>
      </c>
      <c r="C55" s="139" t="s">
        <v>264</v>
      </c>
      <c r="D55" s="145" t="s">
        <v>74</v>
      </c>
      <c r="E55" s="128">
        <f>E46+E47+(E53*0.06)-E50</f>
        <v>619.58400000000006</v>
      </c>
      <c r="F55" s="1092">
        <v>0</v>
      </c>
      <c r="G55" s="142">
        <f t="shared" si="2"/>
        <v>0</v>
      </c>
      <c r="I55" s="1"/>
      <c r="J55" s="1"/>
      <c r="K55" s="1"/>
      <c r="L55" s="1"/>
      <c r="M55" s="1"/>
    </row>
    <row r="56" spans="1:13" s="8" customFormat="1">
      <c r="A56" s="1"/>
      <c r="B56" s="717">
        <v>11</v>
      </c>
      <c r="C56" s="139" t="s">
        <v>265</v>
      </c>
      <c r="D56" s="145" t="s">
        <v>74</v>
      </c>
      <c r="E56" s="128">
        <f>E55</f>
        <v>619.58400000000006</v>
      </c>
      <c r="F56" s="1092">
        <v>0</v>
      </c>
      <c r="G56" s="142">
        <f t="shared" si="2"/>
        <v>0</v>
      </c>
      <c r="I56" s="1"/>
      <c r="J56" s="1"/>
      <c r="K56" s="1"/>
      <c r="L56" s="1"/>
      <c r="M56" s="1"/>
    </row>
    <row r="57" spans="1:13" s="8" customFormat="1" ht="27.75" customHeight="1">
      <c r="A57" s="1"/>
      <c r="B57" s="167">
        <v>12</v>
      </c>
      <c r="C57" s="126" t="s">
        <v>95</v>
      </c>
      <c r="D57" s="140" t="s">
        <v>74</v>
      </c>
      <c r="E57" s="1094">
        <f>E26*0.75*0.1</f>
        <v>69.150000000000006</v>
      </c>
      <c r="F57" s="1092">
        <v>0</v>
      </c>
      <c r="G57" s="1083">
        <f t="shared" si="2"/>
        <v>0</v>
      </c>
      <c r="I57" s="1"/>
      <c r="J57" s="1"/>
      <c r="K57" s="1"/>
      <c r="L57" s="1"/>
      <c r="M57" s="1"/>
    </row>
    <row r="58" spans="1:13" s="8" customFormat="1" ht="40.5" customHeight="1">
      <c r="A58" s="1"/>
      <c r="B58" s="717">
        <v>13</v>
      </c>
      <c r="C58" s="1096" t="s">
        <v>1393</v>
      </c>
      <c r="D58" s="182" t="s">
        <v>74</v>
      </c>
      <c r="E58" s="1097">
        <v>2</v>
      </c>
      <c r="F58" s="1092">
        <v>0</v>
      </c>
      <c r="G58" s="1083">
        <f t="shared" si="2"/>
        <v>0</v>
      </c>
      <c r="I58" s="1"/>
      <c r="J58" s="1"/>
      <c r="K58" s="1"/>
      <c r="L58" s="1"/>
      <c r="M58" s="1"/>
    </row>
    <row r="59" spans="1:13" s="8" customFormat="1" ht="39" customHeight="1">
      <c r="A59" s="1"/>
      <c r="B59" s="167">
        <v>14</v>
      </c>
      <c r="C59" s="1096" t="s">
        <v>270</v>
      </c>
      <c r="D59" s="182" t="s">
        <v>66</v>
      </c>
      <c r="E59" s="1097">
        <v>129</v>
      </c>
      <c r="F59" s="1092">
        <v>0</v>
      </c>
      <c r="G59" s="1083">
        <f t="shared" si="2"/>
        <v>0</v>
      </c>
      <c r="I59" s="1"/>
      <c r="J59" s="1"/>
      <c r="K59" s="1"/>
      <c r="L59" s="1"/>
      <c r="M59" s="1"/>
    </row>
    <row r="60" spans="1:13" s="8" customFormat="1" ht="36">
      <c r="A60" s="1"/>
      <c r="B60" s="717">
        <v>15</v>
      </c>
      <c r="C60" s="1096" t="s">
        <v>99</v>
      </c>
      <c r="D60" s="182" t="s">
        <v>74</v>
      </c>
      <c r="E60" s="1097">
        <v>4</v>
      </c>
      <c r="F60" s="1092">
        <v>0</v>
      </c>
      <c r="G60" s="1083">
        <f t="shared" si="2"/>
        <v>0</v>
      </c>
      <c r="I60" s="1"/>
      <c r="J60" s="1"/>
      <c r="K60" s="1"/>
      <c r="L60" s="1"/>
      <c r="M60" s="1"/>
    </row>
    <row r="61" spans="1:13" s="8" customFormat="1" ht="27.75" customHeight="1">
      <c r="A61" s="1"/>
      <c r="B61" s="167">
        <v>16</v>
      </c>
      <c r="C61" s="1096" t="s">
        <v>100</v>
      </c>
      <c r="D61" s="182" t="s">
        <v>65</v>
      </c>
      <c r="E61" s="1097">
        <v>48</v>
      </c>
      <c r="F61" s="1092">
        <v>0</v>
      </c>
      <c r="G61" s="1083">
        <f t="shared" si="2"/>
        <v>0</v>
      </c>
      <c r="I61" s="1"/>
      <c r="J61" s="1"/>
      <c r="K61" s="1"/>
      <c r="L61" s="1"/>
      <c r="M61" s="1"/>
    </row>
    <row r="62" spans="1:13" s="8" customFormat="1">
      <c r="A62" s="1"/>
      <c r="B62" s="167"/>
      <c r="C62" s="1098"/>
      <c r="D62" s="1099"/>
      <c r="E62" s="1100"/>
      <c r="F62" s="1101"/>
      <c r="G62" s="1102"/>
      <c r="I62" s="1"/>
      <c r="J62" s="1"/>
      <c r="K62" s="1"/>
      <c r="L62" s="1"/>
      <c r="M62" s="1"/>
    </row>
    <row r="63" spans="1:13" s="8" customFormat="1">
      <c r="A63" s="1"/>
      <c r="B63" s="151" t="s">
        <v>45</v>
      </c>
      <c r="C63" s="1086" t="s">
        <v>101</v>
      </c>
      <c r="D63" s="1103"/>
      <c r="E63" s="1088"/>
      <c r="F63" s="1089"/>
      <c r="G63" s="263">
        <f>SUM(G46:G61)</f>
        <v>0</v>
      </c>
      <c r="I63" s="1"/>
      <c r="J63" s="1"/>
      <c r="K63" s="1"/>
      <c r="L63" s="1"/>
      <c r="M63" s="1"/>
    </row>
    <row r="64" spans="1:13" s="8" customFormat="1">
      <c r="A64" s="1"/>
      <c r="B64" s="67"/>
      <c r="C64" s="68"/>
      <c r="D64" s="69"/>
      <c r="E64" s="1104"/>
      <c r="F64" s="1105"/>
      <c r="G64" s="1106"/>
      <c r="I64" s="1"/>
      <c r="J64" s="1"/>
      <c r="K64" s="1"/>
      <c r="L64" s="1"/>
      <c r="M64" s="1"/>
    </row>
    <row r="65" spans="1:13" s="8" customFormat="1" ht="24">
      <c r="A65" s="1"/>
      <c r="B65" s="119" t="s">
        <v>50</v>
      </c>
      <c r="C65" s="120" t="s">
        <v>51</v>
      </c>
      <c r="D65" s="121" t="s">
        <v>52</v>
      </c>
      <c r="E65" s="122" t="s">
        <v>53</v>
      </c>
      <c r="F65" s="123" t="s">
        <v>54</v>
      </c>
      <c r="G65" s="124" t="s">
        <v>55</v>
      </c>
      <c r="I65" s="1"/>
      <c r="J65" s="1"/>
      <c r="K65" s="1"/>
      <c r="L65" s="1"/>
      <c r="M65" s="1"/>
    </row>
    <row r="66" spans="1:13" s="8" customFormat="1">
      <c r="A66" s="1"/>
      <c r="B66" s="125"/>
      <c r="C66" s="126"/>
      <c r="D66" s="127"/>
      <c r="E66" s="719"/>
      <c r="F66" s="1107"/>
      <c r="G66" s="731"/>
      <c r="I66" s="1"/>
      <c r="J66" s="1"/>
      <c r="K66" s="1"/>
      <c r="L66" s="1"/>
      <c r="M66" s="1"/>
    </row>
    <row r="67" spans="1:13" s="8" customFormat="1" ht="20.25">
      <c r="A67" s="1"/>
      <c r="B67" s="186" t="s">
        <v>47</v>
      </c>
      <c r="C67" s="187" t="s">
        <v>48</v>
      </c>
      <c r="D67" s="165"/>
      <c r="E67" s="134"/>
      <c r="F67" s="135"/>
      <c r="G67" s="136"/>
      <c r="I67" s="1"/>
      <c r="J67" s="1"/>
      <c r="K67" s="1"/>
      <c r="L67" s="1"/>
      <c r="M67" s="1"/>
    </row>
    <row r="68" spans="1:13" s="8" customFormat="1">
      <c r="A68" s="1"/>
      <c r="B68" s="1108" t="s">
        <v>38</v>
      </c>
      <c r="C68" s="1109"/>
      <c r="D68" s="1110"/>
      <c r="E68" s="1109"/>
      <c r="F68" s="1109"/>
      <c r="G68" s="1110"/>
      <c r="I68" s="1"/>
      <c r="J68" s="1"/>
      <c r="K68" s="1"/>
      <c r="L68" s="1"/>
      <c r="M68" s="1"/>
    </row>
    <row r="69" spans="1:13" s="8" customFormat="1">
      <c r="A69" s="1"/>
      <c r="B69" s="1111" t="s">
        <v>39</v>
      </c>
      <c r="C69" s="1112"/>
      <c r="D69" s="1112"/>
      <c r="E69" s="1112"/>
      <c r="F69" s="1112"/>
      <c r="G69" s="1113"/>
      <c r="I69" s="1"/>
      <c r="J69" s="1"/>
      <c r="K69" s="1"/>
      <c r="L69" s="1"/>
      <c r="M69" s="1"/>
    </row>
    <row r="70" spans="1:13" s="8" customFormat="1">
      <c r="A70" s="1"/>
      <c r="B70" s="1108" t="s">
        <v>4</v>
      </c>
      <c r="C70" s="1109"/>
      <c r="D70" s="1114"/>
      <c r="E70" s="1109"/>
      <c r="F70" s="1109"/>
      <c r="G70" s="1110"/>
      <c r="I70" s="1"/>
      <c r="J70" s="1"/>
      <c r="K70" s="1"/>
      <c r="L70" s="1"/>
      <c r="M70" s="1"/>
    </row>
    <row r="71" spans="1:13" s="8" customFormat="1">
      <c r="A71" s="1"/>
      <c r="B71" s="1111" t="s">
        <v>5</v>
      </c>
      <c r="C71" s="1112"/>
      <c r="D71" s="1112"/>
      <c r="E71" s="1112"/>
      <c r="F71" s="1112"/>
      <c r="G71" s="1113"/>
      <c r="I71" s="1"/>
      <c r="J71" s="1"/>
      <c r="K71" s="1"/>
      <c r="L71" s="1"/>
      <c r="M71" s="1"/>
    </row>
    <row r="72" spans="1:13" s="8" customFormat="1">
      <c r="A72" s="1"/>
      <c r="B72" s="2399" t="s">
        <v>271</v>
      </c>
      <c r="C72" s="2400"/>
      <c r="D72" s="2400"/>
      <c r="E72" s="2400"/>
      <c r="F72" s="2400"/>
      <c r="G72" s="2401"/>
      <c r="I72" s="1"/>
      <c r="J72" s="1"/>
      <c r="K72" s="1"/>
      <c r="L72" s="1"/>
      <c r="M72" s="1"/>
    </row>
    <row r="73" spans="1:13" s="8" customFormat="1">
      <c r="A73" s="1"/>
      <c r="B73" s="2399" t="s">
        <v>104</v>
      </c>
      <c r="C73" s="2400"/>
      <c r="D73" s="2400"/>
      <c r="E73" s="2400"/>
      <c r="F73" s="2400"/>
      <c r="G73" s="2401"/>
      <c r="I73" s="1"/>
      <c r="J73" s="1"/>
      <c r="K73" s="1"/>
      <c r="L73" s="1"/>
      <c r="M73" s="1"/>
    </row>
    <row r="74" spans="1:13" s="8" customFormat="1">
      <c r="A74" s="1"/>
      <c r="B74" s="2399" t="s">
        <v>105</v>
      </c>
      <c r="C74" s="2400"/>
      <c r="D74" s="2400"/>
      <c r="E74" s="2400"/>
      <c r="F74" s="2400"/>
      <c r="G74" s="2401"/>
      <c r="I74" s="1"/>
      <c r="J74" s="1"/>
      <c r="K74" s="1"/>
      <c r="L74" s="1"/>
      <c r="M74" s="1"/>
    </row>
    <row r="75" spans="1:13" s="8" customFormat="1">
      <c r="A75" s="1"/>
      <c r="B75" s="1115"/>
      <c r="C75" s="1116"/>
      <c r="D75" s="1116"/>
      <c r="E75" s="1116"/>
      <c r="F75" s="1116"/>
      <c r="G75" s="1117"/>
      <c r="I75" s="1"/>
      <c r="J75" s="1"/>
      <c r="K75" s="1"/>
      <c r="L75" s="1"/>
      <c r="M75" s="1"/>
    </row>
    <row r="76" spans="1:13" ht="24">
      <c r="B76" s="188">
        <v>1</v>
      </c>
      <c r="C76" s="189" t="s">
        <v>106</v>
      </c>
      <c r="D76" s="190"/>
      <c r="E76" s="719"/>
      <c r="F76" s="1107"/>
      <c r="G76" s="731"/>
    </row>
    <row r="77" spans="1:13">
      <c r="B77" s="191"/>
      <c r="C77" s="271" t="s">
        <v>179</v>
      </c>
      <c r="D77" s="190" t="s">
        <v>57</v>
      </c>
      <c r="E77" s="719">
        <f>101*0.9</f>
        <v>90.9</v>
      </c>
      <c r="F77" s="1092">
        <v>0</v>
      </c>
      <c r="G77" s="1093">
        <f>E77*F77</f>
        <v>0</v>
      </c>
    </row>
    <row r="78" spans="1:13">
      <c r="B78" s="191"/>
      <c r="C78" s="271" t="s">
        <v>180</v>
      </c>
      <c r="D78" s="190" t="s">
        <v>57</v>
      </c>
      <c r="E78" s="719">
        <f>101*0.1</f>
        <v>10.100000000000001</v>
      </c>
      <c r="F78" s="1092">
        <v>0</v>
      </c>
      <c r="G78" s="1093">
        <f>E78*F78</f>
        <v>0</v>
      </c>
    </row>
    <row r="79" spans="1:13">
      <c r="B79" s="191"/>
      <c r="C79" s="192" t="s">
        <v>107</v>
      </c>
      <c r="D79" s="190" t="s">
        <v>57</v>
      </c>
      <c r="E79" s="719">
        <f>623*0.9</f>
        <v>560.70000000000005</v>
      </c>
      <c r="F79" s="1092">
        <v>0</v>
      </c>
      <c r="G79" s="1093">
        <f t="shared" ref="G79:G89" si="3">E79*F79</f>
        <v>0</v>
      </c>
    </row>
    <row r="80" spans="1:13" ht="24">
      <c r="B80" s="191"/>
      <c r="C80" s="192" t="s">
        <v>884</v>
      </c>
      <c r="D80" s="190" t="s">
        <v>57</v>
      </c>
      <c r="E80" s="719">
        <f>623*0.1</f>
        <v>62.300000000000004</v>
      </c>
      <c r="F80" s="1092">
        <v>0</v>
      </c>
      <c r="G80" s="1093">
        <f t="shared" si="3"/>
        <v>0</v>
      </c>
    </row>
    <row r="81" spans="2:7">
      <c r="B81" s="191"/>
      <c r="C81" s="192" t="s">
        <v>226</v>
      </c>
      <c r="D81" s="190" t="s">
        <v>57</v>
      </c>
      <c r="E81" s="719">
        <f>198*0.9</f>
        <v>178.20000000000002</v>
      </c>
      <c r="F81" s="1092">
        <v>0</v>
      </c>
      <c r="G81" s="1093">
        <f t="shared" si="3"/>
        <v>0</v>
      </c>
    </row>
    <row r="82" spans="2:7" ht="24">
      <c r="B82" s="191"/>
      <c r="C82" s="192" t="s">
        <v>227</v>
      </c>
      <c r="D82" s="190" t="s">
        <v>57</v>
      </c>
      <c r="E82" s="719">
        <f>198*0.1</f>
        <v>19.8</v>
      </c>
      <c r="F82" s="1092">
        <v>0</v>
      </c>
      <c r="G82" s="1093">
        <f t="shared" si="3"/>
        <v>0</v>
      </c>
    </row>
    <row r="83" spans="2:7">
      <c r="B83" s="191"/>
      <c r="C83" s="192" t="s">
        <v>109</v>
      </c>
      <c r="D83" s="190" t="s">
        <v>57</v>
      </c>
      <c r="E83" s="719">
        <f>380*0.9</f>
        <v>342</v>
      </c>
      <c r="F83" s="1092">
        <v>0</v>
      </c>
      <c r="G83" s="1093">
        <f t="shared" si="3"/>
        <v>0</v>
      </c>
    </row>
    <row r="84" spans="2:7" ht="24">
      <c r="B84" s="191"/>
      <c r="C84" s="192" t="s">
        <v>110</v>
      </c>
      <c r="D84" s="190" t="s">
        <v>57</v>
      </c>
      <c r="E84" s="719">
        <f>380*0.1</f>
        <v>38</v>
      </c>
      <c r="F84" s="1092">
        <v>0</v>
      </c>
      <c r="G84" s="1093">
        <f t="shared" si="3"/>
        <v>0</v>
      </c>
    </row>
    <row r="85" spans="2:7" ht="36">
      <c r="B85" s="2404" t="s">
        <v>111</v>
      </c>
      <c r="C85" s="193" t="s">
        <v>112</v>
      </c>
      <c r="D85" s="194"/>
      <c r="E85" s="719"/>
      <c r="F85" s="1092"/>
      <c r="G85" s="1093"/>
    </row>
    <row r="86" spans="2:7">
      <c r="B86" s="2405"/>
      <c r="C86" s="195" t="s">
        <v>113</v>
      </c>
      <c r="D86" s="194" t="s">
        <v>57</v>
      </c>
      <c r="E86" s="719">
        <v>20</v>
      </c>
      <c r="F86" s="1092">
        <v>0</v>
      </c>
      <c r="G86" s="1093">
        <f>E86*F86</f>
        <v>0</v>
      </c>
    </row>
    <row r="87" spans="2:7">
      <c r="B87" s="2405"/>
      <c r="C87" s="195" t="s">
        <v>274</v>
      </c>
      <c r="D87" s="194" t="s">
        <v>57</v>
      </c>
      <c r="E87" s="719">
        <v>90</v>
      </c>
      <c r="F87" s="1092">
        <v>0</v>
      </c>
      <c r="G87" s="1093">
        <f>E87*F87</f>
        <v>0</v>
      </c>
    </row>
    <row r="88" spans="2:7">
      <c r="B88" s="2413"/>
      <c r="C88" s="195" t="s">
        <v>275</v>
      </c>
      <c r="D88" s="194" t="s">
        <v>57</v>
      </c>
      <c r="E88" s="719">
        <v>60</v>
      </c>
      <c r="F88" s="1092">
        <v>0</v>
      </c>
      <c r="G88" s="1093">
        <f>E88*F88</f>
        <v>0</v>
      </c>
    </row>
    <row r="89" spans="2:7" ht="36">
      <c r="B89" s="196">
        <v>2</v>
      </c>
      <c r="C89" s="197" t="s">
        <v>114</v>
      </c>
      <c r="D89" s="145" t="s">
        <v>57</v>
      </c>
      <c r="E89" s="732">
        <f>SUM(E77:E84)</f>
        <v>1302</v>
      </c>
      <c r="F89" s="1092">
        <v>0</v>
      </c>
      <c r="G89" s="1093">
        <f t="shared" si="3"/>
        <v>0</v>
      </c>
    </row>
    <row r="90" spans="2:7" ht="36">
      <c r="B90" s="199" t="s">
        <v>115</v>
      </c>
      <c r="C90" s="197" t="s">
        <v>116</v>
      </c>
      <c r="D90" s="145" t="s">
        <v>57</v>
      </c>
      <c r="E90" s="732">
        <f>E89</f>
        <v>1302</v>
      </c>
      <c r="F90" s="1092">
        <v>0</v>
      </c>
      <c r="G90" s="1093">
        <f>E90*F90</f>
        <v>0</v>
      </c>
    </row>
    <row r="91" spans="2:7" ht="24">
      <c r="B91" s="199" t="s">
        <v>117</v>
      </c>
      <c r="C91" s="197" t="s">
        <v>118</v>
      </c>
      <c r="D91" s="145" t="s">
        <v>57</v>
      </c>
      <c r="E91" s="732">
        <f>E89</f>
        <v>1302</v>
      </c>
      <c r="F91" s="1092">
        <v>0</v>
      </c>
      <c r="G91" s="1093">
        <f>E91*F91</f>
        <v>0</v>
      </c>
    </row>
    <row r="92" spans="2:7" ht="36">
      <c r="B92" s="199" t="s">
        <v>119</v>
      </c>
      <c r="C92" s="197" t="s">
        <v>120</v>
      </c>
      <c r="D92" s="145" t="s">
        <v>57</v>
      </c>
      <c r="E92" s="732">
        <f>E89</f>
        <v>1302</v>
      </c>
      <c r="F92" s="1092">
        <v>0</v>
      </c>
      <c r="G92" s="1093">
        <f>E92*F92</f>
        <v>0</v>
      </c>
    </row>
    <row r="93" spans="2:7" ht="24">
      <c r="B93" s="188">
        <v>3</v>
      </c>
      <c r="C93" s="200" t="s">
        <v>121</v>
      </c>
      <c r="D93" s="127"/>
      <c r="E93" s="719"/>
      <c r="F93" s="719"/>
      <c r="G93" s="731"/>
    </row>
    <row r="94" spans="2:7">
      <c r="B94" s="201" t="s">
        <v>122</v>
      </c>
      <c r="C94" s="202" t="s">
        <v>123</v>
      </c>
      <c r="D94" s="203"/>
      <c r="E94" s="204"/>
      <c r="F94" s="205"/>
      <c r="G94" s="206"/>
    </row>
    <row r="95" spans="2:7">
      <c r="B95" s="125"/>
      <c r="C95" s="202" t="s">
        <v>210</v>
      </c>
      <c r="D95" s="203"/>
      <c r="E95" s="204"/>
      <c r="F95" s="205"/>
      <c r="G95" s="206"/>
    </row>
    <row r="96" spans="2:7">
      <c r="B96" s="125"/>
      <c r="C96" s="280" t="s">
        <v>211</v>
      </c>
      <c r="D96" s="209" t="s">
        <v>66</v>
      </c>
      <c r="E96" s="204">
        <v>4</v>
      </c>
      <c r="F96" s="210">
        <v>0</v>
      </c>
      <c r="G96" s="211">
        <f>E96*F96</f>
        <v>0</v>
      </c>
    </row>
    <row r="97" spans="2:7">
      <c r="B97" s="125"/>
      <c r="C97" s="280" t="s">
        <v>212</v>
      </c>
      <c r="D97" s="209" t="s">
        <v>66</v>
      </c>
      <c r="E97" s="204">
        <v>3</v>
      </c>
      <c r="F97" s="210">
        <v>0</v>
      </c>
      <c r="G97" s="211">
        <f>E97*F97</f>
        <v>0</v>
      </c>
    </row>
    <row r="98" spans="2:7">
      <c r="B98" s="125"/>
      <c r="C98" s="202" t="s">
        <v>124</v>
      </c>
      <c r="D98" s="203"/>
      <c r="E98" s="204"/>
      <c r="F98" s="205"/>
      <c r="G98" s="206"/>
    </row>
    <row r="99" spans="2:7">
      <c r="B99" s="207"/>
      <c r="C99" s="208" t="s">
        <v>199</v>
      </c>
      <c r="D99" s="209" t="s">
        <v>66</v>
      </c>
      <c r="E99" s="204">
        <v>1</v>
      </c>
      <c r="F99" s="210">
        <v>0</v>
      </c>
      <c r="G99" s="211">
        <f>E99*F99</f>
        <v>0</v>
      </c>
    </row>
    <row r="100" spans="2:7">
      <c r="B100" s="207"/>
      <c r="C100" s="208" t="s">
        <v>214</v>
      </c>
      <c r="D100" s="209" t="s">
        <v>66</v>
      </c>
      <c r="E100" s="204">
        <v>14</v>
      </c>
      <c r="F100" s="210">
        <v>0</v>
      </c>
      <c r="G100" s="211">
        <f>E100*F100</f>
        <v>0</v>
      </c>
    </row>
    <row r="101" spans="2:7">
      <c r="B101" s="207"/>
      <c r="C101" s="208" t="s">
        <v>1398</v>
      </c>
      <c r="D101" s="209" t="s">
        <v>66</v>
      </c>
      <c r="E101" s="204">
        <v>3</v>
      </c>
      <c r="F101" s="210">
        <v>0</v>
      </c>
      <c r="G101" s="211">
        <f>E101*F101</f>
        <v>0</v>
      </c>
    </row>
    <row r="102" spans="2:7">
      <c r="B102" s="201" t="s">
        <v>126</v>
      </c>
      <c r="C102" s="212" t="s">
        <v>127</v>
      </c>
      <c r="D102" s="213"/>
      <c r="E102" s="214"/>
      <c r="F102" s="215">
        <v>0</v>
      </c>
      <c r="G102" s="216"/>
    </row>
    <row r="103" spans="2:7">
      <c r="B103" s="218"/>
      <c r="C103" s="212" t="s">
        <v>181</v>
      </c>
      <c r="D103" s="735"/>
      <c r="E103" s="736"/>
      <c r="F103" s="1601"/>
      <c r="G103" s="1121"/>
    </row>
    <row r="104" spans="2:7">
      <c r="B104" s="218"/>
      <c r="C104" s="219" t="s">
        <v>182</v>
      </c>
      <c r="D104" s="213" t="s">
        <v>66</v>
      </c>
      <c r="E104" s="214">
        <v>1</v>
      </c>
      <c r="F104" s="1599">
        <v>0</v>
      </c>
      <c r="G104" s="221">
        <f t="shared" ref="G104:G130" si="4">E104*F104</f>
        <v>0</v>
      </c>
    </row>
    <row r="105" spans="2:7" ht="36">
      <c r="B105" s="218"/>
      <c r="C105" s="222" t="s">
        <v>130</v>
      </c>
      <c r="D105" s="213" t="s">
        <v>66</v>
      </c>
      <c r="E105" s="214">
        <v>1</v>
      </c>
      <c r="F105" s="1599">
        <v>0</v>
      </c>
      <c r="G105" s="221">
        <f t="shared" si="4"/>
        <v>0</v>
      </c>
    </row>
    <row r="106" spans="2:7">
      <c r="B106" s="218"/>
      <c r="C106" s="222" t="s">
        <v>183</v>
      </c>
      <c r="D106" s="213" t="s">
        <v>66</v>
      </c>
      <c r="E106" s="214">
        <v>1</v>
      </c>
      <c r="F106" s="1599">
        <v>0</v>
      </c>
      <c r="G106" s="221">
        <f t="shared" si="4"/>
        <v>0</v>
      </c>
    </row>
    <row r="107" spans="2:7">
      <c r="B107" s="218"/>
      <c r="C107" s="222" t="s">
        <v>131</v>
      </c>
      <c r="D107" s="213" t="s">
        <v>66</v>
      </c>
      <c r="E107" s="214">
        <v>1</v>
      </c>
      <c r="F107" s="1599">
        <v>0</v>
      </c>
      <c r="G107" s="221">
        <f t="shared" si="4"/>
        <v>0</v>
      </c>
    </row>
    <row r="108" spans="2:7">
      <c r="B108" s="218"/>
      <c r="C108" s="234" t="s">
        <v>184</v>
      </c>
      <c r="D108" s="213" t="s">
        <v>66</v>
      </c>
      <c r="E108" s="214">
        <v>2</v>
      </c>
      <c r="F108" s="1599">
        <v>0</v>
      </c>
      <c r="G108" s="221">
        <f t="shared" si="4"/>
        <v>0</v>
      </c>
    </row>
    <row r="109" spans="2:7">
      <c r="B109" s="218"/>
      <c r="C109" s="234" t="s">
        <v>134</v>
      </c>
      <c r="D109" s="213" t="s">
        <v>66</v>
      </c>
      <c r="E109" s="214">
        <v>1</v>
      </c>
      <c r="F109" s="1599">
        <v>0</v>
      </c>
      <c r="G109" s="221">
        <f t="shared" si="4"/>
        <v>0</v>
      </c>
    </row>
    <row r="110" spans="2:7">
      <c r="B110" s="218"/>
      <c r="C110" s="235" t="s">
        <v>135</v>
      </c>
      <c r="D110" s="213" t="s">
        <v>66</v>
      </c>
      <c r="E110" s="214">
        <v>1</v>
      </c>
      <c r="F110" s="1599">
        <v>0</v>
      </c>
      <c r="G110" s="221">
        <f t="shared" si="4"/>
        <v>0</v>
      </c>
    </row>
    <row r="111" spans="2:7">
      <c r="B111" s="218"/>
      <c r="C111" s="212" t="s">
        <v>128</v>
      </c>
      <c r="D111" s="735"/>
      <c r="E111" s="736"/>
      <c r="F111" s="1599"/>
      <c r="G111" s="221"/>
    </row>
    <row r="112" spans="2:7">
      <c r="B112" s="218"/>
      <c r="C112" s="219" t="s">
        <v>129</v>
      </c>
      <c r="D112" s="213" t="s">
        <v>66</v>
      </c>
      <c r="E112" s="214">
        <v>3</v>
      </c>
      <c r="F112" s="1599">
        <v>0</v>
      </c>
      <c r="G112" s="221">
        <f t="shared" si="4"/>
        <v>0</v>
      </c>
    </row>
    <row r="113" spans="2:7" ht="36">
      <c r="B113" s="218"/>
      <c r="C113" s="222" t="s">
        <v>130</v>
      </c>
      <c r="D113" s="213" t="s">
        <v>66</v>
      </c>
      <c r="E113" s="214">
        <v>3</v>
      </c>
      <c r="F113" s="1599">
        <v>0</v>
      </c>
      <c r="G113" s="221">
        <f t="shared" si="4"/>
        <v>0</v>
      </c>
    </row>
    <row r="114" spans="2:7">
      <c r="B114" s="218"/>
      <c r="C114" s="222" t="s">
        <v>183</v>
      </c>
      <c r="D114" s="213" t="s">
        <v>66</v>
      </c>
      <c r="E114" s="214">
        <v>3</v>
      </c>
      <c r="F114" s="1599">
        <v>0</v>
      </c>
      <c r="G114" s="221">
        <f t="shared" si="4"/>
        <v>0</v>
      </c>
    </row>
    <row r="115" spans="2:7">
      <c r="B115" s="218"/>
      <c r="C115" s="222" t="s">
        <v>131</v>
      </c>
      <c r="D115" s="213" t="s">
        <v>66</v>
      </c>
      <c r="E115" s="214">
        <v>3</v>
      </c>
      <c r="F115" s="1599">
        <v>0</v>
      </c>
      <c r="G115" s="221">
        <f t="shared" si="4"/>
        <v>0</v>
      </c>
    </row>
    <row r="116" spans="2:7">
      <c r="B116" s="218"/>
      <c r="C116" s="222" t="s">
        <v>132</v>
      </c>
      <c r="D116" s="213" t="s">
        <v>66</v>
      </c>
      <c r="E116" s="214">
        <v>6</v>
      </c>
      <c r="F116" s="1599">
        <v>0</v>
      </c>
      <c r="G116" s="221">
        <f t="shared" si="4"/>
        <v>0</v>
      </c>
    </row>
    <row r="117" spans="2:7">
      <c r="B117" s="218"/>
      <c r="C117" s="222" t="s">
        <v>133</v>
      </c>
      <c r="D117" s="213" t="s">
        <v>66</v>
      </c>
      <c r="E117" s="214">
        <v>6</v>
      </c>
      <c r="F117" s="1599">
        <v>0</v>
      </c>
      <c r="G117" s="221">
        <f t="shared" si="4"/>
        <v>0</v>
      </c>
    </row>
    <row r="118" spans="2:7">
      <c r="B118" s="218"/>
      <c r="C118" s="222" t="s">
        <v>134</v>
      </c>
      <c r="D118" s="213" t="s">
        <v>66</v>
      </c>
      <c r="E118" s="214">
        <v>3</v>
      </c>
      <c r="F118" s="1599">
        <v>0</v>
      </c>
      <c r="G118" s="221">
        <f t="shared" si="4"/>
        <v>0</v>
      </c>
    </row>
    <row r="119" spans="2:7">
      <c r="B119" s="218"/>
      <c r="C119" s="222" t="s">
        <v>135</v>
      </c>
      <c r="D119" s="213" t="s">
        <v>66</v>
      </c>
      <c r="E119" s="214">
        <v>3</v>
      </c>
      <c r="F119" s="1599">
        <v>0</v>
      </c>
      <c r="G119" s="221">
        <f t="shared" si="4"/>
        <v>0</v>
      </c>
    </row>
    <row r="120" spans="2:7">
      <c r="B120" s="218"/>
      <c r="C120" s="212" t="s">
        <v>318</v>
      </c>
      <c r="D120" s="735"/>
      <c r="E120" s="736"/>
      <c r="F120" s="1599"/>
      <c r="G120" s="221"/>
    </row>
    <row r="121" spans="2:7">
      <c r="B121" s="218"/>
      <c r="C121" s="219" t="s">
        <v>319</v>
      </c>
      <c r="D121" s="213" t="s">
        <v>66</v>
      </c>
      <c r="E121" s="214">
        <v>2</v>
      </c>
      <c r="F121" s="1599">
        <v>0</v>
      </c>
      <c r="G121" s="221">
        <f t="shared" si="4"/>
        <v>0</v>
      </c>
    </row>
    <row r="122" spans="2:7" ht="36">
      <c r="B122" s="218"/>
      <c r="C122" s="222" t="s">
        <v>283</v>
      </c>
      <c r="D122" s="213" t="s">
        <v>66</v>
      </c>
      <c r="E122" s="214">
        <v>2</v>
      </c>
      <c r="F122" s="1599">
        <v>0</v>
      </c>
      <c r="G122" s="221">
        <f t="shared" si="4"/>
        <v>0</v>
      </c>
    </row>
    <row r="123" spans="2:7">
      <c r="B123" s="218"/>
      <c r="C123" s="222" t="s">
        <v>183</v>
      </c>
      <c r="D123" s="213" t="s">
        <v>66</v>
      </c>
      <c r="E123" s="214">
        <v>2</v>
      </c>
      <c r="F123" s="1599">
        <v>0</v>
      </c>
      <c r="G123" s="221">
        <f t="shared" si="4"/>
        <v>0</v>
      </c>
    </row>
    <row r="124" spans="2:7">
      <c r="B124" s="218"/>
      <c r="C124" s="222" t="s">
        <v>131</v>
      </c>
      <c r="D124" s="213" t="s">
        <v>66</v>
      </c>
      <c r="E124" s="214">
        <v>2</v>
      </c>
      <c r="F124" s="1599">
        <v>0</v>
      </c>
      <c r="G124" s="221">
        <f t="shared" si="4"/>
        <v>0</v>
      </c>
    </row>
    <row r="125" spans="2:7">
      <c r="B125" s="218"/>
      <c r="C125" s="1133" t="s">
        <v>166</v>
      </c>
      <c r="D125" s="213" t="s">
        <v>66</v>
      </c>
      <c r="E125" s="214">
        <v>4</v>
      </c>
      <c r="F125" s="1599">
        <v>0</v>
      </c>
      <c r="G125" s="221">
        <f t="shared" si="4"/>
        <v>0</v>
      </c>
    </row>
    <row r="126" spans="2:7">
      <c r="B126" s="218"/>
      <c r="C126" s="1133" t="s">
        <v>167</v>
      </c>
      <c r="D126" s="213" t="s">
        <v>66</v>
      </c>
      <c r="E126" s="214">
        <v>4</v>
      </c>
      <c r="F126" s="1599">
        <v>0</v>
      </c>
      <c r="G126" s="221">
        <f t="shared" si="4"/>
        <v>0</v>
      </c>
    </row>
    <row r="127" spans="2:7">
      <c r="B127" s="218"/>
      <c r="C127" s="1133" t="s">
        <v>229</v>
      </c>
      <c r="D127" s="213" t="s">
        <v>66</v>
      </c>
      <c r="E127" s="214">
        <v>4</v>
      </c>
      <c r="F127" s="1599">
        <v>0</v>
      </c>
      <c r="G127" s="221">
        <f t="shared" si="4"/>
        <v>0</v>
      </c>
    </row>
    <row r="128" spans="2:7">
      <c r="B128" s="218"/>
      <c r="C128" s="1133" t="s">
        <v>230</v>
      </c>
      <c r="D128" s="213" t="s">
        <v>66</v>
      </c>
      <c r="E128" s="214">
        <v>4</v>
      </c>
      <c r="F128" s="1599">
        <v>0</v>
      </c>
      <c r="G128" s="221">
        <f t="shared" si="4"/>
        <v>0</v>
      </c>
    </row>
    <row r="129" spans="2:7">
      <c r="B129" s="218"/>
      <c r="C129" s="1133" t="s">
        <v>134</v>
      </c>
      <c r="D129" s="213" t="s">
        <v>66</v>
      </c>
      <c r="E129" s="214">
        <v>2</v>
      </c>
      <c r="F129" s="1599">
        <v>0</v>
      </c>
      <c r="G129" s="221">
        <f t="shared" si="4"/>
        <v>0</v>
      </c>
    </row>
    <row r="130" spans="2:7">
      <c r="B130" s="218"/>
      <c r="C130" s="1134" t="s">
        <v>135</v>
      </c>
      <c r="D130" s="213" t="s">
        <v>66</v>
      </c>
      <c r="E130" s="214">
        <v>2</v>
      </c>
      <c r="F130" s="1599">
        <v>0</v>
      </c>
      <c r="G130" s="221">
        <f t="shared" si="4"/>
        <v>0</v>
      </c>
    </row>
    <row r="131" spans="2:7">
      <c r="B131" s="201" t="s">
        <v>136</v>
      </c>
      <c r="C131" s="238" t="s">
        <v>320</v>
      </c>
      <c r="D131" s="239"/>
      <c r="E131" s="240"/>
      <c r="F131" s="241"/>
      <c r="G131" s="242"/>
    </row>
    <row r="132" spans="2:7">
      <c r="B132" s="218"/>
      <c r="C132" s="238" t="s">
        <v>326</v>
      </c>
      <c r="D132" s="153"/>
      <c r="E132" s="741"/>
      <c r="F132" s="1611"/>
      <c r="G132" s="263"/>
    </row>
    <row r="133" spans="2:7" ht="24.75" customHeight="1">
      <c r="B133" s="218"/>
      <c r="C133" s="1123" t="s">
        <v>322</v>
      </c>
      <c r="D133" s="239" t="s">
        <v>66</v>
      </c>
      <c r="E133" s="240">
        <v>2</v>
      </c>
      <c r="F133" s="1609">
        <v>0</v>
      </c>
      <c r="G133" s="245">
        <f t="shared" ref="G133:G135" si="5">E133*F133</f>
        <v>0</v>
      </c>
    </row>
    <row r="134" spans="2:7">
      <c r="B134" s="218"/>
      <c r="C134" s="246" t="s">
        <v>325</v>
      </c>
      <c r="D134" s="239" t="s">
        <v>66</v>
      </c>
      <c r="E134" s="240">
        <v>2</v>
      </c>
      <c r="F134" s="1609">
        <v>0</v>
      </c>
      <c r="G134" s="245">
        <f t="shared" si="5"/>
        <v>0</v>
      </c>
    </row>
    <row r="135" spans="2:7">
      <c r="B135" s="218"/>
      <c r="C135" s="247" t="s">
        <v>135</v>
      </c>
      <c r="D135" s="239" t="s">
        <v>66</v>
      </c>
      <c r="E135" s="240">
        <v>2</v>
      </c>
      <c r="F135" s="1609">
        <v>0</v>
      </c>
      <c r="G135" s="245">
        <f t="shared" si="5"/>
        <v>0</v>
      </c>
    </row>
    <row r="136" spans="2:7">
      <c r="B136" s="201" t="s">
        <v>151</v>
      </c>
      <c r="C136" s="223" t="s">
        <v>137</v>
      </c>
      <c r="D136" s="224"/>
      <c r="E136" s="225"/>
      <c r="F136" s="226"/>
      <c r="G136" s="227"/>
    </row>
    <row r="137" spans="2:7">
      <c r="B137" s="218"/>
      <c r="C137" s="223" t="s">
        <v>138</v>
      </c>
      <c r="D137" s="737"/>
      <c r="E137" s="738"/>
      <c r="F137" s="1605"/>
      <c r="G137" s="1125"/>
    </row>
    <row r="138" spans="2:7">
      <c r="B138" s="218"/>
      <c r="C138" s="228" t="s">
        <v>129</v>
      </c>
      <c r="D138" s="224" t="s">
        <v>66</v>
      </c>
      <c r="E138" s="225">
        <v>3</v>
      </c>
      <c r="F138" s="1603">
        <v>0</v>
      </c>
      <c r="G138" s="230">
        <f t="shared" ref="G138:G153" si="6">E138*F138</f>
        <v>0</v>
      </c>
    </row>
    <row r="139" spans="2:7">
      <c r="B139" s="218"/>
      <c r="C139" s="228" t="s">
        <v>139</v>
      </c>
      <c r="D139" s="224" t="s">
        <v>66</v>
      </c>
      <c r="E139" s="225">
        <v>6</v>
      </c>
      <c r="F139" s="1603">
        <v>0</v>
      </c>
      <c r="G139" s="230">
        <f t="shared" si="6"/>
        <v>0</v>
      </c>
    </row>
    <row r="140" spans="2:7">
      <c r="B140" s="218"/>
      <c r="C140" s="231" t="s">
        <v>140</v>
      </c>
      <c r="D140" s="224" t="s">
        <v>66</v>
      </c>
      <c r="E140" s="225">
        <v>3</v>
      </c>
      <c r="F140" s="1603">
        <v>0</v>
      </c>
      <c r="G140" s="230">
        <f t="shared" si="6"/>
        <v>0</v>
      </c>
    </row>
    <row r="141" spans="2:7">
      <c r="B141" s="218"/>
      <c r="C141" s="231" t="s">
        <v>141</v>
      </c>
      <c r="D141" s="224" t="s">
        <v>66</v>
      </c>
      <c r="E141" s="225">
        <v>3</v>
      </c>
      <c r="F141" s="1603">
        <v>0</v>
      </c>
      <c r="G141" s="230">
        <f t="shared" si="6"/>
        <v>0</v>
      </c>
    </row>
    <row r="142" spans="2:7">
      <c r="B142" s="218"/>
      <c r="C142" s="231" t="s">
        <v>142</v>
      </c>
      <c r="D142" s="224" t="s">
        <v>66</v>
      </c>
      <c r="E142" s="225">
        <v>3</v>
      </c>
      <c r="F142" s="1603">
        <v>0</v>
      </c>
      <c r="G142" s="230">
        <f t="shared" si="6"/>
        <v>0</v>
      </c>
    </row>
    <row r="143" spans="2:7">
      <c r="B143" s="218"/>
      <c r="C143" s="231" t="s">
        <v>143</v>
      </c>
      <c r="D143" s="224" t="s">
        <v>66</v>
      </c>
      <c r="E143" s="225">
        <v>3</v>
      </c>
      <c r="F143" s="1603">
        <v>0</v>
      </c>
      <c r="G143" s="230">
        <f t="shared" si="6"/>
        <v>0</v>
      </c>
    </row>
    <row r="144" spans="2:7">
      <c r="B144" s="218"/>
      <c r="C144" s="231" t="s">
        <v>2250</v>
      </c>
      <c r="D144" s="224" t="s">
        <v>66</v>
      </c>
      <c r="E144" s="225">
        <v>3</v>
      </c>
      <c r="F144" s="1603">
        <v>0</v>
      </c>
      <c r="G144" s="230">
        <f t="shared" si="6"/>
        <v>0</v>
      </c>
    </row>
    <row r="145" spans="2:7">
      <c r="B145" s="218"/>
      <c r="C145" s="231" t="s">
        <v>145</v>
      </c>
      <c r="D145" s="224" t="s">
        <v>66</v>
      </c>
      <c r="E145" s="225">
        <v>3</v>
      </c>
      <c r="F145" s="1603">
        <v>0</v>
      </c>
      <c r="G145" s="230">
        <f t="shared" si="6"/>
        <v>0</v>
      </c>
    </row>
    <row r="146" spans="2:7">
      <c r="B146" s="218"/>
      <c r="C146" s="231" t="s">
        <v>146</v>
      </c>
      <c r="D146" s="224" t="s">
        <v>66</v>
      </c>
      <c r="E146" s="225">
        <v>3</v>
      </c>
      <c r="F146" s="1603">
        <v>0</v>
      </c>
      <c r="G146" s="230">
        <f t="shared" si="6"/>
        <v>0</v>
      </c>
    </row>
    <row r="147" spans="2:7">
      <c r="B147" s="218"/>
      <c r="C147" s="739" t="s">
        <v>147</v>
      </c>
      <c r="D147" s="224" t="s">
        <v>66</v>
      </c>
      <c r="E147" s="225">
        <v>3</v>
      </c>
      <c r="F147" s="1603">
        <v>0</v>
      </c>
      <c r="G147" s="230">
        <f t="shared" si="6"/>
        <v>0</v>
      </c>
    </row>
    <row r="148" spans="2:7">
      <c r="B148" s="218"/>
      <c r="C148" s="739" t="s">
        <v>188</v>
      </c>
      <c r="D148" s="224" t="s">
        <v>66</v>
      </c>
      <c r="E148" s="225">
        <v>3</v>
      </c>
      <c r="F148" s="1603">
        <v>0</v>
      </c>
      <c r="G148" s="230">
        <f t="shared" si="6"/>
        <v>0</v>
      </c>
    </row>
    <row r="149" spans="2:7">
      <c r="B149" s="218"/>
      <c r="C149" s="739" t="s">
        <v>132</v>
      </c>
      <c r="D149" s="224" t="s">
        <v>66</v>
      </c>
      <c r="E149" s="225">
        <v>6</v>
      </c>
      <c r="F149" s="1603">
        <v>0</v>
      </c>
      <c r="G149" s="230">
        <f t="shared" si="6"/>
        <v>0</v>
      </c>
    </row>
    <row r="150" spans="2:7">
      <c r="B150" s="218"/>
      <c r="C150" s="739" t="s">
        <v>148</v>
      </c>
      <c r="D150" s="224" t="s">
        <v>66</v>
      </c>
      <c r="E150" s="225">
        <v>6</v>
      </c>
      <c r="F150" s="1603">
        <v>0</v>
      </c>
      <c r="G150" s="230">
        <f t="shared" si="6"/>
        <v>0</v>
      </c>
    </row>
    <row r="151" spans="2:7">
      <c r="B151" s="218"/>
      <c r="C151" s="739" t="s">
        <v>149</v>
      </c>
      <c r="D151" s="224" t="s">
        <v>66</v>
      </c>
      <c r="E151" s="225">
        <v>3</v>
      </c>
      <c r="F151" s="1603">
        <v>0</v>
      </c>
      <c r="G151" s="230">
        <f t="shared" si="6"/>
        <v>0</v>
      </c>
    </row>
    <row r="152" spans="2:7">
      <c r="B152" s="218"/>
      <c r="C152" s="739" t="s">
        <v>150</v>
      </c>
      <c r="D152" s="224" t="s">
        <v>66</v>
      </c>
      <c r="E152" s="225">
        <v>9</v>
      </c>
      <c r="F152" s="1603">
        <v>0</v>
      </c>
      <c r="G152" s="230">
        <f t="shared" si="6"/>
        <v>0</v>
      </c>
    </row>
    <row r="153" spans="2:7">
      <c r="B153" s="218"/>
      <c r="C153" s="740" t="s">
        <v>135</v>
      </c>
      <c r="D153" s="224" t="s">
        <v>66</v>
      </c>
      <c r="E153" s="225">
        <v>3</v>
      </c>
      <c r="F153" s="1603">
        <v>0</v>
      </c>
      <c r="G153" s="230">
        <f t="shared" si="6"/>
        <v>0</v>
      </c>
    </row>
    <row r="154" spans="2:7">
      <c r="B154" s="201" t="s">
        <v>159</v>
      </c>
      <c r="C154" s="212" t="s">
        <v>152</v>
      </c>
      <c r="D154" s="213"/>
      <c r="E154" s="214"/>
      <c r="F154" s="215"/>
      <c r="G154" s="216"/>
    </row>
    <row r="155" spans="2:7">
      <c r="B155" s="218"/>
      <c r="C155" s="212" t="s">
        <v>153</v>
      </c>
      <c r="D155" s="735"/>
      <c r="E155" s="736"/>
      <c r="F155" s="1601"/>
      <c r="G155" s="1121"/>
    </row>
    <row r="156" spans="2:7">
      <c r="B156" s="218"/>
      <c r="C156" s="219" t="s">
        <v>129</v>
      </c>
      <c r="D156" s="213" t="s">
        <v>66</v>
      </c>
      <c r="E156" s="214">
        <v>2</v>
      </c>
      <c r="F156" s="1599">
        <v>0</v>
      </c>
      <c r="G156" s="221">
        <f t="shared" ref="G156:G166" si="7">E156*F156</f>
        <v>0</v>
      </c>
    </row>
    <row r="157" spans="2:7" ht="24">
      <c r="B157" s="218"/>
      <c r="C157" s="222" t="s">
        <v>154</v>
      </c>
      <c r="D157" s="213" t="s">
        <v>66</v>
      </c>
      <c r="E157" s="214">
        <v>2</v>
      </c>
      <c r="F157" s="1599">
        <v>0</v>
      </c>
      <c r="G157" s="221">
        <f t="shared" si="7"/>
        <v>0</v>
      </c>
    </row>
    <row r="158" spans="2:7">
      <c r="B158" s="218"/>
      <c r="C158" s="222" t="s">
        <v>155</v>
      </c>
      <c r="D158" s="213" t="s">
        <v>66</v>
      </c>
      <c r="E158" s="214">
        <v>2</v>
      </c>
      <c r="F158" s="1599">
        <v>0</v>
      </c>
      <c r="G158" s="221">
        <f t="shared" si="7"/>
        <v>0</v>
      </c>
    </row>
    <row r="159" spans="2:7">
      <c r="B159" s="218"/>
      <c r="C159" s="222" t="s">
        <v>330</v>
      </c>
      <c r="D159" s="213" t="s">
        <v>66</v>
      </c>
      <c r="E159" s="214">
        <v>2</v>
      </c>
      <c r="F159" s="1599">
        <v>0</v>
      </c>
      <c r="G159" s="221">
        <f t="shared" si="7"/>
        <v>0</v>
      </c>
    </row>
    <row r="160" spans="2:7">
      <c r="B160" s="218"/>
      <c r="C160" s="222" t="s">
        <v>157</v>
      </c>
      <c r="D160" s="213" t="s">
        <v>66</v>
      </c>
      <c r="E160" s="214">
        <v>2</v>
      </c>
      <c r="F160" s="1599">
        <v>0</v>
      </c>
      <c r="G160" s="221">
        <f t="shared" si="7"/>
        <v>0</v>
      </c>
    </row>
    <row r="161" spans="2:7">
      <c r="B161" s="218"/>
      <c r="C161" s="234" t="s">
        <v>158</v>
      </c>
      <c r="D161" s="213" t="s">
        <v>66</v>
      </c>
      <c r="E161" s="214">
        <v>2</v>
      </c>
      <c r="F161" s="1599">
        <v>0</v>
      </c>
      <c r="G161" s="221">
        <f t="shared" si="7"/>
        <v>0</v>
      </c>
    </row>
    <row r="162" spans="2:7">
      <c r="B162" s="218"/>
      <c r="C162" s="234" t="s">
        <v>190</v>
      </c>
      <c r="D162" s="213" t="s">
        <v>66</v>
      </c>
      <c r="E162" s="214">
        <v>2</v>
      </c>
      <c r="F162" s="1599">
        <v>0</v>
      </c>
      <c r="G162" s="221">
        <f t="shared" si="7"/>
        <v>0</v>
      </c>
    </row>
    <row r="163" spans="2:7">
      <c r="B163" s="218"/>
      <c r="C163" s="234" t="s">
        <v>132</v>
      </c>
      <c r="D163" s="213" t="s">
        <v>66</v>
      </c>
      <c r="E163" s="214">
        <v>4</v>
      </c>
      <c r="F163" s="1599">
        <v>0</v>
      </c>
      <c r="G163" s="221">
        <f t="shared" si="7"/>
        <v>0</v>
      </c>
    </row>
    <row r="164" spans="2:7">
      <c r="B164" s="218"/>
      <c r="C164" s="234" t="s">
        <v>148</v>
      </c>
      <c r="D164" s="213" t="s">
        <v>66</v>
      </c>
      <c r="E164" s="214">
        <v>4</v>
      </c>
      <c r="F164" s="1599">
        <v>0</v>
      </c>
      <c r="G164" s="221">
        <f t="shared" si="7"/>
        <v>0</v>
      </c>
    </row>
    <row r="165" spans="2:7">
      <c r="B165" s="218"/>
      <c r="C165" s="234" t="s">
        <v>150</v>
      </c>
      <c r="D165" s="213" t="s">
        <v>66</v>
      </c>
      <c r="E165" s="214">
        <v>2</v>
      </c>
      <c r="F165" s="1599">
        <v>0</v>
      </c>
      <c r="G165" s="221">
        <f t="shared" si="7"/>
        <v>0</v>
      </c>
    </row>
    <row r="166" spans="2:7">
      <c r="B166" s="218"/>
      <c r="C166" s="235" t="s">
        <v>135</v>
      </c>
      <c r="D166" s="213" t="s">
        <v>66</v>
      </c>
      <c r="E166" s="214">
        <v>2</v>
      </c>
      <c r="F166" s="1599">
        <v>0</v>
      </c>
      <c r="G166" s="221">
        <f t="shared" si="7"/>
        <v>0</v>
      </c>
    </row>
    <row r="167" spans="2:7" ht="24">
      <c r="B167" s="199" t="s">
        <v>331</v>
      </c>
      <c r="C167" s="212" t="s">
        <v>332</v>
      </c>
      <c r="D167" s="735" t="s">
        <v>66</v>
      </c>
      <c r="E167" s="736">
        <v>2</v>
      </c>
      <c r="F167" s="1126">
        <v>0</v>
      </c>
      <c r="G167" s="1121">
        <f>E167*F167</f>
        <v>0</v>
      </c>
    </row>
    <row r="168" spans="2:7">
      <c r="B168" s="201" t="s">
        <v>168</v>
      </c>
      <c r="C168" s="223" t="s">
        <v>886</v>
      </c>
      <c r="D168" s="224"/>
      <c r="E168" s="225"/>
      <c r="F168" s="226"/>
      <c r="G168" s="227"/>
    </row>
    <row r="169" spans="2:7">
      <c r="B169" s="218"/>
      <c r="C169" s="223" t="s">
        <v>887</v>
      </c>
      <c r="D169" s="737"/>
      <c r="E169" s="738"/>
      <c r="F169" s="1605"/>
      <c r="G169" s="1608"/>
    </row>
    <row r="170" spans="2:7" ht="24">
      <c r="B170" s="218"/>
      <c r="C170" s="228" t="s">
        <v>2253</v>
      </c>
      <c r="D170" s="224" t="s">
        <v>66</v>
      </c>
      <c r="E170" s="225">
        <v>2</v>
      </c>
      <c r="F170" s="1768">
        <v>0</v>
      </c>
      <c r="G170" s="1714">
        <f t="shared" ref="G170:G194" si="8">E170*F170</f>
        <v>0</v>
      </c>
    </row>
    <row r="171" spans="2:7">
      <c r="B171" s="218"/>
      <c r="C171" s="232" t="s">
        <v>184</v>
      </c>
      <c r="D171" s="224" t="s">
        <v>66</v>
      </c>
      <c r="E171" s="225">
        <v>4</v>
      </c>
      <c r="F171" s="1768">
        <v>0</v>
      </c>
      <c r="G171" s="1714">
        <f t="shared" si="8"/>
        <v>0</v>
      </c>
    </row>
    <row r="172" spans="2:7">
      <c r="B172" s="218"/>
      <c r="C172" s="232" t="s">
        <v>150</v>
      </c>
      <c r="D172" s="224" t="s">
        <v>66</v>
      </c>
      <c r="E172" s="225">
        <v>2</v>
      </c>
      <c r="F172" s="1768">
        <v>0</v>
      </c>
      <c r="G172" s="1714">
        <f t="shared" si="8"/>
        <v>0</v>
      </c>
    </row>
    <row r="173" spans="2:7">
      <c r="B173" s="218"/>
      <c r="C173" s="233" t="s">
        <v>135</v>
      </c>
      <c r="D173" s="224" t="s">
        <v>66</v>
      </c>
      <c r="E173" s="225">
        <v>2</v>
      </c>
      <c r="F173" s="1768">
        <v>0</v>
      </c>
      <c r="G173" s="1714">
        <f t="shared" si="8"/>
        <v>0</v>
      </c>
    </row>
    <row r="174" spans="2:7">
      <c r="B174" s="218"/>
      <c r="C174" s="223" t="s">
        <v>220</v>
      </c>
      <c r="D174" s="737"/>
      <c r="E174" s="738"/>
      <c r="F174" s="1768"/>
      <c r="G174" s="1714"/>
    </row>
    <row r="175" spans="2:7" ht="24">
      <c r="B175" s="218"/>
      <c r="C175" s="228" t="s">
        <v>2249</v>
      </c>
      <c r="D175" s="224" t="s">
        <v>66</v>
      </c>
      <c r="E175" s="225">
        <v>2</v>
      </c>
      <c r="F175" s="1768">
        <v>0</v>
      </c>
      <c r="G175" s="1714">
        <f t="shared" si="8"/>
        <v>0</v>
      </c>
    </row>
    <row r="176" spans="2:7">
      <c r="B176" s="218"/>
      <c r="C176" s="739" t="s">
        <v>184</v>
      </c>
      <c r="D176" s="224" t="s">
        <v>66</v>
      </c>
      <c r="E176" s="225">
        <v>4</v>
      </c>
      <c r="F176" s="1768">
        <v>0</v>
      </c>
      <c r="G176" s="1714">
        <f t="shared" si="8"/>
        <v>0</v>
      </c>
    </row>
    <row r="177" spans="2:7">
      <c r="B177" s="218"/>
      <c r="C177" s="739" t="s">
        <v>132</v>
      </c>
      <c r="D177" s="224" t="s">
        <v>66</v>
      </c>
      <c r="E177" s="225">
        <v>2</v>
      </c>
      <c r="F177" s="1768">
        <v>0</v>
      </c>
      <c r="G177" s="1714">
        <f t="shared" si="8"/>
        <v>0</v>
      </c>
    </row>
    <row r="178" spans="2:7">
      <c r="B178" s="218"/>
      <c r="C178" s="739" t="s">
        <v>150</v>
      </c>
      <c r="D178" s="224" t="s">
        <v>66</v>
      </c>
      <c r="E178" s="225">
        <v>2</v>
      </c>
      <c r="F178" s="1768">
        <v>0</v>
      </c>
      <c r="G178" s="1714">
        <f t="shared" si="8"/>
        <v>0</v>
      </c>
    </row>
    <row r="179" spans="2:7">
      <c r="B179" s="218"/>
      <c r="C179" s="740" t="s">
        <v>135</v>
      </c>
      <c r="D179" s="224" t="s">
        <v>66</v>
      </c>
      <c r="E179" s="225">
        <v>2</v>
      </c>
      <c r="F179" s="1768">
        <v>0</v>
      </c>
      <c r="G179" s="1714">
        <f t="shared" si="8"/>
        <v>0</v>
      </c>
    </row>
    <row r="180" spans="2:7">
      <c r="B180" s="218"/>
      <c r="C180" s="223" t="s">
        <v>888</v>
      </c>
      <c r="D180" s="737"/>
      <c r="E180" s="738"/>
      <c r="F180" s="1768"/>
      <c r="G180" s="1714"/>
    </row>
    <row r="181" spans="2:7" ht="24">
      <c r="B181" s="218"/>
      <c r="C181" s="228" t="s">
        <v>2251</v>
      </c>
      <c r="D181" s="224" t="s">
        <v>66</v>
      </c>
      <c r="E181" s="225">
        <v>1</v>
      </c>
      <c r="F181" s="1768">
        <v>0</v>
      </c>
      <c r="G181" s="1714">
        <f t="shared" si="8"/>
        <v>0</v>
      </c>
    </row>
    <row r="182" spans="2:7">
      <c r="B182" s="218"/>
      <c r="C182" s="232" t="s">
        <v>184</v>
      </c>
      <c r="D182" s="224" t="s">
        <v>66</v>
      </c>
      <c r="E182" s="225">
        <v>2</v>
      </c>
      <c r="F182" s="1768">
        <v>0</v>
      </c>
      <c r="G182" s="1714">
        <f t="shared" si="8"/>
        <v>0</v>
      </c>
    </row>
    <row r="183" spans="2:7">
      <c r="B183" s="218"/>
      <c r="C183" s="232" t="s">
        <v>166</v>
      </c>
      <c r="D183" s="224" t="s">
        <v>66</v>
      </c>
      <c r="E183" s="225">
        <v>1</v>
      </c>
      <c r="F183" s="1768">
        <v>0</v>
      </c>
      <c r="G183" s="1714">
        <f t="shared" si="8"/>
        <v>0</v>
      </c>
    </row>
    <row r="184" spans="2:7">
      <c r="B184" s="218"/>
      <c r="C184" s="232" t="s">
        <v>167</v>
      </c>
      <c r="D184" s="224" t="s">
        <v>66</v>
      </c>
      <c r="E184" s="225">
        <v>1</v>
      </c>
      <c r="F184" s="1768">
        <v>0</v>
      </c>
      <c r="G184" s="1714">
        <f t="shared" si="8"/>
        <v>0</v>
      </c>
    </row>
    <row r="185" spans="2:7">
      <c r="B185" s="218"/>
      <c r="C185" s="232" t="s">
        <v>229</v>
      </c>
      <c r="D185" s="224" t="s">
        <v>66</v>
      </c>
      <c r="E185" s="225">
        <v>1</v>
      </c>
      <c r="F185" s="1768">
        <v>0</v>
      </c>
      <c r="G185" s="1714">
        <f t="shared" si="8"/>
        <v>0</v>
      </c>
    </row>
    <row r="186" spans="2:7">
      <c r="B186" s="218"/>
      <c r="C186" s="232" t="s">
        <v>230</v>
      </c>
      <c r="D186" s="224" t="s">
        <v>66</v>
      </c>
      <c r="E186" s="225">
        <v>1</v>
      </c>
      <c r="F186" s="1768">
        <v>0</v>
      </c>
      <c r="G186" s="1714">
        <f t="shared" si="8"/>
        <v>0</v>
      </c>
    </row>
    <row r="187" spans="2:7">
      <c r="B187" s="218"/>
      <c r="C187" s="232" t="s">
        <v>150</v>
      </c>
      <c r="D187" s="224" t="s">
        <v>66</v>
      </c>
      <c r="E187" s="225">
        <v>1</v>
      </c>
      <c r="F187" s="1768">
        <v>0</v>
      </c>
      <c r="G187" s="1714">
        <f t="shared" si="8"/>
        <v>0</v>
      </c>
    </row>
    <row r="188" spans="2:7">
      <c r="B188" s="218"/>
      <c r="C188" s="233" t="s">
        <v>135</v>
      </c>
      <c r="D188" s="224" t="s">
        <v>66</v>
      </c>
      <c r="E188" s="225">
        <v>1</v>
      </c>
      <c r="F188" s="1768">
        <v>0</v>
      </c>
      <c r="G188" s="1714">
        <f t="shared" si="8"/>
        <v>0</v>
      </c>
    </row>
    <row r="189" spans="2:7">
      <c r="B189" s="218"/>
      <c r="C189" s="223" t="s">
        <v>196</v>
      </c>
      <c r="D189" s="737"/>
      <c r="E189" s="738"/>
      <c r="F189" s="1768"/>
      <c r="G189" s="1714"/>
    </row>
    <row r="190" spans="2:7" ht="24">
      <c r="B190" s="218"/>
      <c r="C190" s="228" t="s">
        <v>2248</v>
      </c>
      <c r="D190" s="224" t="s">
        <v>66</v>
      </c>
      <c r="E190" s="225">
        <v>4</v>
      </c>
      <c r="F190" s="1768">
        <v>0</v>
      </c>
      <c r="G190" s="1714">
        <f t="shared" si="8"/>
        <v>0</v>
      </c>
    </row>
    <row r="191" spans="2:7">
      <c r="B191" s="218"/>
      <c r="C191" s="232" t="s">
        <v>132</v>
      </c>
      <c r="D191" s="224" t="s">
        <v>66</v>
      </c>
      <c r="E191" s="225">
        <v>12</v>
      </c>
      <c r="F191" s="1768">
        <v>0</v>
      </c>
      <c r="G191" s="1714">
        <f t="shared" si="8"/>
        <v>0</v>
      </c>
    </row>
    <row r="192" spans="2:7">
      <c r="B192" s="218"/>
      <c r="C192" s="232" t="s">
        <v>148</v>
      </c>
      <c r="D192" s="224" t="s">
        <v>66</v>
      </c>
      <c r="E192" s="225">
        <v>12</v>
      </c>
      <c r="F192" s="1768">
        <v>0</v>
      </c>
      <c r="G192" s="1714">
        <f t="shared" si="8"/>
        <v>0</v>
      </c>
    </row>
    <row r="193" spans="2:8">
      <c r="B193" s="218"/>
      <c r="C193" s="232" t="s">
        <v>150</v>
      </c>
      <c r="D193" s="224" t="s">
        <v>66</v>
      </c>
      <c r="E193" s="225">
        <v>4</v>
      </c>
      <c r="F193" s="1768">
        <v>0</v>
      </c>
      <c r="G193" s="1714">
        <f t="shared" si="8"/>
        <v>0</v>
      </c>
    </row>
    <row r="194" spans="2:8">
      <c r="B194" s="218"/>
      <c r="C194" s="233" t="s">
        <v>135</v>
      </c>
      <c r="D194" s="224" t="s">
        <v>66</v>
      </c>
      <c r="E194" s="225">
        <v>4</v>
      </c>
      <c r="F194" s="1768">
        <v>0</v>
      </c>
      <c r="G194" s="1714">
        <f t="shared" si="8"/>
        <v>0</v>
      </c>
    </row>
    <row r="195" spans="2:8">
      <c r="B195" s="218"/>
      <c r="C195" s="223" t="s">
        <v>1432</v>
      </c>
      <c r="D195" s="737"/>
      <c r="E195" s="738"/>
      <c r="F195" s="1605"/>
      <c r="G195" s="1645"/>
    </row>
    <row r="196" spans="2:8" s="217" customFormat="1">
      <c r="B196" s="218"/>
      <c r="C196" s="1655" t="s">
        <v>148</v>
      </c>
      <c r="D196" s="1232" t="s">
        <v>66</v>
      </c>
      <c r="E196" s="225">
        <v>1</v>
      </c>
      <c r="F196" s="1768">
        <v>0</v>
      </c>
      <c r="G196" s="1714">
        <f t="shared" ref="G196:G198" si="9">E196*F196</f>
        <v>0</v>
      </c>
      <c r="H196" s="1703"/>
    </row>
    <row r="197" spans="2:8" s="217" customFormat="1">
      <c r="B197" s="218"/>
      <c r="C197" s="1655" t="s">
        <v>2256</v>
      </c>
      <c r="D197" s="1232" t="s">
        <v>66</v>
      </c>
      <c r="E197" s="225">
        <v>1</v>
      </c>
      <c r="F197" s="1768">
        <v>0</v>
      </c>
      <c r="G197" s="1714">
        <f t="shared" si="9"/>
        <v>0</v>
      </c>
      <c r="H197" s="1703"/>
    </row>
    <row r="198" spans="2:8" s="217" customFormat="1">
      <c r="B198" s="218"/>
      <c r="C198" s="1655" t="s">
        <v>230</v>
      </c>
      <c r="D198" s="1232" t="s">
        <v>66</v>
      </c>
      <c r="E198" s="225">
        <v>1</v>
      </c>
      <c r="F198" s="1768">
        <v>0</v>
      </c>
      <c r="G198" s="1714">
        <f t="shared" si="9"/>
        <v>0</v>
      </c>
      <c r="H198" s="1703"/>
    </row>
    <row r="199" spans="2:8">
      <c r="B199" s="218"/>
      <c r="C199" s="223" t="s">
        <v>1395</v>
      </c>
      <c r="D199" s="2240"/>
      <c r="E199" s="738"/>
      <c r="F199" s="1605"/>
      <c r="G199" s="1646"/>
    </row>
    <row r="200" spans="2:8" s="217" customFormat="1">
      <c r="B200" s="218"/>
      <c r="C200" s="1655" t="s">
        <v>230</v>
      </c>
      <c r="D200" s="1232" t="s">
        <v>66</v>
      </c>
      <c r="E200" s="225">
        <v>1</v>
      </c>
      <c r="F200" s="1768">
        <v>0</v>
      </c>
      <c r="G200" s="1714">
        <f t="shared" ref="G200:G202" si="10">E200*F200</f>
        <v>0</v>
      </c>
      <c r="H200" s="1703"/>
    </row>
    <row r="201" spans="2:8" s="217" customFormat="1">
      <c r="B201" s="218"/>
      <c r="C201" s="1655" t="s">
        <v>2255</v>
      </c>
      <c r="D201" s="1232" t="s">
        <v>66</v>
      </c>
      <c r="E201" s="225">
        <v>1</v>
      </c>
      <c r="F201" s="1768">
        <v>0</v>
      </c>
      <c r="G201" s="1714">
        <f t="shared" si="10"/>
        <v>0</v>
      </c>
      <c r="H201" s="1703"/>
    </row>
    <row r="202" spans="2:8" s="217" customFormat="1">
      <c r="B202" s="218"/>
      <c r="C202" s="1655" t="s">
        <v>1444</v>
      </c>
      <c r="D202" s="1232" t="s">
        <v>66</v>
      </c>
      <c r="E202" s="225">
        <v>1</v>
      </c>
      <c r="F202" s="1768">
        <v>0</v>
      </c>
      <c r="G202" s="1714">
        <f t="shared" si="10"/>
        <v>0</v>
      </c>
      <c r="H202" s="1703"/>
    </row>
    <row r="203" spans="2:8">
      <c r="B203" s="201" t="s">
        <v>172</v>
      </c>
      <c r="C203" s="238" t="s">
        <v>169</v>
      </c>
      <c r="D203" s="239"/>
      <c r="E203" s="240"/>
      <c r="F203" s="241"/>
      <c r="G203" s="242"/>
    </row>
    <row r="204" spans="2:8">
      <c r="B204" s="218"/>
      <c r="C204" s="238" t="s">
        <v>198</v>
      </c>
      <c r="D204" s="153"/>
      <c r="E204" s="741"/>
      <c r="F204" s="1611"/>
      <c r="G204" s="263"/>
    </row>
    <row r="205" spans="2:8" ht="36">
      <c r="B205" s="218"/>
      <c r="C205" s="243" t="s">
        <v>2239</v>
      </c>
      <c r="D205" s="239" t="s">
        <v>66</v>
      </c>
      <c r="E205" s="240">
        <v>7</v>
      </c>
      <c r="F205" s="1609">
        <v>0</v>
      </c>
      <c r="G205" s="245">
        <f t="shared" ref="G205:G218" si="11">E205*F205</f>
        <v>0</v>
      </c>
    </row>
    <row r="206" spans="2:8">
      <c r="B206" s="218"/>
      <c r="C206" s="246" t="s">
        <v>171</v>
      </c>
      <c r="D206" s="239" t="s">
        <v>66</v>
      </c>
      <c r="E206" s="240">
        <v>7</v>
      </c>
      <c r="F206" s="1609">
        <v>0</v>
      </c>
      <c r="G206" s="245">
        <f t="shared" si="11"/>
        <v>0</v>
      </c>
    </row>
    <row r="207" spans="2:8">
      <c r="B207" s="218"/>
      <c r="C207" s="247" t="s">
        <v>135</v>
      </c>
      <c r="D207" s="239" t="s">
        <v>66</v>
      </c>
      <c r="E207" s="240">
        <v>7</v>
      </c>
      <c r="F207" s="1609">
        <v>0</v>
      </c>
      <c r="G207" s="245">
        <f t="shared" si="11"/>
        <v>0</v>
      </c>
    </row>
    <row r="208" spans="2:8">
      <c r="B208" s="218"/>
      <c r="C208" s="247" t="s">
        <v>891</v>
      </c>
      <c r="D208" s="239" t="s">
        <v>66</v>
      </c>
      <c r="E208" s="240">
        <v>7</v>
      </c>
      <c r="F208" s="1609">
        <v>0</v>
      </c>
      <c r="G208" s="245">
        <f t="shared" si="11"/>
        <v>0</v>
      </c>
    </row>
    <row r="209" spans="2:7">
      <c r="B209" s="218"/>
      <c r="C209" s="238" t="s">
        <v>170</v>
      </c>
      <c r="D209" s="153"/>
      <c r="E209" s="741"/>
      <c r="F209" s="1609"/>
      <c r="G209" s="245"/>
    </row>
    <row r="210" spans="2:7" ht="36">
      <c r="B210" s="218"/>
      <c r="C210" s="243" t="s">
        <v>2246</v>
      </c>
      <c r="D210" s="239" t="s">
        <v>66</v>
      </c>
      <c r="E210" s="240">
        <v>67</v>
      </c>
      <c r="F210" s="1609">
        <v>0</v>
      </c>
      <c r="G210" s="245">
        <f t="shared" si="11"/>
        <v>0</v>
      </c>
    </row>
    <row r="211" spans="2:7">
      <c r="B211" s="218"/>
      <c r="C211" s="1129" t="s">
        <v>171</v>
      </c>
      <c r="D211" s="239" t="s">
        <v>66</v>
      </c>
      <c r="E211" s="240">
        <v>67</v>
      </c>
      <c r="F211" s="1609">
        <v>0</v>
      </c>
      <c r="G211" s="245">
        <f t="shared" si="11"/>
        <v>0</v>
      </c>
    </row>
    <row r="212" spans="2:7">
      <c r="B212" s="218"/>
      <c r="C212" s="1130" t="s">
        <v>135</v>
      </c>
      <c r="D212" s="239" t="s">
        <v>66</v>
      </c>
      <c r="E212" s="240">
        <v>67</v>
      </c>
      <c r="F212" s="1609">
        <v>0</v>
      </c>
      <c r="G212" s="245">
        <f t="shared" si="11"/>
        <v>0</v>
      </c>
    </row>
    <row r="213" spans="2:7">
      <c r="B213" s="218"/>
      <c r="C213" s="247" t="s">
        <v>891</v>
      </c>
      <c r="D213" s="239" t="s">
        <v>66</v>
      </c>
      <c r="E213" s="240">
        <v>67</v>
      </c>
      <c r="F213" s="1609">
        <v>0</v>
      </c>
      <c r="G213" s="245">
        <f t="shared" si="11"/>
        <v>0</v>
      </c>
    </row>
    <row r="214" spans="2:7">
      <c r="B214" s="218"/>
      <c r="C214" s="238" t="s">
        <v>234</v>
      </c>
      <c r="D214" s="153"/>
      <c r="E214" s="741"/>
      <c r="F214" s="1609"/>
      <c r="G214" s="245"/>
    </row>
    <row r="215" spans="2:7" ht="36">
      <c r="B215" s="218"/>
      <c r="C215" s="243" t="s">
        <v>2245</v>
      </c>
      <c r="D215" s="239" t="s">
        <v>66</v>
      </c>
      <c r="E215" s="240">
        <v>12</v>
      </c>
      <c r="F215" s="1609">
        <v>0</v>
      </c>
      <c r="G215" s="245">
        <f t="shared" si="11"/>
        <v>0</v>
      </c>
    </row>
    <row r="216" spans="2:7">
      <c r="B216" s="218"/>
      <c r="C216" s="246" t="s">
        <v>171</v>
      </c>
      <c r="D216" s="239" t="s">
        <v>66</v>
      </c>
      <c r="E216" s="240">
        <v>12</v>
      </c>
      <c r="F216" s="1609">
        <v>0</v>
      </c>
      <c r="G216" s="245">
        <f t="shared" si="11"/>
        <v>0</v>
      </c>
    </row>
    <row r="217" spans="2:7">
      <c r="B217" s="218"/>
      <c r="C217" s="247" t="s">
        <v>135</v>
      </c>
      <c r="D217" s="239" t="s">
        <v>66</v>
      </c>
      <c r="E217" s="240">
        <v>12</v>
      </c>
      <c r="F217" s="1609">
        <v>0</v>
      </c>
      <c r="G217" s="245">
        <f t="shared" si="11"/>
        <v>0</v>
      </c>
    </row>
    <row r="218" spans="2:7">
      <c r="B218" s="218"/>
      <c r="C218" s="247" t="s">
        <v>891</v>
      </c>
      <c r="D218" s="239" t="s">
        <v>66</v>
      </c>
      <c r="E218" s="240">
        <v>12</v>
      </c>
      <c r="F218" s="1609">
        <v>0</v>
      </c>
      <c r="G218" s="245">
        <f t="shared" si="11"/>
        <v>0</v>
      </c>
    </row>
    <row r="219" spans="2:7">
      <c r="B219" s="201" t="s">
        <v>340</v>
      </c>
      <c r="C219" s="742" t="s">
        <v>173</v>
      </c>
      <c r="D219" s="743"/>
      <c r="E219" s="744"/>
      <c r="F219" s="1131"/>
      <c r="G219" s="1132"/>
    </row>
    <row r="220" spans="2:7" ht="60">
      <c r="B220" s="218"/>
      <c r="C220" s="745" t="s">
        <v>174</v>
      </c>
      <c r="D220" s="746" t="s">
        <v>66</v>
      </c>
      <c r="E220" s="747">
        <v>1</v>
      </c>
      <c r="F220" s="1617">
        <v>0</v>
      </c>
      <c r="G220" s="1132">
        <f>E220*F220</f>
        <v>0</v>
      </c>
    </row>
    <row r="221" spans="2:7">
      <c r="B221" s="258" t="s">
        <v>47</v>
      </c>
      <c r="C221" s="259" t="s">
        <v>1396</v>
      </c>
      <c r="D221" s="260"/>
      <c r="E221" s="261"/>
      <c r="F221" s="262"/>
      <c r="G221" s="263">
        <f>SUM(G77:G220)</f>
        <v>0</v>
      </c>
    </row>
  </sheetData>
  <mergeCells count="5">
    <mergeCell ref="B45:G45"/>
    <mergeCell ref="B72:G72"/>
    <mergeCell ref="B73:G73"/>
    <mergeCell ref="B74:G74"/>
    <mergeCell ref="B85:B88"/>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FFCA-CA0B-4F56-A1EE-0B202A144967}">
  <sheetPr>
    <tabColor rgb="FF00B0F0"/>
  </sheetPr>
  <dimension ref="A2:N198"/>
  <sheetViews>
    <sheetView showZeros="0" topLeftCell="A25" zoomScale="110" zoomScaleNormal="110" zoomScaleSheetLayoutView="110" workbookViewId="0">
      <selection activeCell="B28" sqref="B28:B36"/>
    </sheetView>
  </sheetViews>
  <sheetFormatPr defaultColWidth="10.42578125" defaultRowHeight="12.75"/>
  <cols>
    <col min="1" max="1" width="4.42578125" style="1" customWidth="1"/>
    <col min="2" max="2" width="9.5703125" style="67" customWidth="1"/>
    <col min="3" max="3" width="41.710937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42" width="10.42578125" style="1"/>
    <col min="243" max="243" width="7.42578125" style="1" customWidth="1"/>
    <col min="244" max="244" width="37.42578125" style="1" customWidth="1"/>
    <col min="245" max="245" width="10.42578125" style="1"/>
    <col min="246" max="246" width="9.28515625" style="1" customWidth="1"/>
    <col min="247" max="248" width="12.140625" style="1" customWidth="1"/>
    <col min="249" max="249" width="16" style="1" customWidth="1"/>
    <col min="250" max="250" width="26.28515625" style="1" customWidth="1"/>
    <col min="251" max="498" width="10.42578125" style="1"/>
    <col min="499" max="499" width="7.42578125" style="1" customWidth="1"/>
    <col min="500" max="500" width="37.42578125" style="1" customWidth="1"/>
    <col min="501" max="501" width="10.42578125" style="1"/>
    <col min="502" max="502" width="9.28515625" style="1" customWidth="1"/>
    <col min="503" max="504" width="12.140625" style="1" customWidth="1"/>
    <col min="505" max="505" width="16" style="1" customWidth="1"/>
    <col min="506" max="506" width="26.28515625" style="1" customWidth="1"/>
    <col min="507" max="754" width="10.42578125" style="1"/>
    <col min="755" max="755" width="7.42578125" style="1" customWidth="1"/>
    <col min="756" max="756" width="37.42578125" style="1" customWidth="1"/>
    <col min="757" max="757" width="10.42578125" style="1"/>
    <col min="758" max="758" width="9.28515625" style="1" customWidth="1"/>
    <col min="759" max="760" width="12.140625" style="1" customWidth="1"/>
    <col min="761" max="761" width="16" style="1" customWidth="1"/>
    <col min="762" max="762" width="26.28515625" style="1" customWidth="1"/>
    <col min="763" max="1010" width="10.42578125" style="1"/>
    <col min="1011" max="1011" width="7.42578125" style="1" customWidth="1"/>
    <col min="1012" max="1012" width="37.42578125" style="1" customWidth="1"/>
    <col min="1013" max="1013" width="10.42578125" style="1"/>
    <col min="1014" max="1014" width="9.28515625" style="1" customWidth="1"/>
    <col min="1015" max="1016" width="12.140625" style="1" customWidth="1"/>
    <col min="1017" max="1017" width="16" style="1" customWidth="1"/>
    <col min="1018" max="1018" width="26.28515625" style="1" customWidth="1"/>
    <col min="1019" max="1266" width="10.42578125" style="1"/>
    <col min="1267" max="1267" width="7.42578125" style="1" customWidth="1"/>
    <col min="1268" max="1268" width="37.42578125" style="1" customWidth="1"/>
    <col min="1269" max="1269" width="10.42578125" style="1"/>
    <col min="1270" max="1270" width="9.28515625" style="1" customWidth="1"/>
    <col min="1271" max="1272" width="12.140625" style="1" customWidth="1"/>
    <col min="1273" max="1273" width="16" style="1" customWidth="1"/>
    <col min="1274" max="1274" width="26.28515625" style="1" customWidth="1"/>
    <col min="1275" max="1522" width="10.42578125" style="1"/>
    <col min="1523" max="1523" width="7.42578125" style="1" customWidth="1"/>
    <col min="1524" max="1524" width="37.42578125" style="1" customWidth="1"/>
    <col min="1525" max="1525" width="10.42578125" style="1"/>
    <col min="1526" max="1526" width="9.28515625" style="1" customWidth="1"/>
    <col min="1527" max="1528" width="12.140625" style="1" customWidth="1"/>
    <col min="1529" max="1529" width="16" style="1" customWidth="1"/>
    <col min="1530" max="1530" width="26.28515625" style="1" customWidth="1"/>
    <col min="1531" max="1778" width="10.42578125" style="1"/>
    <col min="1779" max="1779" width="7.42578125" style="1" customWidth="1"/>
    <col min="1780" max="1780" width="37.42578125" style="1" customWidth="1"/>
    <col min="1781" max="1781" width="10.42578125" style="1"/>
    <col min="1782" max="1782" width="9.28515625" style="1" customWidth="1"/>
    <col min="1783" max="1784" width="12.140625" style="1" customWidth="1"/>
    <col min="1785" max="1785" width="16" style="1" customWidth="1"/>
    <col min="1786" max="1786" width="26.28515625" style="1" customWidth="1"/>
    <col min="1787" max="2034" width="10.42578125" style="1"/>
    <col min="2035" max="2035" width="7.42578125" style="1" customWidth="1"/>
    <col min="2036" max="2036" width="37.42578125" style="1" customWidth="1"/>
    <col min="2037" max="2037" width="10.42578125" style="1"/>
    <col min="2038" max="2038" width="9.28515625" style="1" customWidth="1"/>
    <col min="2039" max="2040" width="12.140625" style="1" customWidth="1"/>
    <col min="2041" max="2041" width="16" style="1" customWidth="1"/>
    <col min="2042" max="2042" width="26.28515625" style="1" customWidth="1"/>
    <col min="2043" max="2290" width="10.42578125" style="1"/>
    <col min="2291" max="2291" width="7.42578125" style="1" customWidth="1"/>
    <col min="2292" max="2292" width="37.42578125" style="1" customWidth="1"/>
    <col min="2293" max="2293" width="10.42578125" style="1"/>
    <col min="2294" max="2294" width="9.28515625" style="1" customWidth="1"/>
    <col min="2295" max="2296" width="12.140625" style="1" customWidth="1"/>
    <col min="2297" max="2297" width="16" style="1" customWidth="1"/>
    <col min="2298" max="2298" width="26.28515625" style="1" customWidth="1"/>
    <col min="2299" max="2546" width="10.42578125" style="1"/>
    <col min="2547" max="2547" width="7.42578125" style="1" customWidth="1"/>
    <col min="2548" max="2548" width="37.42578125" style="1" customWidth="1"/>
    <col min="2549" max="2549" width="10.42578125" style="1"/>
    <col min="2550" max="2550" width="9.28515625" style="1" customWidth="1"/>
    <col min="2551" max="2552" width="12.140625" style="1" customWidth="1"/>
    <col min="2553" max="2553" width="16" style="1" customWidth="1"/>
    <col min="2554" max="2554" width="26.28515625" style="1" customWidth="1"/>
    <col min="2555" max="2802" width="10.42578125" style="1"/>
    <col min="2803" max="2803" width="7.42578125" style="1" customWidth="1"/>
    <col min="2804" max="2804" width="37.42578125" style="1" customWidth="1"/>
    <col min="2805" max="2805" width="10.42578125" style="1"/>
    <col min="2806" max="2806" width="9.28515625" style="1" customWidth="1"/>
    <col min="2807" max="2808" width="12.140625" style="1" customWidth="1"/>
    <col min="2809" max="2809" width="16" style="1" customWidth="1"/>
    <col min="2810" max="2810" width="26.28515625" style="1" customWidth="1"/>
    <col min="2811" max="3058" width="10.42578125" style="1"/>
    <col min="3059" max="3059" width="7.42578125" style="1" customWidth="1"/>
    <col min="3060" max="3060" width="37.42578125" style="1" customWidth="1"/>
    <col min="3061" max="3061" width="10.42578125" style="1"/>
    <col min="3062" max="3062" width="9.28515625" style="1" customWidth="1"/>
    <col min="3063" max="3064" width="12.140625" style="1" customWidth="1"/>
    <col min="3065" max="3065" width="16" style="1" customWidth="1"/>
    <col min="3066" max="3066" width="26.28515625" style="1" customWidth="1"/>
    <col min="3067" max="3314" width="10.42578125" style="1"/>
    <col min="3315" max="3315" width="7.42578125" style="1" customWidth="1"/>
    <col min="3316" max="3316" width="37.42578125" style="1" customWidth="1"/>
    <col min="3317" max="3317" width="10.42578125" style="1"/>
    <col min="3318" max="3318" width="9.28515625" style="1" customWidth="1"/>
    <col min="3319" max="3320" width="12.140625" style="1" customWidth="1"/>
    <col min="3321" max="3321" width="16" style="1" customWidth="1"/>
    <col min="3322" max="3322" width="26.28515625" style="1" customWidth="1"/>
    <col min="3323" max="3570" width="10.42578125" style="1"/>
    <col min="3571" max="3571" width="7.42578125" style="1" customWidth="1"/>
    <col min="3572" max="3572" width="37.42578125" style="1" customWidth="1"/>
    <col min="3573" max="3573" width="10.42578125" style="1"/>
    <col min="3574" max="3574" width="9.28515625" style="1" customWidth="1"/>
    <col min="3575" max="3576" width="12.140625" style="1" customWidth="1"/>
    <col min="3577" max="3577" width="16" style="1" customWidth="1"/>
    <col min="3578" max="3578" width="26.28515625" style="1" customWidth="1"/>
    <col min="3579" max="3826" width="10.42578125" style="1"/>
    <col min="3827" max="3827" width="7.42578125" style="1" customWidth="1"/>
    <col min="3828" max="3828" width="37.42578125" style="1" customWidth="1"/>
    <col min="3829" max="3829" width="10.42578125" style="1"/>
    <col min="3830" max="3830" width="9.28515625" style="1" customWidth="1"/>
    <col min="3831" max="3832" width="12.140625" style="1" customWidth="1"/>
    <col min="3833" max="3833" width="16" style="1" customWidth="1"/>
    <col min="3834" max="3834" width="26.28515625" style="1" customWidth="1"/>
    <col min="3835" max="4082" width="10.42578125" style="1"/>
    <col min="4083" max="4083" width="7.42578125" style="1" customWidth="1"/>
    <col min="4084" max="4084" width="37.42578125" style="1" customWidth="1"/>
    <col min="4085" max="4085" width="10.42578125" style="1"/>
    <col min="4086" max="4086" width="9.28515625" style="1" customWidth="1"/>
    <col min="4087" max="4088" width="12.140625" style="1" customWidth="1"/>
    <col min="4089" max="4089" width="16" style="1" customWidth="1"/>
    <col min="4090" max="4090" width="26.28515625" style="1" customWidth="1"/>
    <col min="4091" max="4338" width="10.42578125" style="1"/>
    <col min="4339" max="4339" width="7.42578125" style="1" customWidth="1"/>
    <col min="4340" max="4340" width="37.42578125" style="1" customWidth="1"/>
    <col min="4341" max="4341" width="10.42578125" style="1"/>
    <col min="4342" max="4342" width="9.28515625" style="1" customWidth="1"/>
    <col min="4343" max="4344" width="12.140625" style="1" customWidth="1"/>
    <col min="4345" max="4345" width="16" style="1" customWidth="1"/>
    <col min="4346" max="4346" width="26.28515625" style="1" customWidth="1"/>
    <col min="4347" max="4594" width="10.42578125" style="1"/>
    <col min="4595" max="4595" width="7.42578125" style="1" customWidth="1"/>
    <col min="4596" max="4596" width="37.42578125" style="1" customWidth="1"/>
    <col min="4597" max="4597" width="10.42578125" style="1"/>
    <col min="4598" max="4598" width="9.28515625" style="1" customWidth="1"/>
    <col min="4599" max="4600" width="12.140625" style="1" customWidth="1"/>
    <col min="4601" max="4601" width="16" style="1" customWidth="1"/>
    <col min="4602" max="4602" width="26.28515625" style="1" customWidth="1"/>
    <col min="4603" max="4850" width="10.42578125" style="1"/>
    <col min="4851" max="4851" width="7.42578125" style="1" customWidth="1"/>
    <col min="4852" max="4852" width="37.42578125" style="1" customWidth="1"/>
    <col min="4853" max="4853" width="10.42578125" style="1"/>
    <col min="4854" max="4854" width="9.28515625" style="1" customWidth="1"/>
    <col min="4855" max="4856" width="12.140625" style="1" customWidth="1"/>
    <col min="4857" max="4857" width="16" style="1" customWidth="1"/>
    <col min="4858" max="4858" width="26.28515625" style="1" customWidth="1"/>
    <col min="4859" max="5106" width="10.42578125" style="1"/>
    <col min="5107" max="5107" width="7.42578125" style="1" customWidth="1"/>
    <col min="5108" max="5108" width="37.42578125" style="1" customWidth="1"/>
    <col min="5109" max="5109" width="10.42578125" style="1"/>
    <col min="5110" max="5110" width="9.28515625" style="1" customWidth="1"/>
    <col min="5111" max="5112" width="12.140625" style="1" customWidth="1"/>
    <col min="5113" max="5113" width="16" style="1" customWidth="1"/>
    <col min="5114" max="5114" width="26.28515625" style="1" customWidth="1"/>
    <col min="5115" max="5362" width="10.42578125" style="1"/>
    <col min="5363" max="5363" width="7.42578125" style="1" customWidth="1"/>
    <col min="5364" max="5364" width="37.42578125" style="1" customWidth="1"/>
    <col min="5365" max="5365" width="10.42578125" style="1"/>
    <col min="5366" max="5366" width="9.28515625" style="1" customWidth="1"/>
    <col min="5367" max="5368" width="12.140625" style="1" customWidth="1"/>
    <col min="5369" max="5369" width="16" style="1" customWidth="1"/>
    <col min="5370" max="5370" width="26.28515625" style="1" customWidth="1"/>
    <col min="5371" max="5618" width="10.42578125" style="1"/>
    <col min="5619" max="5619" width="7.42578125" style="1" customWidth="1"/>
    <col min="5620" max="5620" width="37.42578125" style="1" customWidth="1"/>
    <col min="5621" max="5621" width="10.42578125" style="1"/>
    <col min="5622" max="5622" width="9.28515625" style="1" customWidth="1"/>
    <col min="5623" max="5624" width="12.140625" style="1" customWidth="1"/>
    <col min="5625" max="5625" width="16" style="1" customWidth="1"/>
    <col min="5626" max="5626" width="26.28515625" style="1" customWidth="1"/>
    <col min="5627" max="5874" width="10.42578125" style="1"/>
    <col min="5875" max="5875" width="7.42578125" style="1" customWidth="1"/>
    <col min="5876" max="5876" width="37.42578125" style="1" customWidth="1"/>
    <col min="5877" max="5877" width="10.42578125" style="1"/>
    <col min="5878" max="5878" width="9.28515625" style="1" customWidth="1"/>
    <col min="5879" max="5880" width="12.140625" style="1" customWidth="1"/>
    <col min="5881" max="5881" width="16" style="1" customWidth="1"/>
    <col min="5882" max="5882" width="26.28515625" style="1" customWidth="1"/>
    <col min="5883" max="6130" width="10.42578125" style="1"/>
    <col min="6131" max="6131" width="7.42578125" style="1" customWidth="1"/>
    <col min="6132" max="6132" width="37.42578125" style="1" customWidth="1"/>
    <col min="6133" max="6133" width="10.42578125" style="1"/>
    <col min="6134" max="6134" width="9.28515625" style="1" customWidth="1"/>
    <col min="6135" max="6136" width="12.140625" style="1" customWidth="1"/>
    <col min="6137" max="6137" width="16" style="1" customWidth="1"/>
    <col min="6138" max="6138" width="26.28515625" style="1" customWidth="1"/>
    <col min="6139" max="6386" width="10.42578125" style="1"/>
    <col min="6387" max="6387" width="7.42578125" style="1" customWidth="1"/>
    <col min="6388" max="6388" width="37.42578125" style="1" customWidth="1"/>
    <col min="6389" max="6389" width="10.42578125" style="1"/>
    <col min="6390" max="6390" width="9.28515625" style="1" customWidth="1"/>
    <col min="6391" max="6392" width="12.140625" style="1" customWidth="1"/>
    <col min="6393" max="6393" width="16" style="1" customWidth="1"/>
    <col min="6394" max="6394" width="26.28515625" style="1" customWidth="1"/>
    <col min="6395" max="6642" width="10.42578125" style="1"/>
    <col min="6643" max="6643" width="7.42578125" style="1" customWidth="1"/>
    <col min="6644" max="6644" width="37.42578125" style="1" customWidth="1"/>
    <col min="6645" max="6645" width="10.42578125" style="1"/>
    <col min="6646" max="6646" width="9.28515625" style="1" customWidth="1"/>
    <col min="6647" max="6648" width="12.140625" style="1" customWidth="1"/>
    <col min="6649" max="6649" width="16" style="1" customWidth="1"/>
    <col min="6650" max="6650" width="26.28515625" style="1" customWidth="1"/>
    <col min="6651" max="6898" width="10.42578125" style="1"/>
    <col min="6899" max="6899" width="7.42578125" style="1" customWidth="1"/>
    <col min="6900" max="6900" width="37.42578125" style="1" customWidth="1"/>
    <col min="6901" max="6901" width="10.42578125" style="1"/>
    <col min="6902" max="6902" width="9.28515625" style="1" customWidth="1"/>
    <col min="6903" max="6904" width="12.140625" style="1" customWidth="1"/>
    <col min="6905" max="6905" width="16" style="1" customWidth="1"/>
    <col min="6906" max="6906" width="26.28515625" style="1" customWidth="1"/>
    <col min="6907" max="7154" width="10.42578125" style="1"/>
    <col min="7155" max="7155" width="7.42578125" style="1" customWidth="1"/>
    <col min="7156" max="7156" width="37.42578125" style="1" customWidth="1"/>
    <col min="7157" max="7157" width="10.42578125" style="1"/>
    <col min="7158" max="7158" width="9.28515625" style="1" customWidth="1"/>
    <col min="7159" max="7160" width="12.140625" style="1" customWidth="1"/>
    <col min="7161" max="7161" width="16" style="1" customWidth="1"/>
    <col min="7162" max="7162" width="26.28515625" style="1" customWidth="1"/>
    <col min="7163" max="7410" width="10.42578125" style="1"/>
    <col min="7411" max="7411" width="7.42578125" style="1" customWidth="1"/>
    <col min="7412" max="7412" width="37.42578125" style="1" customWidth="1"/>
    <col min="7413" max="7413" width="10.42578125" style="1"/>
    <col min="7414" max="7414" width="9.28515625" style="1" customWidth="1"/>
    <col min="7415" max="7416" width="12.140625" style="1" customWidth="1"/>
    <col min="7417" max="7417" width="16" style="1" customWidth="1"/>
    <col min="7418" max="7418" width="26.28515625" style="1" customWidth="1"/>
    <col min="7419" max="7666" width="10.42578125" style="1"/>
    <col min="7667" max="7667" width="7.42578125" style="1" customWidth="1"/>
    <col min="7668" max="7668" width="37.42578125" style="1" customWidth="1"/>
    <col min="7669" max="7669" width="10.42578125" style="1"/>
    <col min="7670" max="7670" width="9.28515625" style="1" customWidth="1"/>
    <col min="7671" max="7672" width="12.140625" style="1" customWidth="1"/>
    <col min="7673" max="7673" width="16" style="1" customWidth="1"/>
    <col min="7674" max="7674" width="26.28515625" style="1" customWidth="1"/>
    <col min="7675" max="7922" width="10.42578125" style="1"/>
    <col min="7923" max="7923" width="7.42578125" style="1" customWidth="1"/>
    <col min="7924" max="7924" width="37.42578125" style="1" customWidth="1"/>
    <col min="7925" max="7925" width="10.42578125" style="1"/>
    <col min="7926" max="7926" width="9.28515625" style="1" customWidth="1"/>
    <col min="7927" max="7928" width="12.140625" style="1" customWidth="1"/>
    <col min="7929" max="7929" width="16" style="1" customWidth="1"/>
    <col min="7930" max="7930" width="26.28515625" style="1" customWidth="1"/>
    <col min="7931" max="8178" width="10.42578125" style="1"/>
    <col min="8179" max="8179" width="7.42578125" style="1" customWidth="1"/>
    <col min="8180" max="8180" width="37.42578125" style="1" customWidth="1"/>
    <col min="8181" max="8181" width="10.42578125" style="1"/>
    <col min="8182" max="8182" width="9.28515625" style="1" customWidth="1"/>
    <col min="8183" max="8184" width="12.140625" style="1" customWidth="1"/>
    <col min="8185" max="8185" width="16" style="1" customWidth="1"/>
    <col min="8186" max="8186" width="26.28515625" style="1" customWidth="1"/>
    <col min="8187" max="8434" width="10.42578125" style="1"/>
    <col min="8435" max="8435" width="7.42578125" style="1" customWidth="1"/>
    <col min="8436" max="8436" width="37.42578125" style="1" customWidth="1"/>
    <col min="8437" max="8437" width="10.42578125" style="1"/>
    <col min="8438" max="8438" width="9.28515625" style="1" customWidth="1"/>
    <col min="8439" max="8440" width="12.140625" style="1" customWidth="1"/>
    <col min="8441" max="8441" width="16" style="1" customWidth="1"/>
    <col min="8442" max="8442" width="26.28515625" style="1" customWidth="1"/>
    <col min="8443" max="8690" width="10.42578125" style="1"/>
    <col min="8691" max="8691" width="7.42578125" style="1" customWidth="1"/>
    <col min="8692" max="8692" width="37.42578125" style="1" customWidth="1"/>
    <col min="8693" max="8693" width="10.42578125" style="1"/>
    <col min="8694" max="8694" width="9.28515625" style="1" customWidth="1"/>
    <col min="8695" max="8696" width="12.140625" style="1" customWidth="1"/>
    <col min="8697" max="8697" width="16" style="1" customWidth="1"/>
    <col min="8698" max="8698" width="26.28515625" style="1" customWidth="1"/>
    <col min="8699" max="8946" width="10.42578125" style="1"/>
    <col min="8947" max="8947" width="7.42578125" style="1" customWidth="1"/>
    <col min="8948" max="8948" width="37.42578125" style="1" customWidth="1"/>
    <col min="8949" max="8949" width="10.42578125" style="1"/>
    <col min="8950" max="8950" width="9.28515625" style="1" customWidth="1"/>
    <col min="8951" max="8952" width="12.140625" style="1" customWidth="1"/>
    <col min="8953" max="8953" width="16" style="1" customWidth="1"/>
    <col min="8954" max="8954" width="26.28515625" style="1" customWidth="1"/>
    <col min="8955" max="9202" width="10.42578125" style="1"/>
    <col min="9203" max="9203" width="7.42578125" style="1" customWidth="1"/>
    <col min="9204" max="9204" width="37.42578125" style="1" customWidth="1"/>
    <col min="9205" max="9205" width="10.42578125" style="1"/>
    <col min="9206" max="9206" width="9.28515625" style="1" customWidth="1"/>
    <col min="9207" max="9208" width="12.140625" style="1" customWidth="1"/>
    <col min="9209" max="9209" width="16" style="1" customWidth="1"/>
    <col min="9210" max="9210" width="26.28515625" style="1" customWidth="1"/>
    <col min="9211" max="9458" width="10.42578125" style="1"/>
    <col min="9459" max="9459" width="7.42578125" style="1" customWidth="1"/>
    <col min="9460" max="9460" width="37.42578125" style="1" customWidth="1"/>
    <col min="9461" max="9461" width="10.42578125" style="1"/>
    <col min="9462" max="9462" width="9.28515625" style="1" customWidth="1"/>
    <col min="9463" max="9464" width="12.140625" style="1" customWidth="1"/>
    <col min="9465" max="9465" width="16" style="1" customWidth="1"/>
    <col min="9466" max="9466" width="26.28515625" style="1" customWidth="1"/>
    <col min="9467" max="9714" width="10.42578125" style="1"/>
    <col min="9715" max="9715" width="7.42578125" style="1" customWidth="1"/>
    <col min="9716" max="9716" width="37.42578125" style="1" customWidth="1"/>
    <col min="9717" max="9717" width="10.42578125" style="1"/>
    <col min="9718" max="9718" width="9.28515625" style="1" customWidth="1"/>
    <col min="9719" max="9720" width="12.140625" style="1" customWidth="1"/>
    <col min="9721" max="9721" width="16" style="1" customWidth="1"/>
    <col min="9722" max="9722" width="26.28515625" style="1" customWidth="1"/>
    <col min="9723" max="9970" width="10.42578125" style="1"/>
    <col min="9971" max="9971" width="7.42578125" style="1" customWidth="1"/>
    <col min="9972" max="9972" width="37.42578125" style="1" customWidth="1"/>
    <col min="9973" max="9973" width="10.42578125" style="1"/>
    <col min="9974" max="9974" width="9.28515625" style="1" customWidth="1"/>
    <col min="9975" max="9976" width="12.140625" style="1" customWidth="1"/>
    <col min="9977" max="9977" width="16" style="1" customWidth="1"/>
    <col min="9978" max="9978" width="26.28515625" style="1" customWidth="1"/>
    <col min="9979" max="10226" width="10.42578125" style="1"/>
    <col min="10227" max="10227" width="7.42578125" style="1" customWidth="1"/>
    <col min="10228" max="10228" width="37.42578125" style="1" customWidth="1"/>
    <col min="10229" max="10229" width="10.42578125" style="1"/>
    <col min="10230" max="10230" width="9.28515625" style="1" customWidth="1"/>
    <col min="10231" max="10232" width="12.140625" style="1" customWidth="1"/>
    <col min="10233" max="10233" width="16" style="1" customWidth="1"/>
    <col min="10234" max="10234" width="26.28515625" style="1" customWidth="1"/>
    <col min="10235" max="10482" width="10.42578125" style="1"/>
    <col min="10483" max="10483" width="7.42578125" style="1" customWidth="1"/>
    <col min="10484" max="10484" width="37.42578125" style="1" customWidth="1"/>
    <col min="10485" max="10485" width="10.42578125" style="1"/>
    <col min="10486" max="10486" width="9.28515625" style="1" customWidth="1"/>
    <col min="10487" max="10488" width="12.140625" style="1" customWidth="1"/>
    <col min="10489" max="10489" width="16" style="1" customWidth="1"/>
    <col min="10490" max="10490" width="26.28515625" style="1" customWidth="1"/>
    <col min="10491" max="10738" width="10.42578125" style="1"/>
    <col min="10739" max="10739" width="7.42578125" style="1" customWidth="1"/>
    <col min="10740" max="10740" width="37.42578125" style="1" customWidth="1"/>
    <col min="10741" max="10741" width="10.42578125" style="1"/>
    <col min="10742" max="10742" width="9.28515625" style="1" customWidth="1"/>
    <col min="10743" max="10744" width="12.140625" style="1" customWidth="1"/>
    <col min="10745" max="10745" width="16" style="1" customWidth="1"/>
    <col min="10746" max="10746" width="26.28515625" style="1" customWidth="1"/>
    <col min="10747" max="10994" width="10.42578125" style="1"/>
    <col min="10995" max="10995" width="7.42578125" style="1" customWidth="1"/>
    <col min="10996" max="10996" width="37.42578125" style="1" customWidth="1"/>
    <col min="10997" max="10997" width="10.42578125" style="1"/>
    <col min="10998" max="10998" width="9.28515625" style="1" customWidth="1"/>
    <col min="10999" max="11000" width="12.140625" style="1" customWidth="1"/>
    <col min="11001" max="11001" width="16" style="1" customWidth="1"/>
    <col min="11002" max="11002" width="26.28515625" style="1" customWidth="1"/>
    <col min="11003" max="11250" width="10.42578125" style="1"/>
    <col min="11251" max="11251" width="7.42578125" style="1" customWidth="1"/>
    <col min="11252" max="11252" width="37.42578125" style="1" customWidth="1"/>
    <col min="11253" max="11253" width="10.42578125" style="1"/>
    <col min="11254" max="11254" width="9.28515625" style="1" customWidth="1"/>
    <col min="11255" max="11256" width="12.140625" style="1" customWidth="1"/>
    <col min="11257" max="11257" width="16" style="1" customWidth="1"/>
    <col min="11258" max="11258" width="26.28515625" style="1" customWidth="1"/>
    <col min="11259" max="11506" width="10.42578125" style="1"/>
    <col min="11507" max="11507" width="7.42578125" style="1" customWidth="1"/>
    <col min="11508" max="11508" width="37.42578125" style="1" customWidth="1"/>
    <col min="11509" max="11509" width="10.42578125" style="1"/>
    <col min="11510" max="11510" width="9.28515625" style="1" customWidth="1"/>
    <col min="11511" max="11512" width="12.140625" style="1" customWidth="1"/>
    <col min="11513" max="11513" width="16" style="1" customWidth="1"/>
    <col min="11514" max="11514" width="26.28515625" style="1" customWidth="1"/>
    <col min="11515" max="11762" width="10.42578125" style="1"/>
    <col min="11763" max="11763" width="7.42578125" style="1" customWidth="1"/>
    <col min="11764" max="11764" width="37.42578125" style="1" customWidth="1"/>
    <col min="11765" max="11765" width="10.42578125" style="1"/>
    <col min="11766" max="11766" width="9.28515625" style="1" customWidth="1"/>
    <col min="11767" max="11768" width="12.140625" style="1" customWidth="1"/>
    <col min="11769" max="11769" width="16" style="1" customWidth="1"/>
    <col min="11770" max="11770" width="26.28515625" style="1" customWidth="1"/>
    <col min="11771" max="12018" width="10.42578125" style="1"/>
    <col min="12019" max="12019" width="7.42578125" style="1" customWidth="1"/>
    <col min="12020" max="12020" width="37.42578125" style="1" customWidth="1"/>
    <col min="12021" max="12021" width="10.42578125" style="1"/>
    <col min="12022" max="12022" width="9.28515625" style="1" customWidth="1"/>
    <col min="12023" max="12024" width="12.140625" style="1" customWidth="1"/>
    <col min="12025" max="12025" width="16" style="1" customWidth="1"/>
    <col min="12026" max="12026" width="26.28515625" style="1" customWidth="1"/>
    <col min="12027" max="12274" width="10.42578125" style="1"/>
    <col min="12275" max="12275" width="7.42578125" style="1" customWidth="1"/>
    <col min="12276" max="12276" width="37.42578125" style="1" customWidth="1"/>
    <col min="12277" max="12277" width="10.42578125" style="1"/>
    <col min="12278" max="12278" width="9.28515625" style="1" customWidth="1"/>
    <col min="12279" max="12280" width="12.140625" style="1" customWidth="1"/>
    <col min="12281" max="12281" width="16" style="1" customWidth="1"/>
    <col min="12282" max="12282" width="26.28515625" style="1" customWidth="1"/>
    <col min="12283" max="12530" width="10.42578125" style="1"/>
    <col min="12531" max="12531" width="7.42578125" style="1" customWidth="1"/>
    <col min="12532" max="12532" width="37.42578125" style="1" customWidth="1"/>
    <col min="12533" max="12533" width="10.42578125" style="1"/>
    <col min="12534" max="12534" width="9.28515625" style="1" customWidth="1"/>
    <col min="12535" max="12536" width="12.140625" style="1" customWidth="1"/>
    <col min="12537" max="12537" width="16" style="1" customWidth="1"/>
    <col min="12538" max="12538" width="26.28515625" style="1" customWidth="1"/>
    <col min="12539" max="12786" width="10.42578125" style="1"/>
    <col min="12787" max="12787" width="7.42578125" style="1" customWidth="1"/>
    <col min="12788" max="12788" width="37.42578125" style="1" customWidth="1"/>
    <col min="12789" max="12789" width="10.42578125" style="1"/>
    <col min="12790" max="12790" width="9.28515625" style="1" customWidth="1"/>
    <col min="12791" max="12792" width="12.140625" style="1" customWidth="1"/>
    <col min="12793" max="12793" width="16" style="1" customWidth="1"/>
    <col min="12794" max="12794" width="26.28515625" style="1" customWidth="1"/>
    <col min="12795" max="13042" width="10.42578125" style="1"/>
    <col min="13043" max="13043" width="7.42578125" style="1" customWidth="1"/>
    <col min="13044" max="13044" width="37.42578125" style="1" customWidth="1"/>
    <col min="13045" max="13045" width="10.42578125" style="1"/>
    <col min="13046" max="13046" width="9.28515625" style="1" customWidth="1"/>
    <col min="13047" max="13048" width="12.140625" style="1" customWidth="1"/>
    <col min="13049" max="13049" width="16" style="1" customWidth="1"/>
    <col min="13050" max="13050" width="26.28515625" style="1" customWidth="1"/>
    <col min="13051" max="13298" width="10.42578125" style="1"/>
    <col min="13299" max="13299" width="7.42578125" style="1" customWidth="1"/>
    <col min="13300" max="13300" width="37.42578125" style="1" customWidth="1"/>
    <col min="13301" max="13301" width="10.42578125" style="1"/>
    <col min="13302" max="13302" width="9.28515625" style="1" customWidth="1"/>
    <col min="13303" max="13304" width="12.140625" style="1" customWidth="1"/>
    <col min="13305" max="13305" width="16" style="1" customWidth="1"/>
    <col min="13306" max="13306" width="26.28515625" style="1" customWidth="1"/>
    <col min="13307" max="13554" width="10.42578125" style="1"/>
    <col min="13555" max="13555" width="7.42578125" style="1" customWidth="1"/>
    <col min="13556" max="13556" width="37.42578125" style="1" customWidth="1"/>
    <col min="13557" max="13557" width="10.42578125" style="1"/>
    <col min="13558" max="13558" width="9.28515625" style="1" customWidth="1"/>
    <col min="13559" max="13560" width="12.140625" style="1" customWidth="1"/>
    <col min="13561" max="13561" width="16" style="1" customWidth="1"/>
    <col min="13562" max="13562" width="26.28515625" style="1" customWidth="1"/>
    <col min="13563" max="13810" width="10.42578125" style="1"/>
    <col min="13811" max="13811" width="7.42578125" style="1" customWidth="1"/>
    <col min="13812" max="13812" width="37.42578125" style="1" customWidth="1"/>
    <col min="13813" max="13813" width="10.42578125" style="1"/>
    <col min="13814" max="13814" width="9.28515625" style="1" customWidth="1"/>
    <col min="13815" max="13816" width="12.140625" style="1" customWidth="1"/>
    <col min="13817" max="13817" width="16" style="1" customWidth="1"/>
    <col min="13818" max="13818" width="26.28515625" style="1" customWidth="1"/>
    <col min="13819" max="14066" width="10.42578125" style="1"/>
    <col min="14067" max="14067" width="7.42578125" style="1" customWidth="1"/>
    <col min="14068" max="14068" width="37.42578125" style="1" customWidth="1"/>
    <col min="14069" max="14069" width="10.42578125" style="1"/>
    <col min="14070" max="14070" width="9.28515625" style="1" customWidth="1"/>
    <col min="14071" max="14072" width="12.140625" style="1" customWidth="1"/>
    <col min="14073" max="14073" width="16" style="1" customWidth="1"/>
    <col min="14074" max="14074" width="26.28515625" style="1" customWidth="1"/>
    <col min="14075" max="14322" width="10.42578125" style="1"/>
    <col min="14323" max="14323" width="7.42578125" style="1" customWidth="1"/>
    <col min="14324" max="14324" width="37.42578125" style="1" customWidth="1"/>
    <col min="14325" max="14325" width="10.42578125" style="1"/>
    <col min="14326" max="14326" width="9.28515625" style="1" customWidth="1"/>
    <col min="14327" max="14328" width="12.140625" style="1" customWidth="1"/>
    <col min="14329" max="14329" width="16" style="1" customWidth="1"/>
    <col min="14330" max="14330" width="26.28515625" style="1" customWidth="1"/>
    <col min="14331" max="14578" width="10.42578125" style="1"/>
    <col min="14579" max="14579" width="7.42578125" style="1" customWidth="1"/>
    <col min="14580" max="14580" width="37.42578125" style="1" customWidth="1"/>
    <col min="14581" max="14581" width="10.42578125" style="1"/>
    <col min="14582" max="14582" width="9.28515625" style="1" customWidth="1"/>
    <col min="14583" max="14584" width="12.140625" style="1" customWidth="1"/>
    <col min="14585" max="14585" width="16" style="1" customWidth="1"/>
    <col min="14586" max="14586" width="26.28515625" style="1" customWidth="1"/>
    <col min="14587" max="14834" width="10.42578125" style="1"/>
    <col min="14835" max="14835" width="7.42578125" style="1" customWidth="1"/>
    <col min="14836" max="14836" width="37.42578125" style="1" customWidth="1"/>
    <col min="14837" max="14837" width="10.42578125" style="1"/>
    <col min="14838" max="14838" width="9.28515625" style="1" customWidth="1"/>
    <col min="14839" max="14840" width="12.140625" style="1" customWidth="1"/>
    <col min="14841" max="14841" width="16" style="1" customWidth="1"/>
    <col min="14842" max="14842" width="26.28515625" style="1" customWidth="1"/>
    <col min="14843" max="15090" width="10.42578125" style="1"/>
    <col min="15091" max="15091" width="7.42578125" style="1" customWidth="1"/>
    <col min="15092" max="15092" width="37.42578125" style="1" customWidth="1"/>
    <col min="15093" max="15093" width="10.42578125" style="1"/>
    <col min="15094" max="15094" width="9.28515625" style="1" customWidth="1"/>
    <col min="15095" max="15096" width="12.140625" style="1" customWidth="1"/>
    <col min="15097" max="15097" width="16" style="1" customWidth="1"/>
    <col min="15098" max="15098" width="26.28515625" style="1" customWidth="1"/>
    <col min="15099" max="15346" width="10.42578125" style="1"/>
    <col min="15347" max="15347" width="7.42578125" style="1" customWidth="1"/>
    <col min="15348" max="15348" width="37.42578125" style="1" customWidth="1"/>
    <col min="15349" max="15349" width="10.42578125" style="1"/>
    <col min="15350" max="15350" width="9.28515625" style="1" customWidth="1"/>
    <col min="15351" max="15352" width="12.140625" style="1" customWidth="1"/>
    <col min="15353" max="15353" width="16" style="1" customWidth="1"/>
    <col min="15354" max="15354" width="26.28515625" style="1" customWidth="1"/>
    <col min="15355" max="15602" width="10.42578125" style="1"/>
    <col min="15603" max="15603" width="7.42578125" style="1" customWidth="1"/>
    <col min="15604" max="15604" width="37.42578125" style="1" customWidth="1"/>
    <col min="15605" max="15605" width="10.42578125" style="1"/>
    <col min="15606" max="15606" width="9.28515625" style="1" customWidth="1"/>
    <col min="15607" max="15608" width="12.140625" style="1" customWidth="1"/>
    <col min="15609" max="15609" width="16" style="1" customWidth="1"/>
    <col min="15610" max="15610" width="26.28515625" style="1" customWidth="1"/>
    <col min="15611" max="15858" width="10.42578125" style="1"/>
    <col min="15859" max="15859" width="7.42578125" style="1" customWidth="1"/>
    <col min="15860" max="15860" width="37.42578125" style="1" customWidth="1"/>
    <col min="15861" max="15861" width="10.42578125" style="1"/>
    <col min="15862" max="15862" width="9.28515625" style="1" customWidth="1"/>
    <col min="15863" max="15864" width="12.140625" style="1" customWidth="1"/>
    <col min="15865" max="15865" width="16" style="1" customWidth="1"/>
    <col min="15866" max="15866" width="26.28515625" style="1" customWidth="1"/>
    <col min="15867" max="16114" width="10.42578125" style="1"/>
    <col min="16115" max="16115" width="7.42578125" style="1" customWidth="1"/>
    <col min="16116" max="16116" width="37.42578125" style="1" customWidth="1"/>
    <col min="16117" max="16117" width="10.42578125" style="1"/>
    <col min="16118" max="16118" width="9.28515625" style="1" customWidth="1"/>
    <col min="16119" max="16120" width="12.140625" style="1" customWidth="1"/>
    <col min="16121" max="16121" width="16" style="1" customWidth="1"/>
    <col min="16122" max="16122" width="26.28515625" style="1" customWidth="1"/>
    <col min="16123" max="16384" width="10.42578125" style="1"/>
  </cols>
  <sheetData>
    <row r="2" spans="1:14" ht="16.149999999999999" customHeight="1">
      <c r="B2" s="2"/>
      <c r="C2" s="72" t="s">
        <v>0</v>
      </c>
      <c r="D2" s="4"/>
      <c r="E2" s="5"/>
      <c r="F2" s="671"/>
      <c r="G2" s="672" t="s">
        <v>1</v>
      </c>
    </row>
    <row r="4" spans="1:14" s="73" customFormat="1" ht="15">
      <c r="B4" s="74" t="s">
        <v>35</v>
      </c>
      <c r="C4" s="673" t="s">
        <v>1490</v>
      </c>
      <c r="D4" s="1175"/>
      <c r="E4" s="77"/>
      <c r="F4" s="674"/>
      <c r="G4" s="79"/>
      <c r="H4" s="37"/>
    </row>
    <row r="5" spans="1:14" s="73" customFormat="1" ht="12" customHeight="1">
      <c r="B5" s="80"/>
      <c r="C5" s="81"/>
      <c r="D5" s="1176"/>
      <c r="E5" s="83"/>
      <c r="F5" s="675"/>
      <c r="G5" s="85"/>
      <c r="H5" s="37"/>
    </row>
    <row r="6" spans="1:14" s="86" customFormat="1" ht="21" customHeight="1">
      <c r="B6" s="676" t="s">
        <v>37</v>
      </c>
      <c r="C6" s="677" t="s">
        <v>1493</v>
      </c>
      <c r="D6" s="2233"/>
      <c r="E6" s="679"/>
      <c r="F6" s="680"/>
      <c r="G6" s="681"/>
      <c r="H6" s="27"/>
    </row>
    <row r="7" spans="1:14" s="86" customFormat="1" ht="21" customHeight="1">
      <c r="B7" s="1146"/>
      <c r="C7" s="1147"/>
      <c r="D7" s="1976"/>
      <c r="E7" s="1149"/>
      <c r="F7" s="1150"/>
      <c r="G7" s="1151"/>
      <c r="H7" s="27"/>
    </row>
    <row r="8" spans="1:14" s="86" customFormat="1" ht="14.25">
      <c r="B8" s="682" t="s">
        <v>551</v>
      </c>
      <c r="C8" s="683" t="s">
        <v>1494</v>
      </c>
      <c r="D8" s="2234"/>
      <c r="E8" s="685"/>
      <c r="F8" s="686"/>
      <c r="G8" s="687"/>
      <c r="H8" s="27"/>
    </row>
    <row r="9" spans="1:14" s="86" customFormat="1" ht="14.25">
      <c r="B9" s="80"/>
      <c r="C9" s="81"/>
      <c r="D9" s="1176"/>
      <c r="E9" s="83"/>
      <c r="F9" s="675"/>
      <c r="G9" s="88"/>
      <c r="H9" s="27"/>
    </row>
    <row r="10" spans="1:14" s="14" customFormat="1" ht="18" customHeight="1">
      <c r="A10" s="9"/>
      <c r="B10" s="10" t="s">
        <v>38</v>
      </c>
      <c r="C10" s="11"/>
      <c r="D10" s="1177"/>
      <c r="E10" s="12"/>
      <c r="F10" s="688"/>
      <c r="G10" s="13"/>
    </row>
    <row r="11" spans="1:14" s="14" customFormat="1" ht="18" customHeight="1">
      <c r="A11" s="15"/>
      <c r="B11" s="16" t="s">
        <v>39</v>
      </c>
      <c r="C11" s="17"/>
      <c r="D11" s="1179"/>
      <c r="E11" s="19"/>
      <c r="F11" s="689"/>
      <c r="G11" s="18"/>
    </row>
    <row r="12" spans="1:14" s="14" customFormat="1" ht="18" customHeight="1">
      <c r="A12" s="9"/>
      <c r="B12" s="10" t="s">
        <v>4</v>
      </c>
      <c r="C12" s="11"/>
      <c r="D12" s="1180"/>
      <c r="E12" s="12"/>
      <c r="F12" s="688"/>
      <c r="G12" s="13"/>
    </row>
    <row r="13" spans="1:14" s="14" customFormat="1" ht="18" customHeight="1">
      <c r="A13" s="15"/>
      <c r="B13" s="16" t="s">
        <v>5</v>
      </c>
      <c r="C13" s="17"/>
      <c r="D13" s="1181"/>
      <c r="E13" s="19"/>
      <c r="F13" s="689"/>
      <c r="G13" s="18"/>
    </row>
    <row r="14" spans="1:14" s="86" customFormat="1" ht="14.25">
      <c r="B14" s="89"/>
      <c r="C14" s="90"/>
      <c r="D14" s="1182"/>
      <c r="E14" s="92"/>
      <c r="F14" s="690"/>
      <c r="G14" s="94"/>
      <c r="H14" s="27"/>
    </row>
    <row r="15" spans="1:14" s="86" customFormat="1" ht="18.75" customHeight="1">
      <c r="B15" s="95"/>
      <c r="C15" s="96" t="s">
        <v>40</v>
      </c>
      <c r="D15" s="1183"/>
      <c r="E15" s="98"/>
      <c r="F15" s="691"/>
      <c r="G15" s="100"/>
      <c r="H15" s="27"/>
    </row>
    <row r="16" spans="1:14" s="101" customFormat="1" ht="18.75" customHeight="1">
      <c r="B16" s="95" t="s">
        <v>41</v>
      </c>
      <c r="C16" s="96" t="s">
        <v>42</v>
      </c>
      <c r="D16" s="1183"/>
      <c r="E16" s="104"/>
      <c r="F16" s="692"/>
      <c r="G16" s="106" t="s">
        <v>10</v>
      </c>
      <c r="H16" s="37"/>
      <c r="I16" s="73"/>
      <c r="J16" s="73"/>
      <c r="K16" s="73"/>
      <c r="L16" s="73"/>
      <c r="M16" s="73"/>
      <c r="N16" s="73"/>
    </row>
    <row r="17" spans="2:14" s="101" customFormat="1" ht="18.75" customHeight="1">
      <c r="B17" s="693" t="s">
        <v>43</v>
      </c>
      <c r="C17" s="694" t="s">
        <v>44</v>
      </c>
      <c r="D17" s="1185"/>
      <c r="E17" s="110"/>
      <c r="F17" s="695"/>
      <c r="G17" s="1408">
        <f>G38</f>
        <v>0</v>
      </c>
      <c r="H17" s="37"/>
      <c r="I17" s="73"/>
      <c r="J17" s="73"/>
      <c r="K17" s="73"/>
      <c r="L17" s="73"/>
      <c r="M17" s="73"/>
      <c r="N17" s="73"/>
    </row>
    <row r="18" spans="2:14" s="101" customFormat="1" ht="18.75" customHeight="1">
      <c r="B18" s="693" t="s">
        <v>45</v>
      </c>
      <c r="C18" s="694" t="s">
        <v>46</v>
      </c>
      <c r="D18" s="1185"/>
      <c r="E18" s="110"/>
      <c r="F18" s="695"/>
      <c r="G18" s="1408">
        <f>G65</f>
        <v>0</v>
      </c>
      <c r="H18" s="37"/>
      <c r="I18" s="73"/>
      <c r="J18" s="73"/>
      <c r="K18" s="73"/>
      <c r="L18" s="73"/>
      <c r="M18" s="73"/>
      <c r="N18" s="73"/>
    </row>
    <row r="19" spans="2:14" s="101" customFormat="1" ht="18.75" customHeight="1">
      <c r="B19" s="693" t="s">
        <v>47</v>
      </c>
      <c r="C19" s="694" t="s">
        <v>48</v>
      </c>
      <c r="D19" s="1185"/>
      <c r="E19" s="110"/>
      <c r="F19" s="695"/>
      <c r="G19" s="1408">
        <f>G198</f>
        <v>0</v>
      </c>
      <c r="H19" s="37"/>
      <c r="I19" s="73"/>
      <c r="J19" s="73"/>
      <c r="K19" s="73"/>
      <c r="L19" s="73"/>
      <c r="M19" s="73"/>
      <c r="N19" s="73"/>
    </row>
    <row r="20" spans="2:14" s="101" customFormat="1" ht="18.75" customHeight="1">
      <c r="B20" s="113"/>
      <c r="C20" s="114" t="s">
        <v>49</v>
      </c>
      <c r="D20" s="1187"/>
      <c r="E20" s="116"/>
      <c r="F20" s="2372"/>
      <c r="G20" s="1415">
        <f>SUM(G17:G19)</f>
        <v>0</v>
      </c>
      <c r="H20" s="37"/>
      <c r="I20" s="73"/>
      <c r="J20" s="73"/>
      <c r="K20" s="73"/>
      <c r="L20" s="73"/>
      <c r="M20" s="73"/>
      <c r="N20" s="73"/>
    </row>
    <row r="21" spans="2:14">
      <c r="B21" s="61"/>
      <c r="C21" s="62"/>
      <c r="D21" s="63"/>
      <c r="E21" s="64"/>
      <c r="F21" s="701"/>
    </row>
    <row r="22" spans="2:14">
      <c r="G22" s="118"/>
    </row>
    <row r="23" spans="2:14" ht="24">
      <c r="B23" s="119" t="s">
        <v>41</v>
      </c>
      <c r="C23" s="120" t="s">
        <v>51</v>
      </c>
      <c r="D23" s="120" t="s">
        <v>52</v>
      </c>
      <c r="E23" s="122" t="s">
        <v>53</v>
      </c>
      <c r="F23" s="756" t="s">
        <v>54</v>
      </c>
      <c r="G23" s="124" t="s">
        <v>55</v>
      </c>
    </row>
    <row r="24" spans="2:14">
      <c r="B24" s="125"/>
      <c r="C24" s="126"/>
      <c r="D24" s="140"/>
      <c r="E24" s="128"/>
      <c r="F24" s="708"/>
      <c r="G24" s="130"/>
    </row>
    <row r="25" spans="2:14" s="138" customFormat="1" ht="20.25">
      <c r="B25" s="131" t="s">
        <v>43</v>
      </c>
      <c r="C25" s="132" t="s">
        <v>44</v>
      </c>
      <c r="D25" s="165"/>
      <c r="E25" s="134"/>
      <c r="F25" s="709"/>
      <c r="G25" s="136"/>
      <c r="H25" s="137"/>
    </row>
    <row r="26" spans="2:14" ht="24">
      <c r="B26" s="125">
        <v>1</v>
      </c>
      <c r="C26" s="144" t="s">
        <v>56</v>
      </c>
      <c r="D26" s="140" t="s">
        <v>57</v>
      </c>
      <c r="E26" s="1081">
        <v>366</v>
      </c>
      <c r="F26" s="1082">
        <v>0</v>
      </c>
      <c r="G26" s="1083">
        <f t="shared" ref="G26" si="0">E26*F26</f>
        <v>0</v>
      </c>
    </row>
    <row r="27" spans="2:14">
      <c r="B27" s="125">
        <v>2</v>
      </c>
      <c r="C27" s="144" t="s">
        <v>58</v>
      </c>
      <c r="D27" s="140" t="s">
        <v>57</v>
      </c>
      <c r="E27" s="1081">
        <f>E26</f>
        <v>366</v>
      </c>
      <c r="F27" s="1082">
        <v>0</v>
      </c>
      <c r="G27" s="1083">
        <f>E27*F27</f>
        <v>0</v>
      </c>
    </row>
    <row r="28" spans="2:14" ht="24">
      <c r="B28" s="125">
        <v>3</v>
      </c>
      <c r="C28" s="144" t="s">
        <v>1389</v>
      </c>
      <c r="D28" s="146" t="s">
        <v>60</v>
      </c>
      <c r="E28" s="1081">
        <v>4</v>
      </c>
      <c r="F28" s="1082">
        <v>0</v>
      </c>
      <c r="G28" s="1083">
        <f t="shared" ref="G28:G36" si="1">E28*F28</f>
        <v>0</v>
      </c>
    </row>
    <row r="29" spans="2:14" ht="27.75" customHeight="1">
      <c r="B29" s="125">
        <v>4</v>
      </c>
      <c r="C29" s="1084" t="s">
        <v>63</v>
      </c>
      <c r="D29" s="140" t="s">
        <v>57</v>
      </c>
      <c r="E29" s="1081">
        <f>E26</f>
        <v>366</v>
      </c>
      <c r="F29" s="1082">
        <v>0</v>
      </c>
      <c r="G29" s="1083">
        <f t="shared" si="1"/>
        <v>0</v>
      </c>
    </row>
    <row r="30" spans="2:14" ht="52.5" customHeight="1">
      <c r="B30" s="125">
        <v>5</v>
      </c>
      <c r="C30" s="1084" t="s">
        <v>64</v>
      </c>
      <c r="D30" s="146" t="s">
        <v>60</v>
      </c>
      <c r="E30" s="1081">
        <v>1</v>
      </c>
      <c r="F30" s="1082">
        <v>0</v>
      </c>
      <c r="G30" s="1083">
        <f t="shared" si="1"/>
        <v>0</v>
      </c>
    </row>
    <row r="31" spans="2:14" ht="55.5" customHeight="1">
      <c r="B31" s="125">
        <v>6</v>
      </c>
      <c r="C31" s="1080" t="s">
        <v>2292</v>
      </c>
      <c r="D31" s="146" t="s">
        <v>66</v>
      </c>
      <c r="E31" s="1081">
        <v>12</v>
      </c>
      <c r="F31" s="1082">
        <v>0</v>
      </c>
      <c r="G31" s="1083">
        <f t="shared" si="1"/>
        <v>0</v>
      </c>
    </row>
    <row r="32" spans="2:14" ht="36">
      <c r="B32" s="125">
        <v>7</v>
      </c>
      <c r="C32" s="1080" t="s">
        <v>2295</v>
      </c>
      <c r="D32" s="146" t="s">
        <v>57</v>
      </c>
      <c r="E32" s="1081">
        <f>E26+E83+E84</f>
        <v>411</v>
      </c>
      <c r="F32" s="1082">
        <v>0</v>
      </c>
      <c r="G32" s="1083">
        <f t="shared" si="1"/>
        <v>0</v>
      </c>
    </row>
    <row r="33" spans="1:14" ht="24">
      <c r="B33" s="125">
        <v>8</v>
      </c>
      <c r="C33" s="1080" t="s">
        <v>2293</v>
      </c>
      <c r="D33" s="146" t="s">
        <v>57</v>
      </c>
      <c r="E33" s="1081">
        <f>E26+E83+E84</f>
        <v>411</v>
      </c>
      <c r="F33" s="1082">
        <v>0</v>
      </c>
      <c r="G33" s="1083">
        <f t="shared" si="1"/>
        <v>0</v>
      </c>
    </row>
    <row r="34" spans="1:14">
      <c r="B34" s="125">
        <v>9</v>
      </c>
      <c r="C34" s="1084" t="s">
        <v>67</v>
      </c>
      <c r="D34" s="146" t="s">
        <v>60</v>
      </c>
      <c r="E34" s="1081">
        <v>1</v>
      </c>
      <c r="F34" s="1082">
        <v>0</v>
      </c>
      <c r="G34" s="1083">
        <f t="shared" si="1"/>
        <v>0</v>
      </c>
    </row>
    <row r="35" spans="1:14" ht="48">
      <c r="B35" s="125">
        <v>10</v>
      </c>
      <c r="C35" s="952" t="s">
        <v>68</v>
      </c>
      <c r="D35" s="146" t="s">
        <v>60</v>
      </c>
      <c r="E35" s="1085">
        <v>1</v>
      </c>
      <c r="F35" s="1082">
        <v>0</v>
      </c>
      <c r="G35" s="1083">
        <f t="shared" si="1"/>
        <v>0</v>
      </c>
    </row>
    <row r="36" spans="1:14" ht="36">
      <c r="B36" s="125">
        <v>11</v>
      </c>
      <c r="C36" s="952" t="s">
        <v>69</v>
      </c>
      <c r="D36" s="146" t="s">
        <v>60</v>
      </c>
      <c r="E36" s="1085">
        <v>1</v>
      </c>
      <c r="F36" s="1082">
        <v>0</v>
      </c>
      <c r="G36" s="1083">
        <f t="shared" si="1"/>
        <v>0</v>
      </c>
    </row>
    <row r="37" spans="1:14">
      <c r="B37" s="125"/>
      <c r="C37" s="150"/>
      <c r="D37" s="146"/>
      <c r="E37" s="1085"/>
      <c r="F37" s="1082"/>
      <c r="G37" s="1083"/>
    </row>
    <row r="38" spans="1:14">
      <c r="B38" s="151" t="s">
        <v>43</v>
      </c>
      <c r="C38" s="1086" t="s">
        <v>1390</v>
      </c>
      <c r="D38" s="1103"/>
      <c r="E38" s="1088"/>
      <c r="F38" s="1089"/>
      <c r="G38" s="263">
        <f>SUM(G26:G36)</f>
        <v>0</v>
      </c>
    </row>
    <row r="39" spans="1:14" s="8" customFormat="1">
      <c r="A39" s="1"/>
      <c r="B39" s="125"/>
      <c r="C39" s="126"/>
      <c r="D39" s="140"/>
      <c r="E39" s="128"/>
      <c r="F39" s="129"/>
      <c r="G39" s="130"/>
      <c r="I39" s="1"/>
      <c r="J39" s="1"/>
      <c r="K39" s="1"/>
      <c r="L39" s="1"/>
      <c r="M39" s="1"/>
      <c r="N39" s="1"/>
    </row>
    <row r="40" spans="1:14" s="8" customFormat="1" ht="24">
      <c r="A40" s="1"/>
      <c r="B40" s="157" t="s">
        <v>50</v>
      </c>
      <c r="C40" s="158" t="s">
        <v>51</v>
      </c>
      <c r="D40" s="158" t="s">
        <v>52</v>
      </c>
      <c r="E40" s="160" t="s">
        <v>53</v>
      </c>
      <c r="F40" s="161" t="s">
        <v>54</v>
      </c>
      <c r="G40" s="162" t="s">
        <v>55</v>
      </c>
      <c r="I40" s="1"/>
      <c r="J40" s="1"/>
      <c r="K40" s="1"/>
      <c r="L40" s="1"/>
      <c r="M40" s="1"/>
      <c r="N40" s="1"/>
    </row>
    <row r="41" spans="1:14" s="8" customFormat="1">
      <c r="A41" s="1"/>
      <c r="B41" s="125"/>
      <c r="C41" s="163"/>
      <c r="D41" s="140"/>
      <c r="E41" s="128"/>
      <c r="F41" s="129"/>
      <c r="G41" s="130"/>
      <c r="I41" s="1"/>
      <c r="J41" s="1"/>
      <c r="K41" s="1"/>
      <c r="L41" s="1"/>
      <c r="M41" s="1"/>
      <c r="N41" s="1"/>
    </row>
    <row r="42" spans="1:14" s="8" customFormat="1" ht="40.5">
      <c r="A42" s="1"/>
      <c r="B42" s="131" t="s">
        <v>45</v>
      </c>
      <c r="C42" s="164" t="s">
        <v>871</v>
      </c>
      <c r="D42" s="165"/>
      <c r="E42" s="134"/>
      <c r="F42" s="135"/>
      <c r="G42" s="136"/>
      <c r="I42" s="1"/>
      <c r="J42" s="1"/>
      <c r="K42" s="1"/>
      <c r="L42" s="1"/>
      <c r="M42" s="1"/>
      <c r="N42" s="1"/>
    </row>
    <row r="43" spans="1:14" s="8" customFormat="1" ht="67.5" customHeight="1">
      <c r="A43" s="1"/>
      <c r="B43" s="2399" t="s">
        <v>72</v>
      </c>
      <c r="C43" s="2400"/>
      <c r="D43" s="2400"/>
      <c r="E43" s="2400"/>
      <c r="F43" s="2400"/>
      <c r="G43" s="2401"/>
      <c r="I43" s="1"/>
      <c r="J43" s="1"/>
      <c r="K43" s="1"/>
      <c r="L43" s="1"/>
      <c r="M43" s="1"/>
      <c r="N43" s="1"/>
    </row>
    <row r="44" spans="1:14" s="8" customFormat="1" ht="41.25" customHeight="1">
      <c r="A44" s="1"/>
      <c r="B44" s="717">
        <v>1</v>
      </c>
      <c r="C44" s="139" t="s">
        <v>75</v>
      </c>
      <c r="D44" s="140" t="s">
        <v>74</v>
      </c>
      <c r="E44" s="1091">
        <f>E26*1.5*1.2*0.15</f>
        <v>98.82</v>
      </c>
      <c r="F44" s="1092">
        <v>0</v>
      </c>
      <c r="G44" s="1093">
        <f t="shared" ref="G44:G63" si="2">E44*F44</f>
        <v>0</v>
      </c>
      <c r="I44" s="1"/>
      <c r="J44" s="1"/>
      <c r="K44" s="1"/>
      <c r="L44" s="1"/>
      <c r="M44" s="1"/>
      <c r="N44" s="1"/>
    </row>
    <row r="45" spans="1:14" s="8" customFormat="1" ht="41.25" customHeight="1">
      <c r="A45" s="1"/>
      <c r="B45" s="167">
        <v>2</v>
      </c>
      <c r="C45" s="139" t="s">
        <v>76</v>
      </c>
      <c r="D45" s="145" t="s">
        <v>74</v>
      </c>
      <c r="E45" s="1094">
        <f>E26*1.5*1.2*0.85</f>
        <v>559.9799999999999</v>
      </c>
      <c r="F45" s="1092">
        <v>0</v>
      </c>
      <c r="G45" s="142">
        <f t="shared" si="2"/>
        <v>0</v>
      </c>
      <c r="I45" s="1"/>
      <c r="J45" s="1"/>
      <c r="K45" s="1"/>
      <c r="L45" s="1"/>
      <c r="M45" s="1"/>
      <c r="N45" s="1"/>
    </row>
    <row r="46" spans="1:14" s="8" customFormat="1" ht="27.75" customHeight="1">
      <c r="A46" s="1"/>
      <c r="B46" s="717">
        <v>3</v>
      </c>
      <c r="C46" s="126" t="s">
        <v>77</v>
      </c>
      <c r="D46" s="140" t="s">
        <v>78</v>
      </c>
      <c r="E46" s="1094">
        <f>E26*1.5</f>
        <v>549</v>
      </c>
      <c r="F46" s="1092">
        <v>0</v>
      </c>
      <c r="G46" s="1083">
        <f t="shared" si="2"/>
        <v>0</v>
      </c>
      <c r="I46" s="1"/>
      <c r="J46" s="1"/>
      <c r="K46" s="1"/>
      <c r="L46" s="1"/>
      <c r="M46" s="1"/>
      <c r="N46" s="1"/>
    </row>
    <row r="47" spans="1:14" s="8" customFormat="1" ht="27.75" customHeight="1">
      <c r="A47" s="1"/>
      <c r="B47" s="167">
        <v>4</v>
      </c>
      <c r="C47" s="126" t="s">
        <v>79</v>
      </c>
      <c r="D47" s="145" t="s">
        <v>78</v>
      </c>
      <c r="E47" s="1094">
        <f>E26</f>
        <v>366</v>
      </c>
      <c r="F47" s="1092">
        <v>0</v>
      </c>
      <c r="G47" s="1083">
        <f t="shared" si="2"/>
        <v>0</v>
      </c>
      <c r="I47" s="1"/>
      <c r="J47" s="1"/>
      <c r="K47" s="1"/>
      <c r="L47" s="1"/>
      <c r="M47" s="1"/>
      <c r="N47" s="1"/>
    </row>
    <row r="48" spans="1:14" s="8" customFormat="1" ht="27.75" customHeight="1">
      <c r="A48" s="1"/>
      <c r="B48" s="717">
        <v>5</v>
      </c>
      <c r="C48" s="139" t="s">
        <v>247</v>
      </c>
      <c r="D48" s="145" t="s">
        <v>74</v>
      </c>
      <c r="E48" s="1094">
        <f>E26*1.2*1</f>
        <v>439.2</v>
      </c>
      <c r="F48" s="1092">
        <v>0</v>
      </c>
      <c r="G48" s="1083">
        <f t="shared" si="2"/>
        <v>0</v>
      </c>
      <c r="I48" s="1"/>
      <c r="J48" s="1"/>
      <c r="K48" s="1"/>
      <c r="L48" s="1"/>
      <c r="M48" s="1"/>
      <c r="N48" s="1"/>
    </row>
    <row r="49" spans="1:14" s="8" customFormat="1" ht="40.5" customHeight="1">
      <c r="A49" s="1"/>
      <c r="B49" s="167">
        <v>6</v>
      </c>
      <c r="C49" s="139" t="s">
        <v>82</v>
      </c>
      <c r="D49" s="146" t="s">
        <v>74</v>
      </c>
      <c r="E49" s="1094">
        <f>E26*1.5*0.4</f>
        <v>219.60000000000002</v>
      </c>
      <c r="F49" s="1092">
        <v>0</v>
      </c>
      <c r="G49" s="1083">
        <f t="shared" si="2"/>
        <v>0</v>
      </c>
      <c r="I49" s="1"/>
      <c r="J49" s="1"/>
      <c r="K49" s="1"/>
      <c r="L49" s="1"/>
      <c r="M49" s="1"/>
      <c r="N49" s="1"/>
    </row>
    <row r="50" spans="1:14" s="8" customFormat="1" ht="27" customHeight="1">
      <c r="A50" s="1"/>
      <c r="B50" s="717">
        <v>7</v>
      </c>
      <c r="C50" s="1095" t="s">
        <v>85</v>
      </c>
      <c r="D50" s="140" t="s">
        <v>57</v>
      </c>
      <c r="E50" s="1094">
        <v>15</v>
      </c>
      <c r="F50" s="1092">
        <v>0</v>
      </c>
      <c r="G50" s="1083">
        <f t="shared" si="2"/>
        <v>0</v>
      </c>
      <c r="I50" s="1"/>
      <c r="J50" s="1"/>
      <c r="K50" s="1"/>
      <c r="L50" s="1"/>
      <c r="M50" s="1"/>
      <c r="N50" s="1"/>
    </row>
    <row r="51" spans="1:14" s="8" customFormat="1" ht="27" customHeight="1">
      <c r="A51" s="1"/>
      <c r="B51" s="167">
        <v>8</v>
      </c>
      <c r="C51" s="1095" t="s">
        <v>266</v>
      </c>
      <c r="D51" s="140" t="s">
        <v>78</v>
      </c>
      <c r="E51" s="1094">
        <v>120</v>
      </c>
      <c r="F51" s="1092">
        <v>0</v>
      </c>
      <c r="G51" s="1083">
        <f t="shared" si="2"/>
        <v>0</v>
      </c>
      <c r="I51" s="1"/>
      <c r="J51" s="1"/>
      <c r="K51" s="1"/>
      <c r="L51" s="1"/>
      <c r="M51" s="1"/>
      <c r="N51" s="1"/>
    </row>
    <row r="52" spans="1:14" s="8" customFormat="1" ht="63.75" customHeight="1">
      <c r="A52" s="1"/>
      <c r="B52" s="717">
        <v>9</v>
      </c>
      <c r="C52" s="397" t="s">
        <v>1468</v>
      </c>
      <c r="D52" s="145" t="s">
        <v>78</v>
      </c>
      <c r="E52" s="1094">
        <v>5</v>
      </c>
      <c r="F52" s="1092">
        <v>0</v>
      </c>
      <c r="G52" s="1083">
        <f t="shared" si="2"/>
        <v>0</v>
      </c>
      <c r="I52" s="1"/>
      <c r="J52" s="1"/>
      <c r="K52" s="1"/>
      <c r="L52" s="1"/>
      <c r="M52" s="1"/>
      <c r="N52" s="1"/>
    </row>
    <row r="53" spans="1:14" s="8" customFormat="1" ht="14.25" customHeight="1">
      <c r="A53" s="1"/>
      <c r="B53" s="167">
        <v>10</v>
      </c>
      <c r="C53" s="139" t="s">
        <v>264</v>
      </c>
      <c r="D53" s="145" t="s">
        <v>74</v>
      </c>
      <c r="E53" s="128">
        <f>E44+E45+(E51*0.06)-E48</f>
        <v>226.8</v>
      </c>
      <c r="F53" s="1092">
        <v>0</v>
      </c>
      <c r="G53" s="142">
        <f t="shared" si="2"/>
        <v>0</v>
      </c>
      <c r="I53" s="1"/>
      <c r="J53" s="1"/>
      <c r="K53" s="1"/>
      <c r="L53" s="1"/>
      <c r="M53" s="1"/>
      <c r="N53" s="1"/>
    </row>
    <row r="54" spans="1:14" s="8" customFormat="1">
      <c r="A54" s="1"/>
      <c r="B54" s="717">
        <v>11</v>
      </c>
      <c r="C54" s="139" t="s">
        <v>265</v>
      </c>
      <c r="D54" s="145" t="s">
        <v>74</v>
      </c>
      <c r="E54" s="128">
        <f>E53</f>
        <v>226.8</v>
      </c>
      <c r="F54" s="1092">
        <v>0</v>
      </c>
      <c r="G54" s="142">
        <f t="shared" si="2"/>
        <v>0</v>
      </c>
      <c r="I54" s="1"/>
      <c r="J54" s="1"/>
      <c r="K54" s="1"/>
      <c r="L54" s="1"/>
      <c r="M54" s="1"/>
      <c r="N54" s="1"/>
    </row>
    <row r="55" spans="1:14" s="8" customFormat="1" ht="27.75" customHeight="1">
      <c r="A55" s="1"/>
      <c r="B55" s="167">
        <v>12</v>
      </c>
      <c r="C55" s="126" t="s">
        <v>95</v>
      </c>
      <c r="D55" s="140" t="s">
        <v>74</v>
      </c>
      <c r="E55" s="1094">
        <f>E26*0.75*0.1</f>
        <v>27.450000000000003</v>
      </c>
      <c r="F55" s="1092">
        <v>0</v>
      </c>
      <c r="G55" s="1083">
        <f t="shared" si="2"/>
        <v>0</v>
      </c>
      <c r="I55" s="1"/>
      <c r="J55" s="1"/>
      <c r="K55" s="1"/>
      <c r="L55" s="1"/>
      <c r="M55" s="1"/>
      <c r="N55" s="1"/>
    </row>
    <row r="56" spans="1:14" s="8" customFormat="1" ht="52.5" customHeight="1">
      <c r="A56" s="1"/>
      <c r="B56" s="2408">
        <v>13</v>
      </c>
      <c r="C56" s="177" t="s">
        <v>83</v>
      </c>
      <c r="D56" s="146" t="s">
        <v>252</v>
      </c>
      <c r="E56" s="1094">
        <v>2</v>
      </c>
      <c r="F56" s="1092">
        <v>0</v>
      </c>
      <c r="G56" s="1083">
        <f>E56*F56</f>
        <v>0</v>
      </c>
      <c r="I56" s="1"/>
      <c r="J56" s="1"/>
      <c r="K56" s="1"/>
      <c r="L56" s="1"/>
      <c r="M56" s="1"/>
      <c r="N56" s="1"/>
    </row>
    <row r="57" spans="1:14" s="8" customFormat="1" ht="12.75" customHeight="1">
      <c r="A57" s="1"/>
      <c r="B57" s="2608"/>
      <c r="C57" s="178" t="s">
        <v>84</v>
      </c>
      <c r="D57" s="146" t="s">
        <v>57</v>
      </c>
      <c r="E57" s="1094">
        <v>18</v>
      </c>
      <c r="F57" s="1082"/>
      <c r="G57" s="1083"/>
      <c r="I57" s="1"/>
      <c r="J57" s="1"/>
      <c r="K57" s="1"/>
      <c r="L57" s="1"/>
      <c r="M57" s="1"/>
      <c r="N57" s="1"/>
    </row>
    <row r="58" spans="1:14" s="8" customFormat="1" ht="49.5" customHeight="1">
      <c r="A58" s="1"/>
      <c r="B58" s="2408">
        <v>14</v>
      </c>
      <c r="C58" s="722" t="s">
        <v>1477</v>
      </c>
      <c r="D58" s="194" t="s">
        <v>66</v>
      </c>
      <c r="E58" s="719">
        <v>1</v>
      </c>
      <c r="F58" s="1092">
        <v>0</v>
      </c>
      <c r="G58" s="1093">
        <f>E58*F58</f>
        <v>0</v>
      </c>
      <c r="I58" s="1"/>
      <c r="J58" s="1"/>
      <c r="K58" s="1"/>
      <c r="L58" s="1"/>
      <c r="M58" s="1"/>
      <c r="N58" s="1"/>
    </row>
    <row r="59" spans="1:14" s="8" customFormat="1" ht="12.75" customHeight="1">
      <c r="A59" s="1"/>
      <c r="B59" s="2418"/>
      <c r="C59" s="195" t="s">
        <v>294</v>
      </c>
      <c r="D59" s="194" t="s">
        <v>57</v>
      </c>
      <c r="E59" s="719">
        <v>11</v>
      </c>
      <c r="F59" s="1092">
        <v>0</v>
      </c>
      <c r="G59" s="1093"/>
      <c r="I59" s="1"/>
      <c r="J59" s="1"/>
      <c r="K59" s="1"/>
      <c r="L59" s="1"/>
      <c r="M59" s="1"/>
      <c r="N59" s="1"/>
    </row>
    <row r="60" spans="1:14" s="8" customFormat="1" ht="40.5" customHeight="1">
      <c r="A60" s="1"/>
      <c r="B60" s="717">
        <v>15</v>
      </c>
      <c r="C60" s="1096" t="s">
        <v>1393</v>
      </c>
      <c r="D60" s="182" t="s">
        <v>74</v>
      </c>
      <c r="E60" s="1097">
        <v>2</v>
      </c>
      <c r="F60" s="1082">
        <v>0</v>
      </c>
      <c r="G60" s="1083">
        <f t="shared" si="2"/>
        <v>0</v>
      </c>
      <c r="I60" s="1"/>
      <c r="J60" s="1"/>
      <c r="K60" s="1"/>
      <c r="L60" s="1"/>
      <c r="M60" s="1"/>
      <c r="N60" s="1"/>
    </row>
    <row r="61" spans="1:14" s="8" customFormat="1" ht="39" customHeight="1">
      <c r="A61" s="1"/>
      <c r="B61" s="717">
        <v>16</v>
      </c>
      <c r="C61" s="1096" t="s">
        <v>270</v>
      </c>
      <c r="D61" s="182" t="s">
        <v>66</v>
      </c>
      <c r="E61" s="1097">
        <v>42</v>
      </c>
      <c r="F61" s="1082">
        <v>0</v>
      </c>
      <c r="G61" s="1083">
        <f t="shared" si="2"/>
        <v>0</v>
      </c>
      <c r="I61" s="1"/>
      <c r="J61" s="1"/>
      <c r="K61" s="1"/>
      <c r="L61" s="1"/>
      <c r="M61" s="1"/>
      <c r="N61" s="1"/>
    </row>
    <row r="62" spans="1:14" s="8" customFormat="1" ht="36">
      <c r="A62" s="1"/>
      <c r="B62" s="717">
        <v>17</v>
      </c>
      <c r="C62" s="1096" t="s">
        <v>99</v>
      </c>
      <c r="D62" s="182" t="s">
        <v>74</v>
      </c>
      <c r="E62" s="1097">
        <v>2</v>
      </c>
      <c r="F62" s="1082">
        <v>0</v>
      </c>
      <c r="G62" s="1083">
        <f t="shared" si="2"/>
        <v>0</v>
      </c>
      <c r="I62" s="1"/>
      <c r="J62" s="1"/>
      <c r="K62" s="1"/>
      <c r="L62" s="1"/>
      <c r="M62" s="1"/>
      <c r="N62" s="1"/>
    </row>
    <row r="63" spans="1:14" s="8" customFormat="1" ht="27.75" customHeight="1">
      <c r="A63" s="1"/>
      <c r="B63" s="717">
        <v>18</v>
      </c>
      <c r="C63" s="1096" t="s">
        <v>100</v>
      </c>
      <c r="D63" s="182" t="s">
        <v>65</v>
      </c>
      <c r="E63" s="1097">
        <v>36</v>
      </c>
      <c r="F63" s="1082">
        <v>0</v>
      </c>
      <c r="G63" s="1083">
        <f t="shared" si="2"/>
        <v>0</v>
      </c>
      <c r="I63" s="1"/>
      <c r="J63" s="1"/>
      <c r="K63" s="1"/>
      <c r="L63" s="1"/>
      <c r="M63" s="1"/>
      <c r="N63" s="1"/>
    </row>
    <row r="64" spans="1:14" s="8" customFormat="1">
      <c r="A64" s="1"/>
      <c r="B64" s="167"/>
      <c r="C64" s="1098"/>
      <c r="D64" s="1099"/>
      <c r="E64" s="1100"/>
      <c r="F64" s="1101"/>
      <c r="G64" s="1102"/>
      <c r="I64" s="1"/>
      <c r="J64" s="1"/>
      <c r="K64" s="1"/>
      <c r="L64" s="1"/>
      <c r="M64" s="1"/>
      <c r="N64" s="1"/>
    </row>
    <row r="65" spans="1:14" s="8" customFormat="1">
      <c r="A65" s="1"/>
      <c r="B65" s="151" t="s">
        <v>45</v>
      </c>
      <c r="C65" s="1086" t="s">
        <v>101</v>
      </c>
      <c r="D65" s="1103"/>
      <c r="E65" s="1088"/>
      <c r="F65" s="1089"/>
      <c r="G65" s="263">
        <f>SUM(G44:G63)</f>
        <v>0</v>
      </c>
      <c r="I65" s="1"/>
      <c r="J65" s="1"/>
      <c r="K65" s="1"/>
      <c r="L65" s="1"/>
      <c r="M65" s="1"/>
      <c r="N65" s="1"/>
    </row>
    <row r="66" spans="1:14" s="8" customFormat="1">
      <c r="A66" s="1"/>
      <c r="B66" s="67"/>
      <c r="C66" s="68"/>
      <c r="D66" s="1188"/>
      <c r="E66" s="1104"/>
      <c r="F66" s="1105"/>
      <c r="G66" s="1106"/>
      <c r="I66" s="1"/>
      <c r="J66" s="1"/>
      <c r="K66" s="1"/>
      <c r="L66" s="1"/>
      <c r="M66" s="1"/>
      <c r="N66" s="1"/>
    </row>
    <row r="67" spans="1:14" s="8" customFormat="1" ht="24">
      <c r="A67" s="1"/>
      <c r="B67" s="119" t="s">
        <v>50</v>
      </c>
      <c r="C67" s="120" t="s">
        <v>51</v>
      </c>
      <c r="D67" s="120" t="s">
        <v>52</v>
      </c>
      <c r="E67" s="122" t="s">
        <v>53</v>
      </c>
      <c r="F67" s="123" t="s">
        <v>54</v>
      </c>
      <c r="G67" s="124" t="s">
        <v>55</v>
      </c>
      <c r="I67" s="1"/>
      <c r="J67" s="1"/>
      <c r="K67" s="1"/>
      <c r="L67" s="1"/>
      <c r="M67" s="1"/>
      <c r="N67" s="1"/>
    </row>
    <row r="68" spans="1:14" s="8" customFormat="1">
      <c r="A68" s="1"/>
      <c r="B68" s="125"/>
      <c r="C68" s="126"/>
      <c r="D68" s="140"/>
      <c r="E68" s="719"/>
      <c r="F68" s="1107"/>
      <c r="G68" s="731"/>
      <c r="I68" s="1"/>
      <c r="J68" s="1"/>
      <c r="K68" s="1"/>
      <c r="L68" s="1"/>
      <c r="M68" s="1"/>
      <c r="N68" s="1"/>
    </row>
    <row r="69" spans="1:14" s="8" customFormat="1" ht="20.25">
      <c r="A69" s="1"/>
      <c r="B69" s="186" t="s">
        <v>47</v>
      </c>
      <c r="C69" s="187" t="s">
        <v>48</v>
      </c>
      <c r="D69" s="165"/>
      <c r="E69" s="134"/>
      <c r="F69" s="135"/>
      <c r="G69" s="136"/>
      <c r="I69" s="1"/>
      <c r="J69" s="1"/>
      <c r="K69" s="1"/>
      <c r="L69" s="1"/>
      <c r="M69" s="1"/>
      <c r="N69" s="1"/>
    </row>
    <row r="70" spans="1:14" s="8" customFormat="1">
      <c r="A70" s="1"/>
      <c r="B70" s="1108" t="s">
        <v>38</v>
      </c>
      <c r="C70" s="1109"/>
      <c r="D70" s="2235"/>
      <c r="E70" s="1109"/>
      <c r="F70" s="1109"/>
      <c r="G70" s="1110"/>
      <c r="I70" s="1"/>
      <c r="J70" s="1"/>
      <c r="K70" s="1"/>
      <c r="L70" s="1"/>
      <c r="M70" s="1"/>
      <c r="N70" s="1"/>
    </row>
    <row r="71" spans="1:14" s="8" customFormat="1">
      <c r="A71" s="1"/>
      <c r="B71" s="1111" t="s">
        <v>39</v>
      </c>
      <c r="C71" s="1112"/>
      <c r="D71" s="2236"/>
      <c r="E71" s="1112"/>
      <c r="F71" s="1112"/>
      <c r="G71" s="1113"/>
      <c r="I71" s="1"/>
      <c r="J71" s="1"/>
      <c r="K71" s="1"/>
      <c r="L71" s="1"/>
      <c r="M71" s="1"/>
      <c r="N71" s="1"/>
    </row>
    <row r="72" spans="1:14" s="8" customFormat="1">
      <c r="A72" s="1"/>
      <c r="B72" s="1108" t="s">
        <v>4</v>
      </c>
      <c r="C72" s="1109"/>
      <c r="D72" s="2237"/>
      <c r="E72" s="1109"/>
      <c r="F72" s="1109"/>
      <c r="G72" s="1110"/>
      <c r="I72" s="1"/>
      <c r="J72" s="1"/>
      <c r="K72" s="1"/>
      <c r="L72" s="1"/>
      <c r="M72" s="1"/>
      <c r="N72" s="1"/>
    </row>
    <row r="73" spans="1:14" s="8" customFormat="1">
      <c r="A73" s="1"/>
      <c r="B73" s="1111" t="s">
        <v>5</v>
      </c>
      <c r="C73" s="1112"/>
      <c r="D73" s="2236"/>
      <c r="E73" s="1112"/>
      <c r="F73" s="1112"/>
      <c r="G73" s="1113"/>
      <c r="I73" s="1"/>
      <c r="J73" s="1"/>
      <c r="K73" s="1"/>
      <c r="L73" s="1"/>
      <c r="M73" s="1"/>
      <c r="N73" s="1"/>
    </row>
    <row r="74" spans="1:14" s="8" customFormat="1">
      <c r="A74" s="1"/>
      <c r="B74" s="2399" t="s">
        <v>271</v>
      </c>
      <c r="C74" s="2400"/>
      <c r="D74" s="2400"/>
      <c r="E74" s="2400"/>
      <c r="F74" s="2400"/>
      <c r="G74" s="2401"/>
      <c r="I74" s="1"/>
      <c r="J74" s="1"/>
      <c r="K74" s="1"/>
      <c r="L74" s="1"/>
      <c r="M74" s="1"/>
      <c r="N74" s="1"/>
    </row>
    <row r="75" spans="1:14" s="8" customFormat="1">
      <c r="A75" s="1"/>
      <c r="B75" s="2399" t="s">
        <v>104</v>
      </c>
      <c r="C75" s="2400"/>
      <c r="D75" s="2400"/>
      <c r="E75" s="2400"/>
      <c r="F75" s="2400"/>
      <c r="G75" s="2401"/>
      <c r="I75" s="1"/>
      <c r="J75" s="1"/>
      <c r="K75" s="1"/>
      <c r="L75" s="1"/>
      <c r="M75" s="1"/>
      <c r="N75" s="1"/>
    </row>
    <row r="76" spans="1:14" s="8" customFormat="1">
      <c r="A76" s="1"/>
      <c r="B76" s="2399" t="s">
        <v>105</v>
      </c>
      <c r="C76" s="2400"/>
      <c r="D76" s="2400"/>
      <c r="E76" s="2400"/>
      <c r="F76" s="2400"/>
      <c r="G76" s="2401"/>
      <c r="I76" s="1"/>
      <c r="J76" s="1"/>
      <c r="K76" s="1"/>
      <c r="L76" s="1"/>
      <c r="M76" s="1"/>
      <c r="N76" s="1"/>
    </row>
    <row r="77" spans="1:14" s="8" customFormat="1">
      <c r="A77" s="1"/>
      <c r="B77" s="1115"/>
      <c r="C77" s="1116"/>
      <c r="D77" s="2238"/>
      <c r="E77" s="1116"/>
      <c r="F77" s="1116"/>
      <c r="G77" s="1117"/>
      <c r="I77" s="1"/>
      <c r="J77" s="1"/>
      <c r="K77" s="1"/>
      <c r="L77" s="1"/>
      <c r="M77" s="1"/>
      <c r="N77" s="1"/>
    </row>
    <row r="78" spans="1:14" ht="24">
      <c r="B78" s="188">
        <v>1</v>
      </c>
      <c r="C78" s="189" t="s">
        <v>106</v>
      </c>
      <c r="D78" s="190"/>
      <c r="E78" s="719"/>
      <c r="F78" s="1107"/>
      <c r="G78" s="731"/>
    </row>
    <row r="79" spans="1:14">
      <c r="B79" s="191"/>
      <c r="C79" s="192" t="s">
        <v>107</v>
      </c>
      <c r="D79" s="190" t="s">
        <v>57</v>
      </c>
      <c r="E79" s="719">
        <f>105*0.9</f>
        <v>94.5</v>
      </c>
      <c r="F79" s="1092">
        <v>0</v>
      </c>
      <c r="G79" s="1093">
        <f t="shared" ref="G79:G89" si="3">E79*F79</f>
        <v>0</v>
      </c>
    </row>
    <row r="80" spans="1:14" ht="24">
      <c r="B80" s="191"/>
      <c r="C80" s="192" t="s">
        <v>884</v>
      </c>
      <c r="D80" s="190" t="s">
        <v>57</v>
      </c>
      <c r="E80" s="719">
        <f>105*0.1</f>
        <v>10.5</v>
      </c>
      <c r="F80" s="1092">
        <v>0</v>
      </c>
      <c r="G80" s="1093">
        <f t="shared" si="3"/>
        <v>0</v>
      </c>
    </row>
    <row r="81" spans="2:7">
      <c r="B81" s="191"/>
      <c r="C81" s="192" t="s">
        <v>226</v>
      </c>
      <c r="D81" s="190" t="s">
        <v>57</v>
      </c>
      <c r="E81" s="719">
        <f>261*0.9</f>
        <v>234.9</v>
      </c>
      <c r="F81" s="1092">
        <v>0</v>
      </c>
      <c r="G81" s="1093">
        <f t="shared" si="3"/>
        <v>0</v>
      </c>
    </row>
    <row r="82" spans="2:7" ht="24">
      <c r="B82" s="191"/>
      <c r="C82" s="192" t="s">
        <v>227</v>
      </c>
      <c r="D82" s="190" t="s">
        <v>57</v>
      </c>
      <c r="E82" s="719">
        <f>261*0.1</f>
        <v>26.1</v>
      </c>
      <c r="F82" s="1092">
        <v>0</v>
      </c>
      <c r="G82" s="1093">
        <f t="shared" si="3"/>
        <v>0</v>
      </c>
    </row>
    <row r="83" spans="2:7">
      <c r="B83" s="191"/>
      <c r="C83" s="192" t="s">
        <v>109</v>
      </c>
      <c r="D83" s="190" t="s">
        <v>57</v>
      </c>
      <c r="E83" s="719">
        <f>45*0.9</f>
        <v>40.5</v>
      </c>
      <c r="F83" s="1092">
        <v>0</v>
      </c>
      <c r="G83" s="1093">
        <f t="shared" si="3"/>
        <v>0</v>
      </c>
    </row>
    <row r="84" spans="2:7" ht="24">
      <c r="B84" s="191"/>
      <c r="C84" s="192" t="s">
        <v>110</v>
      </c>
      <c r="D84" s="190" t="s">
        <v>57</v>
      </c>
      <c r="E84" s="719">
        <f>45*0.1</f>
        <v>4.5</v>
      </c>
      <c r="F84" s="1092">
        <v>0</v>
      </c>
      <c r="G84" s="1093">
        <f t="shared" si="3"/>
        <v>0</v>
      </c>
    </row>
    <row r="85" spans="2:7" ht="36">
      <c r="B85" s="2404" t="s">
        <v>111</v>
      </c>
      <c r="C85" s="193" t="s">
        <v>112</v>
      </c>
      <c r="D85" s="194"/>
      <c r="E85" s="719"/>
      <c r="F85" s="1092"/>
      <c r="G85" s="1093"/>
    </row>
    <row r="86" spans="2:7">
      <c r="B86" s="2405"/>
      <c r="C86" s="195" t="s">
        <v>113</v>
      </c>
      <c r="D86" s="194" t="s">
        <v>57</v>
      </c>
      <c r="E86" s="719">
        <v>15</v>
      </c>
      <c r="F86" s="1092">
        <v>0</v>
      </c>
      <c r="G86" s="1093">
        <f>E86*F86</f>
        <v>0</v>
      </c>
    </row>
    <row r="87" spans="2:7">
      <c r="B87" s="2405"/>
      <c r="C87" s="195" t="s">
        <v>274</v>
      </c>
      <c r="D87" s="194" t="s">
        <v>57</v>
      </c>
      <c r="E87" s="719">
        <v>40</v>
      </c>
      <c r="F87" s="1092">
        <v>0</v>
      </c>
      <c r="G87" s="1093">
        <f>E87*F87</f>
        <v>0</v>
      </c>
    </row>
    <row r="88" spans="2:7">
      <c r="B88" s="2413"/>
      <c r="C88" s="195" t="s">
        <v>275</v>
      </c>
      <c r="D88" s="194" t="s">
        <v>57</v>
      </c>
      <c r="E88" s="719">
        <v>10</v>
      </c>
      <c r="F88" s="1092">
        <v>0</v>
      </c>
      <c r="G88" s="1093">
        <f>E88*F88</f>
        <v>0</v>
      </c>
    </row>
    <row r="89" spans="2:7" ht="36">
      <c r="B89" s="196">
        <v>2</v>
      </c>
      <c r="C89" s="197" t="s">
        <v>114</v>
      </c>
      <c r="D89" s="145" t="s">
        <v>57</v>
      </c>
      <c r="E89" s="732">
        <f>SUM(E79:E84)</f>
        <v>411</v>
      </c>
      <c r="F89" s="1092">
        <v>0</v>
      </c>
      <c r="G89" s="1093">
        <f t="shared" si="3"/>
        <v>0</v>
      </c>
    </row>
    <row r="90" spans="2:7" ht="36">
      <c r="B90" s="199" t="s">
        <v>115</v>
      </c>
      <c r="C90" s="197" t="s">
        <v>116</v>
      </c>
      <c r="D90" s="145" t="s">
        <v>57</v>
      </c>
      <c r="E90" s="732">
        <f>E89</f>
        <v>411</v>
      </c>
      <c r="F90" s="1092">
        <v>0</v>
      </c>
      <c r="G90" s="1093">
        <f>E90*F90</f>
        <v>0</v>
      </c>
    </row>
    <row r="91" spans="2:7" ht="24">
      <c r="B91" s="199" t="s">
        <v>117</v>
      </c>
      <c r="C91" s="197" t="s">
        <v>118</v>
      </c>
      <c r="D91" s="145" t="s">
        <v>57</v>
      </c>
      <c r="E91" s="732">
        <f>E89</f>
        <v>411</v>
      </c>
      <c r="F91" s="1092">
        <v>0</v>
      </c>
      <c r="G91" s="1093">
        <f>E91*F91</f>
        <v>0</v>
      </c>
    </row>
    <row r="92" spans="2:7" ht="36">
      <c r="B92" s="199" t="s">
        <v>119</v>
      </c>
      <c r="C92" s="197" t="s">
        <v>120</v>
      </c>
      <c r="D92" s="145" t="s">
        <v>57</v>
      </c>
      <c r="E92" s="732">
        <f>E89</f>
        <v>411</v>
      </c>
      <c r="F92" s="1092">
        <v>0</v>
      </c>
      <c r="G92" s="1093">
        <f>E92*F92</f>
        <v>0</v>
      </c>
    </row>
    <row r="93" spans="2:7" ht="24">
      <c r="B93" s="188">
        <v>3</v>
      </c>
      <c r="C93" s="200" t="s">
        <v>121</v>
      </c>
      <c r="D93" s="140"/>
      <c r="E93" s="719"/>
      <c r="F93" s="1107">
        <v>0</v>
      </c>
      <c r="G93" s="731"/>
    </row>
    <row r="94" spans="2:7">
      <c r="B94" s="201" t="s">
        <v>122</v>
      </c>
      <c r="C94" s="202" t="s">
        <v>123</v>
      </c>
      <c r="D94" s="209"/>
      <c r="E94" s="204"/>
      <c r="F94" s="205"/>
      <c r="G94" s="206"/>
    </row>
    <row r="95" spans="2:7">
      <c r="B95" s="125"/>
      <c r="C95" s="202" t="s">
        <v>124</v>
      </c>
      <c r="D95" s="209"/>
      <c r="E95" s="204"/>
      <c r="F95" s="205"/>
      <c r="G95" s="206"/>
    </row>
    <row r="96" spans="2:7">
      <c r="B96" s="207"/>
      <c r="C96" s="208" t="s">
        <v>217</v>
      </c>
      <c r="D96" s="209" t="s">
        <v>66</v>
      </c>
      <c r="E96" s="204">
        <v>1</v>
      </c>
      <c r="F96" s="210">
        <v>0</v>
      </c>
      <c r="G96" s="211">
        <f>E96*F96</f>
        <v>0</v>
      </c>
    </row>
    <row r="97" spans="2:7">
      <c r="B97" s="207"/>
      <c r="C97" s="208" t="s">
        <v>1398</v>
      </c>
      <c r="D97" s="209" t="s">
        <v>66</v>
      </c>
      <c r="E97" s="204">
        <v>3</v>
      </c>
      <c r="F97" s="210">
        <v>0</v>
      </c>
      <c r="G97" s="211">
        <f>E97*F97</f>
        <v>0</v>
      </c>
    </row>
    <row r="98" spans="2:7">
      <c r="B98" s="201" t="s">
        <v>126</v>
      </c>
      <c r="C98" s="212" t="s">
        <v>127</v>
      </c>
      <c r="D98" s="1228"/>
      <c r="E98" s="214"/>
      <c r="F98" s="215">
        <v>0</v>
      </c>
      <c r="G98" s="216"/>
    </row>
    <row r="99" spans="2:7">
      <c r="B99" s="218"/>
      <c r="C99" s="212" t="s">
        <v>128</v>
      </c>
      <c r="D99" s="2239"/>
      <c r="E99" s="736"/>
      <c r="F99" s="1601"/>
      <c r="G99" s="1121"/>
    </row>
    <row r="100" spans="2:7">
      <c r="B100" s="218"/>
      <c r="C100" s="219" t="s">
        <v>129</v>
      </c>
      <c r="D100" s="1228" t="s">
        <v>66</v>
      </c>
      <c r="E100" s="214">
        <v>1</v>
      </c>
      <c r="F100" s="1599">
        <v>0</v>
      </c>
      <c r="G100" s="221">
        <f t="shared" ref="G100:G118" si="4">E100*F100</f>
        <v>0</v>
      </c>
    </row>
    <row r="101" spans="2:7" ht="36">
      <c r="B101" s="218"/>
      <c r="C101" s="222" t="s">
        <v>130</v>
      </c>
      <c r="D101" s="1228" t="s">
        <v>66</v>
      </c>
      <c r="E101" s="214">
        <v>1</v>
      </c>
      <c r="F101" s="1599">
        <v>0</v>
      </c>
      <c r="G101" s="221">
        <f t="shared" si="4"/>
        <v>0</v>
      </c>
    </row>
    <row r="102" spans="2:7">
      <c r="B102" s="218"/>
      <c r="C102" s="222" t="s">
        <v>183</v>
      </c>
      <c r="D102" s="1228" t="s">
        <v>66</v>
      </c>
      <c r="E102" s="214">
        <v>1</v>
      </c>
      <c r="F102" s="1599">
        <v>0</v>
      </c>
      <c r="G102" s="221">
        <f t="shared" si="4"/>
        <v>0</v>
      </c>
    </row>
    <row r="103" spans="2:7">
      <c r="B103" s="218"/>
      <c r="C103" s="222" t="s">
        <v>131</v>
      </c>
      <c r="D103" s="1228" t="s">
        <v>66</v>
      </c>
      <c r="E103" s="214">
        <v>1</v>
      </c>
      <c r="F103" s="1599">
        <v>0</v>
      </c>
      <c r="G103" s="221">
        <f t="shared" si="4"/>
        <v>0</v>
      </c>
    </row>
    <row r="104" spans="2:7">
      <c r="B104" s="218"/>
      <c r="C104" s="222" t="s">
        <v>132</v>
      </c>
      <c r="D104" s="1228" t="s">
        <v>66</v>
      </c>
      <c r="E104" s="214">
        <v>2</v>
      </c>
      <c r="F104" s="1599">
        <v>0</v>
      </c>
      <c r="G104" s="221">
        <f t="shared" si="4"/>
        <v>0</v>
      </c>
    </row>
    <row r="105" spans="2:7">
      <c r="B105" s="218"/>
      <c r="C105" s="222" t="s">
        <v>133</v>
      </c>
      <c r="D105" s="1228" t="s">
        <v>66</v>
      </c>
      <c r="E105" s="214">
        <v>2</v>
      </c>
      <c r="F105" s="1599">
        <v>0</v>
      </c>
      <c r="G105" s="221">
        <f t="shared" si="4"/>
        <v>0</v>
      </c>
    </row>
    <row r="106" spans="2:7">
      <c r="B106" s="218"/>
      <c r="C106" s="222" t="s">
        <v>134</v>
      </c>
      <c r="D106" s="1228" t="s">
        <v>66</v>
      </c>
      <c r="E106" s="214">
        <v>1</v>
      </c>
      <c r="F106" s="1599">
        <v>0</v>
      </c>
      <c r="G106" s="221">
        <f t="shared" si="4"/>
        <v>0</v>
      </c>
    </row>
    <row r="107" spans="2:7">
      <c r="B107" s="218"/>
      <c r="C107" s="222" t="s">
        <v>135</v>
      </c>
      <c r="D107" s="1228" t="s">
        <v>66</v>
      </c>
      <c r="E107" s="214">
        <v>1</v>
      </c>
      <c r="F107" s="1599">
        <v>0</v>
      </c>
      <c r="G107" s="221">
        <f t="shared" si="4"/>
        <v>0</v>
      </c>
    </row>
    <row r="108" spans="2:7">
      <c r="B108" s="218"/>
      <c r="C108" s="212" t="s">
        <v>318</v>
      </c>
      <c r="D108" s="2239"/>
      <c r="E108" s="736"/>
      <c r="F108" s="1599"/>
      <c r="G108" s="221"/>
    </row>
    <row r="109" spans="2:7">
      <c r="B109" s="218"/>
      <c r="C109" s="219" t="s">
        <v>319</v>
      </c>
      <c r="D109" s="1228" t="s">
        <v>66</v>
      </c>
      <c r="E109" s="214">
        <v>3</v>
      </c>
      <c r="F109" s="1599">
        <v>0</v>
      </c>
      <c r="G109" s="221">
        <f t="shared" si="4"/>
        <v>0</v>
      </c>
    </row>
    <row r="110" spans="2:7" ht="36">
      <c r="B110" s="218"/>
      <c r="C110" s="222" t="s">
        <v>283</v>
      </c>
      <c r="D110" s="1228" t="s">
        <v>66</v>
      </c>
      <c r="E110" s="214">
        <v>3</v>
      </c>
      <c r="F110" s="1599">
        <v>0</v>
      </c>
      <c r="G110" s="221">
        <f t="shared" si="4"/>
        <v>0</v>
      </c>
    </row>
    <row r="111" spans="2:7">
      <c r="B111" s="218"/>
      <c r="C111" s="222" t="s">
        <v>183</v>
      </c>
      <c r="D111" s="1228" t="s">
        <v>66</v>
      </c>
      <c r="E111" s="214">
        <v>3</v>
      </c>
      <c r="F111" s="1599">
        <v>0</v>
      </c>
      <c r="G111" s="221">
        <f t="shared" si="4"/>
        <v>0</v>
      </c>
    </row>
    <row r="112" spans="2:7">
      <c r="B112" s="218"/>
      <c r="C112" s="222" t="s">
        <v>131</v>
      </c>
      <c r="D112" s="1228" t="s">
        <v>66</v>
      </c>
      <c r="E112" s="214">
        <v>3</v>
      </c>
      <c r="F112" s="1599">
        <v>0</v>
      </c>
      <c r="G112" s="221">
        <f t="shared" si="4"/>
        <v>0</v>
      </c>
    </row>
    <row r="113" spans="2:7">
      <c r="B113" s="218"/>
      <c r="C113" s="1133" t="s">
        <v>166</v>
      </c>
      <c r="D113" s="1228" t="s">
        <v>66</v>
      </c>
      <c r="E113" s="214">
        <v>6</v>
      </c>
      <c r="F113" s="1599">
        <v>0</v>
      </c>
      <c r="G113" s="221">
        <f t="shared" si="4"/>
        <v>0</v>
      </c>
    </row>
    <row r="114" spans="2:7">
      <c r="B114" s="218"/>
      <c r="C114" s="1133" t="s">
        <v>167</v>
      </c>
      <c r="D114" s="1228" t="s">
        <v>66</v>
      </c>
      <c r="E114" s="214">
        <v>6</v>
      </c>
      <c r="F114" s="1599">
        <v>0</v>
      </c>
      <c r="G114" s="221">
        <f t="shared" si="4"/>
        <v>0</v>
      </c>
    </row>
    <row r="115" spans="2:7">
      <c r="B115" s="218"/>
      <c r="C115" s="1133" t="s">
        <v>229</v>
      </c>
      <c r="D115" s="1228" t="s">
        <v>66</v>
      </c>
      <c r="E115" s="214">
        <v>6</v>
      </c>
      <c r="F115" s="1599">
        <v>0</v>
      </c>
      <c r="G115" s="221">
        <f t="shared" si="4"/>
        <v>0</v>
      </c>
    </row>
    <row r="116" spans="2:7">
      <c r="B116" s="218"/>
      <c r="C116" s="1133" t="s">
        <v>230</v>
      </c>
      <c r="D116" s="1228" t="s">
        <v>66</v>
      </c>
      <c r="E116" s="214">
        <v>6</v>
      </c>
      <c r="F116" s="1599">
        <v>0</v>
      </c>
      <c r="G116" s="221">
        <f t="shared" si="4"/>
        <v>0</v>
      </c>
    </row>
    <row r="117" spans="2:7">
      <c r="B117" s="218"/>
      <c r="C117" s="1133" t="s">
        <v>134</v>
      </c>
      <c r="D117" s="1228" t="s">
        <v>66</v>
      </c>
      <c r="E117" s="214">
        <v>3</v>
      </c>
      <c r="F117" s="1599">
        <v>0</v>
      </c>
      <c r="G117" s="221">
        <f t="shared" si="4"/>
        <v>0</v>
      </c>
    </row>
    <row r="118" spans="2:7">
      <c r="B118" s="218"/>
      <c r="C118" s="1134" t="s">
        <v>135</v>
      </c>
      <c r="D118" s="1228" t="s">
        <v>66</v>
      </c>
      <c r="E118" s="214">
        <v>3</v>
      </c>
      <c r="F118" s="1599">
        <v>0</v>
      </c>
      <c r="G118" s="221">
        <f t="shared" si="4"/>
        <v>0</v>
      </c>
    </row>
    <row r="119" spans="2:7">
      <c r="B119" s="201" t="s">
        <v>136</v>
      </c>
      <c r="C119" s="238" t="s">
        <v>320</v>
      </c>
      <c r="D119" s="260"/>
      <c r="E119" s="240"/>
      <c r="F119" s="241"/>
      <c r="G119" s="242"/>
    </row>
    <row r="120" spans="2:7">
      <c r="B120" s="218"/>
      <c r="C120" s="238" t="s">
        <v>326</v>
      </c>
      <c r="D120" s="185"/>
      <c r="E120" s="741"/>
      <c r="F120" s="1611"/>
      <c r="G120" s="263"/>
    </row>
    <row r="121" spans="2:7" ht="26.25" customHeight="1">
      <c r="B121" s="218"/>
      <c r="C121" s="1123" t="s">
        <v>322</v>
      </c>
      <c r="D121" s="260" t="s">
        <v>66</v>
      </c>
      <c r="E121" s="240">
        <v>3</v>
      </c>
      <c r="F121" s="1609">
        <v>0</v>
      </c>
      <c r="G121" s="245">
        <f t="shared" ref="G121:G123" si="5">E121*F121</f>
        <v>0</v>
      </c>
    </row>
    <row r="122" spans="2:7">
      <c r="B122" s="218"/>
      <c r="C122" s="246" t="s">
        <v>325</v>
      </c>
      <c r="D122" s="260" t="s">
        <v>66</v>
      </c>
      <c r="E122" s="240">
        <v>3</v>
      </c>
      <c r="F122" s="1609">
        <v>0</v>
      </c>
      <c r="G122" s="245">
        <f t="shared" si="5"/>
        <v>0</v>
      </c>
    </row>
    <row r="123" spans="2:7">
      <c r="B123" s="218"/>
      <c r="C123" s="247" t="s">
        <v>135</v>
      </c>
      <c r="D123" s="260" t="s">
        <v>66</v>
      </c>
      <c r="E123" s="240">
        <v>3</v>
      </c>
      <c r="F123" s="1609">
        <v>0</v>
      </c>
      <c r="G123" s="245">
        <f t="shared" si="5"/>
        <v>0</v>
      </c>
    </row>
    <row r="124" spans="2:7">
      <c r="B124" s="201" t="s">
        <v>151</v>
      </c>
      <c r="C124" s="223" t="s">
        <v>137</v>
      </c>
      <c r="D124" s="1232"/>
      <c r="E124" s="225"/>
      <c r="F124" s="226"/>
      <c r="G124" s="227"/>
    </row>
    <row r="125" spans="2:7">
      <c r="B125" s="218"/>
      <c r="C125" s="223" t="s">
        <v>138</v>
      </c>
      <c r="D125" s="2240"/>
      <c r="E125" s="738"/>
      <c r="F125" s="1605"/>
      <c r="G125" s="1125"/>
    </row>
    <row r="126" spans="2:7">
      <c r="B126" s="218"/>
      <c r="C126" s="228" t="s">
        <v>129</v>
      </c>
      <c r="D126" s="1232" t="s">
        <v>66</v>
      </c>
      <c r="E126" s="225">
        <v>1</v>
      </c>
      <c r="F126" s="1603">
        <v>0</v>
      </c>
      <c r="G126" s="230">
        <f t="shared" ref="G126:G141" si="6">E126*F126</f>
        <v>0</v>
      </c>
    </row>
    <row r="127" spans="2:7">
      <c r="B127" s="218"/>
      <c r="C127" s="228" t="s">
        <v>139</v>
      </c>
      <c r="D127" s="1232" t="s">
        <v>66</v>
      </c>
      <c r="E127" s="225">
        <v>2</v>
      </c>
      <c r="F127" s="1603">
        <v>0</v>
      </c>
      <c r="G127" s="230">
        <f t="shared" si="6"/>
        <v>0</v>
      </c>
    </row>
    <row r="128" spans="2:7">
      <c r="B128" s="218"/>
      <c r="C128" s="231" t="s">
        <v>140</v>
      </c>
      <c r="D128" s="1232" t="s">
        <v>66</v>
      </c>
      <c r="E128" s="225">
        <v>1</v>
      </c>
      <c r="F128" s="1603">
        <v>0</v>
      </c>
      <c r="G128" s="230">
        <f t="shared" si="6"/>
        <v>0</v>
      </c>
    </row>
    <row r="129" spans="2:7">
      <c r="B129" s="218"/>
      <c r="C129" s="231" t="s">
        <v>141</v>
      </c>
      <c r="D129" s="1232" t="s">
        <v>66</v>
      </c>
      <c r="E129" s="225">
        <v>1</v>
      </c>
      <c r="F129" s="1603">
        <v>0</v>
      </c>
      <c r="G129" s="230">
        <f t="shared" si="6"/>
        <v>0</v>
      </c>
    </row>
    <row r="130" spans="2:7">
      <c r="B130" s="218"/>
      <c r="C130" s="231" t="s">
        <v>142</v>
      </c>
      <c r="D130" s="1232" t="s">
        <v>66</v>
      </c>
      <c r="E130" s="225">
        <v>1</v>
      </c>
      <c r="F130" s="1603">
        <v>0</v>
      </c>
      <c r="G130" s="230">
        <f t="shared" si="6"/>
        <v>0</v>
      </c>
    </row>
    <row r="131" spans="2:7">
      <c r="B131" s="218"/>
      <c r="C131" s="231" t="s">
        <v>143</v>
      </c>
      <c r="D131" s="1232" t="s">
        <v>66</v>
      </c>
      <c r="E131" s="225">
        <v>1</v>
      </c>
      <c r="F131" s="1603">
        <v>0</v>
      </c>
      <c r="G131" s="230">
        <f t="shared" si="6"/>
        <v>0</v>
      </c>
    </row>
    <row r="132" spans="2:7">
      <c r="B132" s="218"/>
      <c r="C132" s="231" t="s">
        <v>2250</v>
      </c>
      <c r="D132" s="1232" t="s">
        <v>66</v>
      </c>
      <c r="E132" s="225">
        <v>1</v>
      </c>
      <c r="F132" s="1603">
        <v>0</v>
      </c>
      <c r="G132" s="230">
        <f t="shared" si="6"/>
        <v>0</v>
      </c>
    </row>
    <row r="133" spans="2:7">
      <c r="B133" s="218"/>
      <c r="C133" s="231" t="s">
        <v>145</v>
      </c>
      <c r="D133" s="1232" t="s">
        <v>66</v>
      </c>
      <c r="E133" s="225">
        <v>1</v>
      </c>
      <c r="F133" s="1603">
        <v>0</v>
      </c>
      <c r="G133" s="230">
        <f t="shared" si="6"/>
        <v>0</v>
      </c>
    </row>
    <row r="134" spans="2:7">
      <c r="B134" s="218"/>
      <c r="C134" s="231" t="s">
        <v>146</v>
      </c>
      <c r="D134" s="1232" t="s">
        <v>66</v>
      </c>
      <c r="E134" s="225">
        <v>1</v>
      </c>
      <c r="F134" s="1603">
        <v>0</v>
      </c>
      <c r="G134" s="230">
        <f t="shared" si="6"/>
        <v>0</v>
      </c>
    </row>
    <row r="135" spans="2:7">
      <c r="B135" s="218"/>
      <c r="C135" s="739" t="s">
        <v>147</v>
      </c>
      <c r="D135" s="1232" t="s">
        <v>66</v>
      </c>
      <c r="E135" s="225">
        <v>1</v>
      </c>
      <c r="F135" s="1603">
        <v>0</v>
      </c>
      <c r="G135" s="230">
        <f t="shared" si="6"/>
        <v>0</v>
      </c>
    </row>
    <row r="136" spans="2:7">
      <c r="B136" s="218"/>
      <c r="C136" s="739" t="s">
        <v>188</v>
      </c>
      <c r="D136" s="1232" t="s">
        <v>66</v>
      </c>
      <c r="E136" s="225">
        <v>1</v>
      </c>
      <c r="F136" s="1603">
        <v>0</v>
      </c>
      <c r="G136" s="230">
        <f t="shared" si="6"/>
        <v>0</v>
      </c>
    </row>
    <row r="137" spans="2:7">
      <c r="B137" s="218"/>
      <c r="C137" s="739" t="s">
        <v>132</v>
      </c>
      <c r="D137" s="1232" t="s">
        <v>66</v>
      </c>
      <c r="E137" s="225">
        <v>2</v>
      </c>
      <c r="F137" s="1603">
        <v>0</v>
      </c>
      <c r="G137" s="230">
        <f t="shared" si="6"/>
        <v>0</v>
      </c>
    </row>
    <row r="138" spans="2:7">
      <c r="B138" s="218"/>
      <c r="C138" s="739" t="s">
        <v>148</v>
      </c>
      <c r="D138" s="1232" t="s">
        <v>66</v>
      </c>
      <c r="E138" s="225">
        <v>2</v>
      </c>
      <c r="F138" s="1603">
        <v>0</v>
      </c>
      <c r="G138" s="230">
        <f t="shared" si="6"/>
        <v>0</v>
      </c>
    </row>
    <row r="139" spans="2:7">
      <c r="B139" s="218"/>
      <c r="C139" s="739" t="s">
        <v>149</v>
      </c>
      <c r="D139" s="1232" t="s">
        <v>66</v>
      </c>
      <c r="E139" s="225">
        <v>1</v>
      </c>
      <c r="F139" s="1603">
        <v>0</v>
      </c>
      <c r="G139" s="230">
        <f t="shared" si="6"/>
        <v>0</v>
      </c>
    </row>
    <row r="140" spans="2:7">
      <c r="B140" s="218"/>
      <c r="C140" s="739" t="s">
        <v>150</v>
      </c>
      <c r="D140" s="1232" t="s">
        <v>66</v>
      </c>
      <c r="E140" s="225">
        <v>3</v>
      </c>
      <c r="F140" s="1603">
        <v>0</v>
      </c>
      <c r="G140" s="230">
        <f t="shared" si="6"/>
        <v>0</v>
      </c>
    </row>
    <row r="141" spans="2:7">
      <c r="B141" s="218"/>
      <c r="C141" s="740" t="s">
        <v>135</v>
      </c>
      <c r="D141" s="1232" t="s">
        <v>66</v>
      </c>
      <c r="E141" s="225">
        <v>1</v>
      </c>
      <c r="F141" s="1603">
        <v>0</v>
      </c>
      <c r="G141" s="230">
        <f t="shared" si="6"/>
        <v>0</v>
      </c>
    </row>
    <row r="142" spans="2:7">
      <c r="B142" s="201" t="s">
        <v>159</v>
      </c>
      <c r="C142" s="212" t="s">
        <v>152</v>
      </c>
      <c r="D142" s="1228"/>
      <c r="E142" s="214"/>
      <c r="F142" s="215"/>
      <c r="G142" s="216"/>
    </row>
    <row r="143" spans="2:7">
      <c r="B143" s="218"/>
      <c r="C143" s="212" t="s">
        <v>153</v>
      </c>
      <c r="D143" s="2239"/>
      <c r="E143" s="736"/>
      <c r="F143" s="1601"/>
      <c r="G143" s="1121"/>
    </row>
    <row r="144" spans="2:7">
      <c r="B144" s="218"/>
      <c r="C144" s="219" t="s">
        <v>129</v>
      </c>
      <c r="D144" s="1228" t="s">
        <v>66</v>
      </c>
      <c r="E144" s="214">
        <v>1</v>
      </c>
      <c r="F144" s="1599">
        <v>0</v>
      </c>
      <c r="G144" s="221">
        <f t="shared" ref="G144:G154" si="7">E144*F144</f>
        <v>0</v>
      </c>
    </row>
    <row r="145" spans="2:7" ht="24">
      <c r="B145" s="218"/>
      <c r="C145" s="222" t="s">
        <v>154</v>
      </c>
      <c r="D145" s="1228" t="s">
        <v>66</v>
      </c>
      <c r="E145" s="214">
        <v>1</v>
      </c>
      <c r="F145" s="1599">
        <v>0</v>
      </c>
      <c r="G145" s="221">
        <f t="shared" si="7"/>
        <v>0</v>
      </c>
    </row>
    <row r="146" spans="2:7">
      <c r="B146" s="218"/>
      <c r="C146" s="222" t="s">
        <v>155</v>
      </c>
      <c r="D146" s="1228" t="s">
        <v>66</v>
      </c>
      <c r="E146" s="214">
        <v>1</v>
      </c>
      <c r="F146" s="1599">
        <v>0</v>
      </c>
      <c r="G146" s="221">
        <f t="shared" si="7"/>
        <v>0</v>
      </c>
    </row>
    <row r="147" spans="2:7">
      <c r="B147" s="218"/>
      <c r="C147" s="222" t="s">
        <v>330</v>
      </c>
      <c r="D147" s="1228" t="s">
        <v>66</v>
      </c>
      <c r="E147" s="214">
        <v>1</v>
      </c>
      <c r="F147" s="1599">
        <v>0</v>
      </c>
      <c r="G147" s="221">
        <f t="shared" si="7"/>
        <v>0</v>
      </c>
    </row>
    <row r="148" spans="2:7">
      <c r="B148" s="218"/>
      <c r="C148" s="222" t="s">
        <v>157</v>
      </c>
      <c r="D148" s="1228" t="s">
        <v>66</v>
      </c>
      <c r="E148" s="214">
        <v>1</v>
      </c>
      <c r="F148" s="1599">
        <v>0</v>
      </c>
      <c r="G148" s="221">
        <f t="shared" si="7"/>
        <v>0</v>
      </c>
    </row>
    <row r="149" spans="2:7">
      <c r="B149" s="218"/>
      <c r="C149" s="234" t="s">
        <v>158</v>
      </c>
      <c r="D149" s="1228" t="s">
        <v>66</v>
      </c>
      <c r="E149" s="214">
        <v>1</v>
      </c>
      <c r="F149" s="1599">
        <v>0</v>
      </c>
      <c r="G149" s="221">
        <f t="shared" si="7"/>
        <v>0</v>
      </c>
    </row>
    <row r="150" spans="2:7">
      <c r="B150" s="218"/>
      <c r="C150" s="234" t="s">
        <v>190</v>
      </c>
      <c r="D150" s="1228" t="s">
        <v>66</v>
      </c>
      <c r="E150" s="214">
        <v>1</v>
      </c>
      <c r="F150" s="1599">
        <v>0</v>
      </c>
      <c r="G150" s="221">
        <f t="shared" si="7"/>
        <v>0</v>
      </c>
    </row>
    <row r="151" spans="2:7">
      <c r="B151" s="218"/>
      <c r="C151" s="234" t="s">
        <v>132</v>
      </c>
      <c r="D151" s="1228" t="s">
        <v>66</v>
      </c>
      <c r="E151" s="214">
        <v>2</v>
      </c>
      <c r="F151" s="1599">
        <v>0</v>
      </c>
      <c r="G151" s="221">
        <f t="shared" si="7"/>
        <v>0</v>
      </c>
    </row>
    <row r="152" spans="2:7">
      <c r="B152" s="218"/>
      <c r="C152" s="234" t="s">
        <v>148</v>
      </c>
      <c r="D152" s="1228" t="s">
        <v>66</v>
      </c>
      <c r="E152" s="214">
        <v>2</v>
      </c>
      <c r="F152" s="1599">
        <v>0</v>
      </c>
      <c r="G152" s="221">
        <f t="shared" si="7"/>
        <v>0</v>
      </c>
    </row>
    <row r="153" spans="2:7">
      <c r="B153" s="218"/>
      <c r="C153" s="234" t="s">
        <v>150</v>
      </c>
      <c r="D153" s="1228" t="s">
        <v>66</v>
      </c>
      <c r="E153" s="214">
        <v>1</v>
      </c>
      <c r="F153" s="1599">
        <v>0</v>
      </c>
      <c r="G153" s="221">
        <f t="shared" si="7"/>
        <v>0</v>
      </c>
    </row>
    <row r="154" spans="2:7">
      <c r="B154" s="218"/>
      <c r="C154" s="235" t="s">
        <v>135</v>
      </c>
      <c r="D154" s="1228" t="s">
        <v>66</v>
      </c>
      <c r="E154" s="214">
        <v>1</v>
      </c>
      <c r="F154" s="1599">
        <v>0</v>
      </c>
      <c r="G154" s="221">
        <f t="shared" si="7"/>
        <v>0</v>
      </c>
    </row>
    <row r="155" spans="2:7" ht="24">
      <c r="B155" s="199" t="s">
        <v>331</v>
      </c>
      <c r="C155" s="212" t="s">
        <v>332</v>
      </c>
      <c r="D155" s="2239" t="s">
        <v>66</v>
      </c>
      <c r="E155" s="736">
        <v>1</v>
      </c>
      <c r="F155" s="1126">
        <v>0</v>
      </c>
      <c r="G155" s="1121">
        <f>E155*F155</f>
        <v>0</v>
      </c>
    </row>
    <row r="156" spans="2:7">
      <c r="B156" s="201" t="s">
        <v>168</v>
      </c>
      <c r="C156" s="223" t="s">
        <v>886</v>
      </c>
      <c r="D156" s="1232"/>
      <c r="E156" s="225"/>
      <c r="F156" s="226"/>
      <c r="G156" s="227"/>
    </row>
    <row r="157" spans="2:7">
      <c r="B157" s="218"/>
      <c r="C157" s="223" t="s">
        <v>220</v>
      </c>
      <c r="D157" s="2240"/>
      <c r="E157" s="738"/>
      <c r="F157" s="1605"/>
      <c r="G157" s="1608"/>
    </row>
    <row r="158" spans="2:7" ht="24">
      <c r="B158" s="218"/>
      <c r="C158" s="228" t="s">
        <v>2249</v>
      </c>
      <c r="D158" s="1232" t="s">
        <v>66</v>
      </c>
      <c r="E158" s="225">
        <v>1</v>
      </c>
      <c r="F158" s="1768">
        <v>0</v>
      </c>
      <c r="G158" s="1714">
        <f t="shared" ref="G158:G171" si="8">E158*F158</f>
        <v>0</v>
      </c>
    </row>
    <row r="159" spans="2:7">
      <c r="B159" s="218"/>
      <c r="C159" s="739" t="s">
        <v>184</v>
      </c>
      <c r="D159" s="1232" t="s">
        <v>66</v>
      </c>
      <c r="E159" s="225">
        <v>2</v>
      </c>
      <c r="F159" s="1768">
        <v>0</v>
      </c>
      <c r="G159" s="1714">
        <f t="shared" si="8"/>
        <v>0</v>
      </c>
    </row>
    <row r="160" spans="2:7">
      <c r="B160" s="218"/>
      <c r="C160" s="739" t="s">
        <v>132</v>
      </c>
      <c r="D160" s="1232" t="s">
        <v>66</v>
      </c>
      <c r="E160" s="225">
        <v>1</v>
      </c>
      <c r="F160" s="1768">
        <v>0</v>
      </c>
      <c r="G160" s="1714">
        <f t="shared" si="8"/>
        <v>0</v>
      </c>
    </row>
    <row r="161" spans="2:8">
      <c r="B161" s="218"/>
      <c r="C161" s="739" t="s">
        <v>150</v>
      </c>
      <c r="D161" s="1232" t="s">
        <v>66</v>
      </c>
      <c r="E161" s="225">
        <v>1</v>
      </c>
      <c r="F161" s="1768">
        <v>0</v>
      </c>
      <c r="G161" s="1714">
        <f t="shared" si="8"/>
        <v>0</v>
      </c>
    </row>
    <row r="162" spans="2:8">
      <c r="B162" s="218"/>
      <c r="C162" s="740" t="s">
        <v>135</v>
      </c>
      <c r="D162" s="1232" t="s">
        <v>66</v>
      </c>
      <c r="E162" s="225">
        <v>1</v>
      </c>
      <c r="F162" s="1768">
        <v>0</v>
      </c>
      <c r="G162" s="1714">
        <f t="shared" si="8"/>
        <v>0</v>
      </c>
    </row>
    <row r="163" spans="2:8">
      <c r="B163" s="218"/>
      <c r="C163" s="223" t="s">
        <v>888</v>
      </c>
      <c r="D163" s="2240"/>
      <c r="E163" s="738"/>
      <c r="F163" s="1768"/>
      <c r="G163" s="1714"/>
    </row>
    <row r="164" spans="2:8" ht="24">
      <c r="B164" s="218"/>
      <c r="C164" s="228" t="s">
        <v>2251</v>
      </c>
      <c r="D164" s="1232" t="s">
        <v>66</v>
      </c>
      <c r="E164" s="225">
        <v>2</v>
      </c>
      <c r="F164" s="1768">
        <v>0</v>
      </c>
      <c r="G164" s="1714">
        <f t="shared" si="8"/>
        <v>0</v>
      </c>
    </row>
    <row r="165" spans="2:8">
      <c r="B165" s="218"/>
      <c r="C165" s="232" t="s">
        <v>184</v>
      </c>
      <c r="D165" s="1232" t="s">
        <v>66</v>
      </c>
      <c r="E165" s="225">
        <v>4</v>
      </c>
      <c r="F165" s="1768">
        <v>0</v>
      </c>
      <c r="G165" s="1714">
        <f t="shared" si="8"/>
        <v>0</v>
      </c>
    </row>
    <row r="166" spans="2:8">
      <c r="B166" s="218"/>
      <c r="C166" s="232" t="s">
        <v>166</v>
      </c>
      <c r="D166" s="1232" t="s">
        <v>66</v>
      </c>
      <c r="E166" s="225">
        <v>2</v>
      </c>
      <c r="F166" s="1768">
        <v>0</v>
      </c>
      <c r="G166" s="1714">
        <f t="shared" si="8"/>
        <v>0</v>
      </c>
    </row>
    <row r="167" spans="2:8">
      <c r="B167" s="218"/>
      <c r="C167" s="232" t="s">
        <v>167</v>
      </c>
      <c r="D167" s="1232" t="s">
        <v>66</v>
      </c>
      <c r="E167" s="225">
        <v>2</v>
      </c>
      <c r="F167" s="1768">
        <v>0</v>
      </c>
      <c r="G167" s="1714">
        <f t="shared" si="8"/>
        <v>0</v>
      </c>
    </row>
    <row r="168" spans="2:8">
      <c r="B168" s="218"/>
      <c r="C168" s="232" t="s">
        <v>229</v>
      </c>
      <c r="D168" s="1232" t="s">
        <v>66</v>
      </c>
      <c r="E168" s="225">
        <v>2</v>
      </c>
      <c r="F168" s="1768">
        <v>0</v>
      </c>
      <c r="G168" s="1714">
        <f t="shared" si="8"/>
        <v>0</v>
      </c>
    </row>
    <row r="169" spans="2:8">
      <c r="B169" s="218"/>
      <c r="C169" s="232" t="s">
        <v>230</v>
      </c>
      <c r="D169" s="1232" t="s">
        <v>66</v>
      </c>
      <c r="E169" s="225">
        <v>2</v>
      </c>
      <c r="F169" s="1768">
        <v>0</v>
      </c>
      <c r="G169" s="1714">
        <f t="shared" si="8"/>
        <v>0</v>
      </c>
    </row>
    <row r="170" spans="2:8">
      <c r="B170" s="218"/>
      <c r="C170" s="232" t="s">
        <v>150</v>
      </c>
      <c r="D170" s="1232" t="s">
        <v>66</v>
      </c>
      <c r="E170" s="225">
        <v>2</v>
      </c>
      <c r="F170" s="1768">
        <v>0</v>
      </c>
      <c r="G170" s="1714">
        <f t="shared" si="8"/>
        <v>0</v>
      </c>
    </row>
    <row r="171" spans="2:8">
      <c r="B171" s="218"/>
      <c r="C171" s="233" t="s">
        <v>135</v>
      </c>
      <c r="D171" s="1232" t="s">
        <v>66</v>
      </c>
      <c r="E171" s="225">
        <v>2</v>
      </c>
      <c r="F171" s="1768">
        <v>0</v>
      </c>
      <c r="G171" s="1714">
        <f t="shared" si="8"/>
        <v>0</v>
      </c>
    </row>
    <row r="172" spans="2:8">
      <c r="B172" s="218"/>
      <c r="C172" s="223" t="s">
        <v>1432</v>
      </c>
      <c r="D172" s="2240"/>
      <c r="E172" s="738"/>
      <c r="F172" s="1605"/>
      <c r="G172" s="1645"/>
    </row>
    <row r="173" spans="2:8" s="217" customFormat="1">
      <c r="B173" s="218"/>
      <c r="C173" s="1655" t="s">
        <v>148</v>
      </c>
      <c r="D173" s="1232" t="s">
        <v>66</v>
      </c>
      <c r="E173" s="225">
        <v>1</v>
      </c>
      <c r="F173" s="1768">
        <v>0</v>
      </c>
      <c r="G173" s="1714">
        <f t="shared" ref="G173:G175" si="9">E173*F173</f>
        <v>0</v>
      </c>
      <c r="H173" s="1703"/>
    </row>
    <row r="174" spans="2:8" s="217" customFormat="1">
      <c r="B174" s="218"/>
      <c r="C174" s="1655" t="s">
        <v>2256</v>
      </c>
      <c r="D174" s="1232" t="s">
        <v>66</v>
      </c>
      <c r="E174" s="225">
        <v>1</v>
      </c>
      <c r="F174" s="1768">
        <v>0</v>
      </c>
      <c r="G174" s="1714">
        <f t="shared" si="9"/>
        <v>0</v>
      </c>
      <c r="H174" s="1703"/>
    </row>
    <row r="175" spans="2:8" s="217" customFormat="1">
      <c r="B175" s="218"/>
      <c r="C175" s="1655" t="s">
        <v>230</v>
      </c>
      <c r="D175" s="1232" t="s">
        <v>66</v>
      </c>
      <c r="E175" s="225">
        <v>1</v>
      </c>
      <c r="F175" s="1768">
        <v>0</v>
      </c>
      <c r="G175" s="1714">
        <f t="shared" si="9"/>
        <v>0</v>
      </c>
      <c r="H175" s="1703"/>
    </row>
    <row r="176" spans="2:8">
      <c r="B176" s="218"/>
      <c r="C176" s="223" t="s">
        <v>1395</v>
      </c>
      <c r="D176" s="2240"/>
      <c r="E176" s="738"/>
      <c r="F176" s="1605"/>
      <c r="G176" s="1646"/>
    </row>
    <row r="177" spans="2:8" s="217" customFormat="1">
      <c r="B177" s="218"/>
      <c r="C177" s="1655" t="s">
        <v>230</v>
      </c>
      <c r="D177" s="1232" t="s">
        <v>66</v>
      </c>
      <c r="E177" s="225">
        <v>3</v>
      </c>
      <c r="F177" s="1768">
        <v>0</v>
      </c>
      <c r="G177" s="1714">
        <f t="shared" ref="G177:G179" si="10">E177*F177</f>
        <v>0</v>
      </c>
      <c r="H177" s="1703"/>
    </row>
    <row r="178" spans="2:8" s="217" customFormat="1">
      <c r="B178" s="218"/>
      <c r="C178" s="1655" t="s">
        <v>2255</v>
      </c>
      <c r="D178" s="1232" t="s">
        <v>66</v>
      </c>
      <c r="E178" s="225">
        <v>3</v>
      </c>
      <c r="F178" s="1768">
        <v>0</v>
      </c>
      <c r="G178" s="1714">
        <f t="shared" si="10"/>
        <v>0</v>
      </c>
      <c r="H178" s="1703"/>
    </row>
    <row r="179" spans="2:8" s="217" customFormat="1">
      <c r="B179" s="218"/>
      <c r="C179" s="1655" t="s">
        <v>1444</v>
      </c>
      <c r="D179" s="1232" t="s">
        <v>66</v>
      </c>
      <c r="E179" s="225">
        <v>3</v>
      </c>
      <c r="F179" s="1768">
        <v>0</v>
      </c>
      <c r="G179" s="1714">
        <f t="shared" si="10"/>
        <v>0</v>
      </c>
      <c r="H179" s="1703"/>
    </row>
    <row r="180" spans="2:8">
      <c r="B180" s="201" t="s">
        <v>172</v>
      </c>
      <c r="C180" s="238" t="s">
        <v>169</v>
      </c>
      <c r="D180" s="260"/>
      <c r="E180" s="240"/>
      <c r="F180" s="241"/>
      <c r="G180" s="242"/>
    </row>
    <row r="181" spans="2:8">
      <c r="B181" s="218"/>
      <c r="C181" s="238" t="s">
        <v>198</v>
      </c>
      <c r="D181" s="185"/>
      <c r="E181" s="741"/>
      <c r="F181" s="1611"/>
      <c r="G181" s="263"/>
    </row>
    <row r="182" spans="2:8" ht="36">
      <c r="B182" s="218"/>
      <c r="C182" s="243" t="s">
        <v>2239</v>
      </c>
      <c r="D182" s="260" t="s">
        <v>66</v>
      </c>
      <c r="E182" s="240">
        <v>1</v>
      </c>
      <c r="F182" s="1609">
        <v>0</v>
      </c>
      <c r="G182" s="245">
        <f t="shared" ref="G182:G195" si="11">E182*F182</f>
        <v>0</v>
      </c>
    </row>
    <row r="183" spans="2:8">
      <c r="B183" s="218"/>
      <c r="C183" s="246" t="s">
        <v>171</v>
      </c>
      <c r="D183" s="260" t="s">
        <v>66</v>
      </c>
      <c r="E183" s="240">
        <v>1</v>
      </c>
      <c r="F183" s="1609">
        <v>0</v>
      </c>
      <c r="G183" s="245">
        <f t="shared" si="11"/>
        <v>0</v>
      </c>
    </row>
    <row r="184" spans="2:8">
      <c r="B184" s="218"/>
      <c r="C184" s="247" t="s">
        <v>135</v>
      </c>
      <c r="D184" s="260" t="s">
        <v>66</v>
      </c>
      <c r="E184" s="240">
        <v>1</v>
      </c>
      <c r="F184" s="1609">
        <v>0</v>
      </c>
      <c r="G184" s="245">
        <f t="shared" si="11"/>
        <v>0</v>
      </c>
    </row>
    <row r="185" spans="2:8">
      <c r="B185" s="218"/>
      <c r="C185" s="247" t="s">
        <v>891</v>
      </c>
      <c r="D185" s="260" t="s">
        <v>66</v>
      </c>
      <c r="E185" s="240">
        <v>1</v>
      </c>
      <c r="F185" s="1609">
        <v>0</v>
      </c>
      <c r="G185" s="245">
        <f t="shared" si="11"/>
        <v>0</v>
      </c>
    </row>
    <row r="186" spans="2:8">
      <c r="B186" s="218"/>
      <c r="C186" s="238" t="s">
        <v>170</v>
      </c>
      <c r="D186" s="185"/>
      <c r="E186" s="741"/>
      <c r="F186" s="1609"/>
      <c r="G186" s="245"/>
    </row>
    <row r="187" spans="2:8" ht="36">
      <c r="B187" s="218"/>
      <c r="C187" s="243" t="s">
        <v>2246</v>
      </c>
      <c r="D187" s="260" t="s">
        <v>66</v>
      </c>
      <c r="E187" s="240">
        <v>2</v>
      </c>
      <c r="F187" s="1609">
        <v>0</v>
      </c>
      <c r="G187" s="245">
        <f t="shared" si="11"/>
        <v>0</v>
      </c>
    </row>
    <row r="188" spans="2:8">
      <c r="B188" s="218"/>
      <c r="C188" s="1129" t="s">
        <v>171</v>
      </c>
      <c r="D188" s="260" t="s">
        <v>66</v>
      </c>
      <c r="E188" s="240">
        <v>2</v>
      </c>
      <c r="F188" s="1609">
        <v>0</v>
      </c>
      <c r="G188" s="245">
        <f t="shared" si="11"/>
        <v>0</v>
      </c>
    </row>
    <row r="189" spans="2:8">
      <c r="B189" s="218"/>
      <c r="C189" s="1130" t="s">
        <v>135</v>
      </c>
      <c r="D189" s="260" t="s">
        <v>66</v>
      </c>
      <c r="E189" s="240">
        <v>2</v>
      </c>
      <c r="F189" s="1609">
        <v>0</v>
      </c>
      <c r="G189" s="245">
        <f t="shared" si="11"/>
        <v>0</v>
      </c>
    </row>
    <row r="190" spans="2:8">
      <c r="B190" s="218"/>
      <c r="C190" s="247" t="s">
        <v>891</v>
      </c>
      <c r="D190" s="260" t="s">
        <v>66</v>
      </c>
      <c r="E190" s="240">
        <v>2</v>
      </c>
      <c r="F190" s="1609">
        <v>0</v>
      </c>
      <c r="G190" s="245">
        <f t="shared" si="11"/>
        <v>0</v>
      </c>
    </row>
    <row r="191" spans="2:8">
      <c r="B191" s="218"/>
      <c r="C191" s="238" t="s">
        <v>234</v>
      </c>
      <c r="D191" s="185"/>
      <c r="E191" s="741"/>
      <c r="F191" s="1609"/>
      <c r="G191" s="245"/>
    </row>
    <row r="192" spans="2:8" ht="36">
      <c r="B192" s="218"/>
      <c r="C192" s="243" t="s">
        <v>2245</v>
      </c>
      <c r="D192" s="260" t="s">
        <v>66</v>
      </c>
      <c r="E192" s="240">
        <v>12</v>
      </c>
      <c r="F192" s="1609">
        <v>0</v>
      </c>
      <c r="G192" s="245">
        <f t="shared" si="11"/>
        <v>0</v>
      </c>
    </row>
    <row r="193" spans="2:7">
      <c r="B193" s="218"/>
      <c r="C193" s="246" t="s">
        <v>171</v>
      </c>
      <c r="D193" s="260" t="s">
        <v>66</v>
      </c>
      <c r="E193" s="240">
        <v>12</v>
      </c>
      <c r="F193" s="1609">
        <v>0</v>
      </c>
      <c r="G193" s="245">
        <f t="shared" si="11"/>
        <v>0</v>
      </c>
    </row>
    <row r="194" spans="2:7">
      <c r="B194" s="218"/>
      <c r="C194" s="247" t="s">
        <v>135</v>
      </c>
      <c r="D194" s="260" t="s">
        <v>66</v>
      </c>
      <c r="E194" s="240">
        <v>12</v>
      </c>
      <c r="F194" s="1609">
        <v>0</v>
      </c>
      <c r="G194" s="245">
        <f t="shared" si="11"/>
        <v>0</v>
      </c>
    </row>
    <row r="195" spans="2:7">
      <c r="B195" s="218"/>
      <c r="C195" s="247" t="s">
        <v>891</v>
      </c>
      <c r="D195" s="260" t="s">
        <v>66</v>
      </c>
      <c r="E195" s="240">
        <v>12</v>
      </c>
      <c r="F195" s="1609">
        <v>0</v>
      </c>
      <c r="G195" s="245">
        <f t="shared" si="11"/>
        <v>0</v>
      </c>
    </row>
    <row r="196" spans="2:7">
      <c r="B196" s="201" t="s">
        <v>340</v>
      </c>
      <c r="C196" s="742" t="s">
        <v>173</v>
      </c>
      <c r="D196" s="743"/>
      <c r="E196" s="744"/>
      <c r="F196" s="1131"/>
      <c r="G196" s="1132"/>
    </row>
    <row r="197" spans="2:7" ht="60">
      <c r="B197" s="218"/>
      <c r="C197" s="745" t="s">
        <v>174</v>
      </c>
      <c r="D197" s="743" t="s">
        <v>66</v>
      </c>
      <c r="E197" s="747">
        <v>1</v>
      </c>
      <c r="F197" s="1174">
        <v>0</v>
      </c>
      <c r="G197" s="1132">
        <f>E197*F197</f>
        <v>0</v>
      </c>
    </row>
    <row r="198" spans="2:7">
      <c r="B198" s="258" t="s">
        <v>47</v>
      </c>
      <c r="C198" s="259" t="s">
        <v>1396</v>
      </c>
      <c r="D198" s="260"/>
      <c r="E198" s="261"/>
      <c r="F198" s="262"/>
      <c r="G198" s="263">
        <f>SUM(G79:G197)</f>
        <v>0</v>
      </c>
    </row>
  </sheetData>
  <mergeCells count="7">
    <mergeCell ref="B85:B88"/>
    <mergeCell ref="B43:G43"/>
    <mergeCell ref="B56:B57"/>
    <mergeCell ref="B58:B59"/>
    <mergeCell ref="B74:G74"/>
    <mergeCell ref="B75:G75"/>
    <mergeCell ref="B76:G76"/>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28C1-0947-4774-9E98-10A21690EB4C}">
  <sheetPr>
    <tabColor rgb="FF00B0F0"/>
  </sheetPr>
  <dimension ref="A2:N128"/>
  <sheetViews>
    <sheetView showZeros="0" topLeftCell="A28" zoomScale="110" zoomScaleNormal="110" zoomScaleSheetLayoutView="110" workbookViewId="0">
      <selection activeCell="G32" sqref="G32"/>
    </sheetView>
  </sheetViews>
  <sheetFormatPr defaultColWidth="10.42578125" defaultRowHeight="12.75"/>
  <cols>
    <col min="1" max="1" width="4.42578125" style="1" customWidth="1"/>
    <col min="2" max="2" width="9.5703125" style="67" customWidth="1"/>
    <col min="3" max="3" width="41.140625" style="68" customWidth="1"/>
    <col min="4" max="4" width="10.42578125" style="1188" customWidth="1"/>
    <col min="5" max="5" width="9.28515625" style="70" customWidth="1"/>
    <col min="6" max="6" width="12.140625" style="670" customWidth="1"/>
    <col min="7" max="7" width="15.7109375" style="66" customWidth="1"/>
    <col min="8" max="8" width="16" style="8" customWidth="1"/>
    <col min="9" max="242" width="10.42578125" style="1"/>
    <col min="243" max="243" width="7.42578125" style="1" customWidth="1"/>
    <col min="244" max="244" width="37.42578125" style="1" customWidth="1"/>
    <col min="245" max="245" width="10.42578125" style="1"/>
    <col min="246" max="246" width="9.28515625" style="1" customWidth="1"/>
    <col min="247" max="248" width="12.140625" style="1" customWidth="1"/>
    <col min="249" max="249" width="16" style="1" customWidth="1"/>
    <col min="250" max="250" width="26.28515625" style="1" customWidth="1"/>
    <col min="251" max="498" width="10.42578125" style="1"/>
    <col min="499" max="499" width="7.42578125" style="1" customWidth="1"/>
    <col min="500" max="500" width="37.42578125" style="1" customWidth="1"/>
    <col min="501" max="501" width="10.42578125" style="1"/>
    <col min="502" max="502" width="9.28515625" style="1" customWidth="1"/>
    <col min="503" max="504" width="12.140625" style="1" customWidth="1"/>
    <col min="505" max="505" width="16" style="1" customWidth="1"/>
    <col min="506" max="506" width="26.28515625" style="1" customWidth="1"/>
    <col min="507" max="754" width="10.42578125" style="1"/>
    <col min="755" max="755" width="7.42578125" style="1" customWidth="1"/>
    <col min="756" max="756" width="37.42578125" style="1" customWidth="1"/>
    <col min="757" max="757" width="10.42578125" style="1"/>
    <col min="758" max="758" width="9.28515625" style="1" customWidth="1"/>
    <col min="759" max="760" width="12.140625" style="1" customWidth="1"/>
    <col min="761" max="761" width="16" style="1" customWidth="1"/>
    <col min="762" max="762" width="26.28515625" style="1" customWidth="1"/>
    <col min="763" max="1010" width="10.42578125" style="1"/>
    <col min="1011" max="1011" width="7.42578125" style="1" customWidth="1"/>
    <col min="1012" max="1012" width="37.42578125" style="1" customWidth="1"/>
    <col min="1013" max="1013" width="10.42578125" style="1"/>
    <col min="1014" max="1014" width="9.28515625" style="1" customWidth="1"/>
    <col min="1015" max="1016" width="12.140625" style="1" customWidth="1"/>
    <col min="1017" max="1017" width="16" style="1" customWidth="1"/>
    <col min="1018" max="1018" width="26.28515625" style="1" customWidth="1"/>
    <col min="1019" max="1266" width="10.42578125" style="1"/>
    <col min="1267" max="1267" width="7.42578125" style="1" customWidth="1"/>
    <col min="1268" max="1268" width="37.42578125" style="1" customWidth="1"/>
    <col min="1269" max="1269" width="10.42578125" style="1"/>
    <col min="1270" max="1270" width="9.28515625" style="1" customWidth="1"/>
    <col min="1271" max="1272" width="12.140625" style="1" customWidth="1"/>
    <col min="1273" max="1273" width="16" style="1" customWidth="1"/>
    <col min="1274" max="1274" width="26.28515625" style="1" customWidth="1"/>
    <col min="1275" max="1522" width="10.42578125" style="1"/>
    <col min="1523" max="1523" width="7.42578125" style="1" customWidth="1"/>
    <col min="1524" max="1524" width="37.42578125" style="1" customWidth="1"/>
    <col min="1525" max="1525" width="10.42578125" style="1"/>
    <col min="1526" max="1526" width="9.28515625" style="1" customWidth="1"/>
    <col min="1527" max="1528" width="12.140625" style="1" customWidth="1"/>
    <col min="1529" max="1529" width="16" style="1" customWidth="1"/>
    <col min="1530" max="1530" width="26.28515625" style="1" customWidth="1"/>
    <col min="1531" max="1778" width="10.42578125" style="1"/>
    <col min="1779" max="1779" width="7.42578125" style="1" customWidth="1"/>
    <col min="1780" max="1780" width="37.42578125" style="1" customWidth="1"/>
    <col min="1781" max="1781" width="10.42578125" style="1"/>
    <col min="1782" max="1782" width="9.28515625" style="1" customWidth="1"/>
    <col min="1783" max="1784" width="12.140625" style="1" customWidth="1"/>
    <col min="1785" max="1785" width="16" style="1" customWidth="1"/>
    <col min="1786" max="1786" width="26.28515625" style="1" customWidth="1"/>
    <col min="1787" max="2034" width="10.42578125" style="1"/>
    <col min="2035" max="2035" width="7.42578125" style="1" customWidth="1"/>
    <col min="2036" max="2036" width="37.42578125" style="1" customWidth="1"/>
    <col min="2037" max="2037" width="10.42578125" style="1"/>
    <col min="2038" max="2038" width="9.28515625" style="1" customWidth="1"/>
    <col min="2039" max="2040" width="12.140625" style="1" customWidth="1"/>
    <col min="2041" max="2041" width="16" style="1" customWidth="1"/>
    <col min="2042" max="2042" width="26.28515625" style="1" customWidth="1"/>
    <col min="2043" max="2290" width="10.42578125" style="1"/>
    <col min="2291" max="2291" width="7.42578125" style="1" customWidth="1"/>
    <col min="2292" max="2292" width="37.42578125" style="1" customWidth="1"/>
    <col min="2293" max="2293" width="10.42578125" style="1"/>
    <col min="2294" max="2294" width="9.28515625" style="1" customWidth="1"/>
    <col min="2295" max="2296" width="12.140625" style="1" customWidth="1"/>
    <col min="2297" max="2297" width="16" style="1" customWidth="1"/>
    <col min="2298" max="2298" width="26.28515625" style="1" customWidth="1"/>
    <col min="2299" max="2546" width="10.42578125" style="1"/>
    <col min="2547" max="2547" width="7.42578125" style="1" customWidth="1"/>
    <col min="2548" max="2548" width="37.42578125" style="1" customWidth="1"/>
    <col min="2549" max="2549" width="10.42578125" style="1"/>
    <col min="2550" max="2550" width="9.28515625" style="1" customWidth="1"/>
    <col min="2551" max="2552" width="12.140625" style="1" customWidth="1"/>
    <col min="2553" max="2553" width="16" style="1" customWidth="1"/>
    <col min="2554" max="2554" width="26.28515625" style="1" customWidth="1"/>
    <col min="2555" max="2802" width="10.42578125" style="1"/>
    <col min="2803" max="2803" width="7.42578125" style="1" customWidth="1"/>
    <col min="2804" max="2804" width="37.42578125" style="1" customWidth="1"/>
    <col min="2805" max="2805" width="10.42578125" style="1"/>
    <col min="2806" max="2806" width="9.28515625" style="1" customWidth="1"/>
    <col min="2807" max="2808" width="12.140625" style="1" customWidth="1"/>
    <col min="2809" max="2809" width="16" style="1" customWidth="1"/>
    <col min="2810" max="2810" width="26.28515625" style="1" customWidth="1"/>
    <col min="2811" max="3058" width="10.42578125" style="1"/>
    <col min="3059" max="3059" width="7.42578125" style="1" customWidth="1"/>
    <col min="3060" max="3060" width="37.42578125" style="1" customWidth="1"/>
    <col min="3061" max="3061" width="10.42578125" style="1"/>
    <col min="3062" max="3062" width="9.28515625" style="1" customWidth="1"/>
    <col min="3063" max="3064" width="12.140625" style="1" customWidth="1"/>
    <col min="3065" max="3065" width="16" style="1" customWidth="1"/>
    <col min="3066" max="3066" width="26.28515625" style="1" customWidth="1"/>
    <col min="3067" max="3314" width="10.42578125" style="1"/>
    <col min="3315" max="3315" width="7.42578125" style="1" customWidth="1"/>
    <col min="3316" max="3316" width="37.42578125" style="1" customWidth="1"/>
    <col min="3317" max="3317" width="10.42578125" style="1"/>
    <col min="3318" max="3318" width="9.28515625" style="1" customWidth="1"/>
    <col min="3319" max="3320" width="12.140625" style="1" customWidth="1"/>
    <col min="3321" max="3321" width="16" style="1" customWidth="1"/>
    <col min="3322" max="3322" width="26.28515625" style="1" customWidth="1"/>
    <col min="3323" max="3570" width="10.42578125" style="1"/>
    <col min="3571" max="3571" width="7.42578125" style="1" customWidth="1"/>
    <col min="3572" max="3572" width="37.42578125" style="1" customWidth="1"/>
    <col min="3573" max="3573" width="10.42578125" style="1"/>
    <col min="3574" max="3574" width="9.28515625" style="1" customWidth="1"/>
    <col min="3575" max="3576" width="12.140625" style="1" customWidth="1"/>
    <col min="3577" max="3577" width="16" style="1" customWidth="1"/>
    <col min="3578" max="3578" width="26.28515625" style="1" customWidth="1"/>
    <col min="3579" max="3826" width="10.42578125" style="1"/>
    <col min="3827" max="3827" width="7.42578125" style="1" customWidth="1"/>
    <col min="3828" max="3828" width="37.42578125" style="1" customWidth="1"/>
    <col min="3829" max="3829" width="10.42578125" style="1"/>
    <col min="3830" max="3830" width="9.28515625" style="1" customWidth="1"/>
    <col min="3831" max="3832" width="12.140625" style="1" customWidth="1"/>
    <col min="3833" max="3833" width="16" style="1" customWidth="1"/>
    <col min="3834" max="3834" width="26.28515625" style="1" customWidth="1"/>
    <col min="3835" max="4082" width="10.42578125" style="1"/>
    <col min="4083" max="4083" width="7.42578125" style="1" customWidth="1"/>
    <col min="4084" max="4084" width="37.42578125" style="1" customWidth="1"/>
    <col min="4085" max="4085" width="10.42578125" style="1"/>
    <col min="4086" max="4086" width="9.28515625" style="1" customWidth="1"/>
    <col min="4087" max="4088" width="12.140625" style="1" customWidth="1"/>
    <col min="4089" max="4089" width="16" style="1" customWidth="1"/>
    <col min="4090" max="4090" width="26.28515625" style="1" customWidth="1"/>
    <col min="4091" max="4338" width="10.42578125" style="1"/>
    <col min="4339" max="4339" width="7.42578125" style="1" customWidth="1"/>
    <col min="4340" max="4340" width="37.42578125" style="1" customWidth="1"/>
    <col min="4341" max="4341" width="10.42578125" style="1"/>
    <col min="4342" max="4342" width="9.28515625" style="1" customWidth="1"/>
    <col min="4343" max="4344" width="12.140625" style="1" customWidth="1"/>
    <col min="4345" max="4345" width="16" style="1" customWidth="1"/>
    <col min="4346" max="4346" width="26.28515625" style="1" customWidth="1"/>
    <col min="4347" max="4594" width="10.42578125" style="1"/>
    <col min="4595" max="4595" width="7.42578125" style="1" customWidth="1"/>
    <col min="4596" max="4596" width="37.42578125" style="1" customWidth="1"/>
    <col min="4597" max="4597" width="10.42578125" style="1"/>
    <col min="4598" max="4598" width="9.28515625" style="1" customWidth="1"/>
    <col min="4599" max="4600" width="12.140625" style="1" customWidth="1"/>
    <col min="4601" max="4601" width="16" style="1" customWidth="1"/>
    <col min="4602" max="4602" width="26.28515625" style="1" customWidth="1"/>
    <col min="4603" max="4850" width="10.42578125" style="1"/>
    <col min="4851" max="4851" width="7.42578125" style="1" customWidth="1"/>
    <col min="4852" max="4852" width="37.42578125" style="1" customWidth="1"/>
    <col min="4853" max="4853" width="10.42578125" style="1"/>
    <col min="4854" max="4854" width="9.28515625" style="1" customWidth="1"/>
    <col min="4855" max="4856" width="12.140625" style="1" customWidth="1"/>
    <col min="4857" max="4857" width="16" style="1" customWidth="1"/>
    <col min="4858" max="4858" width="26.28515625" style="1" customWidth="1"/>
    <col min="4859" max="5106" width="10.42578125" style="1"/>
    <col min="5107" max="5107" width="7.42578125" style="1" customWidth="1"/>
    <col min="5108" max="5108" width="37.42578125" style="1" customWidth="1"/>
    <col min="5109" max="5109" width="10.42578125" style="1"/>
    <col min="5110" max="5110" width="9.28515625" style="1" customWidth="1"/>
    <col min="5111" max="5112" width="12.140625" style="1" customWidth="1"/>
    <col min="5113" max="5113" width="16" style="1" customWidth="1"/>
    <col min="5114" max="5114" width="26.28515625" style="1" customWidth="1"/>
    <col min="5115" max="5362" width="10.42578125" style="1"/>
    <col min="5363" max="5363" width="7.42578125" style="1" customWidth="1"/>
    <col min="5364" max="5364" width="37.42578125" style="1" customWidth="1"/>
    <col min="5365" max="5365" width="10.42578125" style="1"/>
    <col min="5366" max="5366" width="9.28515625" style="1" customWidth="1"/>
    <col min="5367" max="5368" width="12.140625" style="1" customWidth="1"/>
    <col min="5369" max="5369" width="16" style="1" customWidth="1"/>
    <col min="5370" max="5370" width="26.28515625" style="1" customWidth="1"/>
    <col min="5371" max="5618" width="10.42578125" style="1"/>
    <col min="5619" max="5619" width="7.42578125" style="1" customWidth="1"/>
    <col min="5620" max="5620" width="37.42578125" style="1" customWidth="1"/>
    <col min="5621" max="5621" width="10.42578125" style="1"/>
    <col min="5622" max="5622" width="9.28515625" style="1" customWidth="1"/>
    <col min="5623" max="5624" width="12.140625" style="1" customWidth="1"/>
    <col min="5625" max="5625" width="16" style="1" customWidth="1"/>
    <col min="5626" max="5626" width="26.28515625" style="1" customWidth="1"/>
    <col min="5627" max="5874" width="10.42578125" style="1"/>
    <col min="5875" max="5875" width="7.42578125" style="1" customWidth="1"/>
    <col min="5876" max="5876" width="37.42578125" style="1" customWidth="1"/>
    <col min="5877" max="5877" width="10.42578125" style="1"/>
    <col min="5878" max="5878" width="9.28515625" style="1" customWidth="1"/>
    <col min="5879" max="5880" width="12.140625" style="1" customWidth="1"/>
    <col min="5881" max="5881" width="16" style="1" customWidth="1"/>
    <col min="5882" max="5882" width="26.28515625" style="1" customWidth="1"/>
    <col min="5883" max="6130" width="10.42578125" style="1"/>
    <col min="6131" max="6131" width="7.42578125" style="1" customWidth="1"/>
    <col min="6132" max="6132" width="37.42578125" style="1" customWidth="1"/>
    <col min="6133" max="6133" width="10.42578125" style="1"/>
    <col min="6134" max="6134" width="9.28515625" style="1" customWidth="1"/>
    <col min="6135" max="6136" width="12.140625" style="1" customWidth="1"/>
    <col min="6137" max="6137" width="16" style="1" customWidth="1"/>
    <col min="6138" max="6138" width="26.28515625" style="1" customWidth="1"/>
    <col min="6139" max="6386" width="10.42578125" style="1"/>
    <col min="6387" max="6387" width="7.42578125" style="1" customWidth="1"/>
    <col min="6388" max="6388" width="37.42578125" style="1" customWidth="1"/>
    <col min="6389" max="6389" width="10.42578125" style="1"/>
    <col min="6390" max="6390" width="9.28515625" style="1" customWidth="1"/>
    <col min="6391" max="6392" width="12.140625" style="1" customWidth="1"/>
    <col min="6393" max="6393" width="16" style="1" customWidth="1"/>
    <col min="6394" max="6394" width="26.28515625" style="1" customWidth="1"/>
    <col min="6395" max="6642" width="10.42578125" style="1"/>
    <col min="6643" max="6643" width="7.42578125" style="1" customWidth="1"/>
    <col min="6644" max="6644" width="37.42578125" style="1" customWidth="1"/>
    <col min="6645" max="6645" width="10.42578125" style="1"/>
    <col min="6646" max="6646" width="9.28515625" style="1" customWidth="1"/>
    <col min="6647" max="6648" width="12.140625" style="1" customWidth="1"/>
    <col min="6649" max="6649" width="16" style="1" customWidth="1"/>
    <col min="6650" max="6650" width="26.28515625" style="1" customWidth="1"/>
    <col min="6651" max="6898" width="10.42578125" style="1"/>
    <col min="6899" max="6899" width="7.42578125" style="1" customWidth="1"/>
    <col min="6900" max="6900" width="37.42578125" style="1" customWidth="1"/>
    <col min="6901" max="6901" width="10.42578125" style="1"/>
    <col min="6902" max="6902" width="9.28515625" style="1" customWidth="1"/>
    <col min="6903" max="6904" width="12.140625" style="1" customWidth="1"/>
    <col min="6905" max="6905" width="16" style="1" customWidth="1"/>
    <col min="6906" max="6906" width="26.28515625" style="1" customWidth="1"/>
    <col min="6907" max="7154" width="10.42578125" style="1"/>
    <col min="7155" max="7155" width="7.42578125" style="1" customWidth="1"/>
    <col min="7156" max="7156" width="37.42578125" style="1" customWidth="1"/>
    <col min="7157" max="7157" width="10.42578125" style="1"/>
    <col min="7158" max="7158" width="9.28515625" style="1" customWidth="1"/>
    <col min="7159" max="7160" width="12.140625" style="1" customWidth="1"/>
    <col min="7161" max="7161" width="16" style="1" customWidth="1"/>
    <col min="7162" max="7162" width="26.28515625" style="1" customWidth="1"/>
    <col min="7163" max="7410" width="10.42578125" style="1"/>
    <col min="7411" max="7411" width="7.42578125" style="1" customWidth="1"/>
    <col min="7412" max="7412" width="37.42578125" style="1" customWidth="1"/>
    <col min="7413" max="7413" width="10.42578125" style="1"/>
    <col min="7414" max="7414" width="9.28515625" style="1" customWidth="1"/>
    <col min="7415" max="7416" width="12.140625" style="1" customWidth="1"/>
    <col min="7417" max="7417" width="16" style="1" customWidth="1"/>
    <col min="7418" max="7418" width="26.28515625" style="1" customWidth="1"/>
    <col min="7419" max="7666" width="10.42578125" style="1"/>
    <col min="7667" max="7667" width="7.42578125" style="1" customWidth="1"/>
    <col min="7668" max="7668" width="37.42578125" style="1" customWidth="1"/>
    <col min="7669" max="7669" width="10.42578125" style="1"/>
    <col min="7670" max="7670" width="9.28515625" style="1" customWidth="1"/>
    <col min="7671" max="7672" width="12.140625" style="1" customWidth="1"/>
    <col min="7673" max="7673" width="16" style="1" customWidth="1"/>
    <col min="7674" max="7674" width="26.28515625" style="1" customWidth="1"/>
    <col min="7675" max="7922" width="10.42578125" style="1"/>
    <col min="7923" max="7923" width="7.42578125" style="1" customWidth="1"/>
    <col min="7924" max="7924" width="37.42578125" style="1" customWidth="1"/>
    <col min="7925" max="7925" width="10.42578125" style="1"/>
    <col min="7926" max="7926" width="9.28515625" style="1" customWidth="1"/>
    <col min="7927" max="7928" width="12.140625" style="1" customWidth="1"/>
    <col min="7929" max="7929" width="16" style="1" customWidth="1"/>
    <col min="7930" max="7930" width="26.28515625" style="1" customWidth="1"/>
    <col min="7931" max="8178" width="10.42578125" style="1"/>
    <col min="8179" max="8179" width="7.42578125" style="1" customWidth="1"/>
    <col min="8180" max="8180" width="37.42578125" style="1" customWidth="1"/>
    <col min="8181" max="8181" width="10.42578125" style="1"/>
    <col min="8182" max="8182" width="9.28515625" style="1" customWidth="1"/>
    <col min="8183" max="8184" width="12.140625" style="1" customWidth="1"/>
    <col min="8185" max="8185" width="16" style="1" customWidth="1"/>
    <col min="8186" max="8186" width="26.28515625" style="1" customWidth="1"/>
    <col min="8187" max="8434" width="10.42578125" style="1"/>
    <col min="8435" max="8435" width="7.42578125" style="1" customWidth="1"/>
    <col min="8436" max="8436" width="37.42578125" style="1" customWidth="1"/>
    <col min="8437" max="8437" width="10.42578125" style="1"/>
    <col min="8438" max="8438" width="9.28515625" style="1" customWidth="1"/>
    <col min="8439" max="8440" width="12.140625" style="1" customWidth="1"/>
    <col min="8441" max="8441" width="16" style="1" customWidth="1"/>
    <col min="8442" max="8442" width="26.28515625" style="1" customWidth="1"/>
    <col min="8443" max="8690" width="10.42578125" style="1"/>
    <col min="8691" max="8691" width="7.42578125" style="1" customWidth="1"/>
    <col min="8692" max="8692" width="37.42578125" style="1" customWidth="1"/>
    <col min="8693" max="8693" width="10.42578125" style="1"/>
    <col min="8694" max="8694" width="9.28515625" style="1" customWidth="1"/>
    <col min="8695" max="8696" width="12.140625" style="1" customWidth="1"/>
    <col min="8697" max="8697" width="16" style="1" customWidth="1"/>
    <col min="8698" max="8698" width="26.28515625" style="1" customWidth="1"/>
    <col min="8699" max="8946" width="10.42578125" style="1"/>
    <col min="8947" max="8947" width="7.42578125" style="1" customWidth="1"/>
    <col min="8948" max="8948" width="37.42578125" style="1" customWidth="1"/>
    <col min="8949" max="8949" width="10.42578125" style="1"/>
    <col min="8950" max="8950" width="9.28515625" style="1" customWidth="1"/>
    <col min="8951" max="8952" width="12.140625" style="1" customWidth="1"/>
    <col min="8953" max="8953" width="16" style="1" customWidth="1"/>
    <col min="8954" max="8954" width="26.28515625" style="1" customWidth="1"/>
    <col min="8955" max="9202" width="10.42578125" style="1"/>
    <col min="9203" max="9203" width="7.42578125" style="1" customWidth="1"/>
    <col min="9204" max="9204" width="37.42578125" style="1" customWidth="1"/>
    <col min="9205" max="9205" width="10.42578125" style="1"/>
    <col min="9206" max="9206" width="9.28515625" style="1" customWidth="1"/>
    <col min="9207" max="9208" width="12.140625" style="1" customWidth="1"/>
    <col min="9209" max="9209" width="16" style="1" customWidth="1"/>
    <col min="9210" max="9210" width="26.28515625" style="1" customWidth="1"/>
    <col min="9211" max="9458" width="10.42578125" style="1"/>
    <col min="9459" max="9459" width="7.42578125" style="1" customWidth="1"/>
    <col min="9460" max="9460" width="37.42578125" style="1" customWidth="1"/>
    <col min="9461" max="9461" width="10.42578125" style="1"/>
    <col min="9462" max="9462" width="9.28515625" style="1" customWidth="1"/>
    <col min="9463" max="9464" width="12.140625" style="1" customWidth="1"/>
    <col min="9465" max="9465" width="16" style="1" customWidth="1"/>
    <col min="9466" max="9466" width="26.28515625" style="1" customWidth="1"/>
    <col min="9467" max="9714" width="10.42578125" style="1"/>
    <col min="9715" max="9715" width="7.42578125" style="1" customWidth="1"/>
    <col min="9716" max="9716" width="37.42578125" style="1" customWidth="1"/>
    <col min="9717" max="9717" width="10.42578125" style="1"/>
    <col min="9718" max="9718" width="9.28515625" style="1" customWidth="1"/>
    <col min="9719" max="9720" width="12.140625" style="1" customWidth="1"/>
    <col min="9721" max="9721" width="16" style="1" customWidth="1"/>
    <col min="9722" max="9722" width="26.28515625" style="1" customWidth="1"/>
    <col min="9723" max="9970" width="10.42578125" style="1"/>
    <col min="9971" max="9971" width="7.42578125" style="1" customWidth="1"/>
    <col min="9972" max="9972" width="37.42578125" style="1" customWidth="1"/>
    <col min="9973" max="9973" width="10.42578125" style="1"/>
    <col min="9974" max="9974" width="9.28515625" style="1" customWidth="1"/>
    <col min="9975" max="9976" width="12.140625" style="1" customWidth="1"/>
    <col min="9977" max="9977" width="16" style="1" customWidth="1"/>
    <col min="9978" max="9978" width="26.28515625" style="1" customWidth="1"/>
    <col min="9979" max="10226" width="10.42578125" style="1"/>
    <col min="10227" max="10227" width="7.42578125" style="1" customWidth="1"/>
    <col min="10228" max="10228" width="37.42578125" style="1" customWidth="1"/>
    <col min="10229" max="10229" width="10.42578125" style="1"/>
    <col min="10230" max="10230" width="9.28515625" style="1" customWidth="1"/>
    <col min="10231" max="10232" width="12.140625" style="1" customWidth="1"/>
    <col min="10233" max="10233" width="16" style="1" customWidth="1"/>
    <col min="10234" max="10234" width="26.28515625" style="1" customWidth="1"/>
    <col min="10235" max="10482" width="10.42578125" style="1"/>
    <col min="10483" max="10483" width="7.42578125" style="1" customWidth="1"/>
    <col min="10484" max="10484" width="37.42578125" style="1" customWidth="1"/>
    <col min="10485" max="10485" width="10.42578125" style="1"/>
    <col min="10486" max="10486" width="9.28515625" style="1" customWidth="1"/>
    <col min="10487" max="10488" width="12.140625" style="1" customWidth="1"/>
    <col min="10489" max="10489" width="16" style="1" customWidth="1"/>
    <col min="10490" max="10490" width="26.28515625" style="1" customWidth="1"/>
    <col min="10491" max="10738" width="10.42578125" style="1"/>
    <col min="10739" max="10739" width="7.42578125" style="1" customWidth="1"/>
    <col min="10740" max="10740" width="37.42578125" style="1" customWidth="1"/>
    <col min="10741" max="10741" width="10.42578125" style="1"/>
    <col min="10742" max="10742" width="9.28515625" style="1" customWidth="1"/>
    <col min="10743" max="10744" width="12.140625" style="1" customWidth="1"/>
    <col min="10745" max="10745" width="16" style="1" customWidth="1"/>
    <col min="10746" max="10746" width="26.28515625" style="1" customWidth="1"/>
    <col min="10747" max="10994" width="10.42578125" style="1"/>
    <col min="10995" max="10995" width="7.42578125" style="1" customWidth="1"/>
    <col min="10996" max="10996" width="37.42578125" style="1" customWidth="1"/>
    <col min="10997" max="10997" width="10.42578125" style="1"/>
    <col min="10998" max="10998" width="9.28515625" style="1" customWidth="1"/>
    <col min="10999" max="11000" width="12.140625" style="1" customWidth="1"/>
    <col min="11001" max="11001" width="16" style="1" customWidth="1"/>
    <col min="11002" max="11002" width="26.28515625" style="1" customWidth="1"/>
    <col min="11003" max="11250" width="10.42578125" style="1"/>
    <col min="11251" max="11251" width="7.42578125" style="1" customWidth="1"/>
    <col min="11252" max="11252" width="37.42578125" style="1" customWidth="1"/>
    <col min="11253" max="11253" width="10.42578125" style="1"/>
    <col min="11254" max="11254" width="9.28515625" style="1" customWidth="1"/>
    <col min="11255" max="11256" width="12.140625" style="1" customWidth="1"/>
    <col min="11257" max="11257" width="16" style="1" customWidth="1"/>
    <col min="11258" max="11258" width="26.28515625" style="1" customWidth="1"/>
    <col min="11259" max="11506" width="10.42578125" style="1"/>
    <col min="11507" max="11507" width="7.42578125" style="1" customWidth="1"/>
    <col min="11508" max="11508" width="37.42578125" style="1" customWidth="1"/>
    <col min="11509" max="11509" width="10.42578125" style="1"/>
    <col min="11510" max="11510" width="9.28515625" style="1" customWidth="1"/>
    <col min="11511" max="11512" width="12.140625" style="1" customWidth="1"/>
    <col min="11513" max="11513" width="16" style="1" customWidth="1"/>
    <col min="11514" max="11514" width="26.28515625" style="1" customWidth="1"/>
    <col min="11515" max="11762" width="10.42578125" style="1"/>
    <col min="11763" max="11763" width="7.42578125" style="1" customWidth="1"/>
    <col min="11764" max="11764" width="37.42578125" style="1" customWidth="1"/>
    <col min="11765" max="11765" width="10.42578125" style="1"/>
    <col min="11766" max="11766" width="9.28515625" style="1" customWidth="1"/>
    <col min="11767" max="11768" width="12.140625" style="1" customWidth="1"/>
    <col min="11769" max="11769" width="16" style="1" customWidth="1"/>
    <col min="11770" max="11770" width="26.28515625" style="1" customWidth="1"/>
    <col min="11771" max="12018" width="10.42578125" style="1"/>
    <col min="12019" max="12019" width="7.42578125" style="1" customWidth="1"/>
    <col min="12020" max="12020" width="37.42578125" style="1" customWidth="1"/>
    <col min="12021" max="12021" width="10.42578125" style="1"/>
    <col min="12022" max="12022" width="9.28515625" style="1" customWidth="1"/>
    <col min="12023" max="12024" width="12.140625" style="1" customWidth="1"/>
    <col min="12025" max="12025" width="16" style="1" customWidth="1"/>
    <col min="12026" max="12026" width="26.28515625" style="1" customWidth="1"/>
    <col min="12027" max="12274" width="10.42578125" style="1"/>
    <col min="12275" max="12275" width="7.42578125" style="1" customWidth="1"/>
    <col min="12276" max="12276" width="37.42578125" style="1" customWidth="1"/>
    <col min="12277" max="12277" width="10.42578125" style="1"/>
    <col min="12278" max="12278" width="9.28515625" style="1" customWidth="1"/>
    <col min="12279" max="12280" width="12.140625" style="1" customWidth="1"/>
    <col min="12281" max="12281" width="16" style="1" customWidth="1"/>
    <col min="12282" max="12282" width="26.28515625" style="1" customWidth="1"/>
    <col min="12283" max="12530" width="10.42578125" style="1"/>
    <col min="12531" max="12531" width="7.42578125" style="1" customWidth="1"/>
    <col min="12532" max="12532" width="37.42578125" style="1" customWidth="1"/>
    <col min="12533" max="12533" width="10.42578125" style="1"/>
    <col min="12534" max="12534" width="9.28515625" style="1" customWidth="1"/>
    <col min="12535" max="12536" width="12.140625" style="1" customWidth="1"/>
    <col min="12537" max="12537" width="16" style="1" customWidth="1"/>
    <col min="12538" max="12538" width="26.28515625" style="1" customWidth="1"/>
    <col min="12539" max="12786" width="10.42578125" style="1"/>
    <col min="12787" max="12787" width="7.42578125" style="1" customWidth="1"/>
    <col min="12788" max="12788" width="37.42578125" style="1" customWidth="1"/>
    <col min="12789" max="12789" width="10.42578125" style="1"/>
    <col min="12790" max="12790" width="9.28515625" style="1" customWidth="1"/>
    <col min="12791" max="12792" width="12.140625" style="1" customWidth="1"/>
    <col min="12793" max="12793" width="16" style="1" customWidth="1"/>
    <col min="12794" max="12794" width="26.28515625" style="1" customWidth="1"/>
    <col min="12795" max="13042" width="10.42578125" style="1"/>
    <col min="13043" max="13043" width="7.42578125" style="1" customWidth="1"/>
    <col min="13044" max="13044" width="37.42578125" style="1" customWidth="1"/>
    <col min="13045" max="13045" width="10.42578125" style="1"/>
    <col min="13046" max="13046" width="9.28515625" style="1" customWidth="1"/>
    <col min="13047" max="13048" width="12.140625" style="1" customWidth="1"/>
    <col min="13049" max="13049" width="16" style="1" customWidth="1"/>
    <col min="13050" max="13050" width="26.28515625" style="1" customWidth="1"/>
    <col min="13051" max="13298" width="10.42578125" style="1"/>
    <col min="13299" max="13299" width="7.42578125" style="1" customWidth="1"/>
    <col min="13300" max="13300" width="37.42578125" style="1" customWidth="1"/>
    <col min="13301" max="13301" width="10.42578125" style="1"/>
    <col min="13302" max="13302" width="9.28515625" style="1" customWidth="1"/>
    <col min="13303" max="13304" width="12.140625" style="1" customWidth="1"/>
    <col min="13305" max="13305" width="16" style="1" customWidth="1"/>
    <col min="13306" max="13306" width="26.28515625" style="1" customWidth="1"/>
    <col min="13307" max="13554" width="10.42578125" style="1"/>
    <col min="13555" max="13555" width="7.42578125" style="1" customWidth="1"/>
    <col min="13556" max="13556" width="37.42578125" style="1" customWidth="1"/>
    <col min="13557" max="13557" width="10.42578125" style="1"/>
    <col min="13558" max="13558" width="9.28515625" style="1" customWidth="1"/>
    <col min="13559" max="13560" width="12.140625" style="1" customWidth="1"/>
    <col min="13561" max="13561" width="16" style="1" customWidth="1"/>
    <col min="13562" max="13562" width="26.28515625" style="1" customWidth="1"/>
    <col min="13563" max="13810" width="10.42578125" style="1"/>
    <col min="13811" max="13811" width="7.42578125" style="1" customWidth="1"/>
    <col min="13812" max="13812" width="37.42578125" style="1" customWidth="1"/>
    <col min="13813" max="13813" width="10.42578125" style="1"/>
    <col min="13814" max="13814" width="9.28515625" style="1" customWidth="1"/>
    <col min="13815" max="13816" width="12.140625" style="1" customWidth="1"/>
    <col min="13817" max="13817" width="16" style="1" customWidth="1"/>
    <col min="13818" max="13818" width="26.28515625" style="1" customWidth="1"/>
    <col min="13819" max="14066" width="10.42578125" style="1"/>
    <col min="14067" max="14067" width="7.42578125" style="1" customWidth="1"/>
    <col min="14068" max="14068" width="37.42578125" style="1" customWidth="1"/>
    <col min="14069" max="14069" width="10.42578125" style="1"/>
    <col min="14070" max="14070" width="9.28515625" style="1" customWidth="1"/>
    <col min="14071" max="14072" width="12.140625" style="1" customWidth="1"/>
    <col min="14073" max="14073" width="16" style="1" customWidth="1"/>
    <col min="14074" max="14074" width="26.28515625" style="1" customWidth="1"/>
    <col min="14075" max="14322" width="10.42578125" style="1"/>
    <col min="14323" max="14323" width="7.42578125" style="1" customWidth="1"/>
    <col min="14324" max="14324" width="37.42578125" style="1" customWidth="1"/>
    <col min="14325" max="14325" width="10.42578125" style="1"/>
    <col min="14326" max="14326" width="9.28515625" style="1" customWidth="1"/>
    <col min="14327" max="14328" width="12.140625" style="1" customWidth="1"/>
    <col min="14329" max="14329" width="16" style="1" customWidth="1"/>
    <col min="14330" max="14330" width="26.28515625" style="1" customWidth="1"/>
    <col min="14331" max="14578" width="10.42578125" style="1"/>
    <col min="14579" max="14579" width="7.42578125" style="1" customWidth="1"/>
    <col min="14580" max="14580" width="37.42578125" style="1" customWidth="1"/>
    <col min="14581" max="14581" width="10.42578125" style="1"/>
    <col min="14582" max="14582" width="9.28515625" style="1" customWidth="1"/>
    <col min="14583" max="14584" width="12.140625" style="1" customWidth="1"/>
    <col min="14585" max="14585" width="16" style="1" customWidth="1"/>
    <col min="14586" max="14586" width="26.28515625" style="1" customWidth="1"/>
    <col min="14587" max="14834" width="10.42578125" style="1"/>
    <col min="14835" max="14835" width="7.42578125" style="1" customWidth="1"/>
    <col min="14836" max="14836" width="37.42578125" style="1" customWidth="1"/>
    <col min="14837" max="14837" width="10.42578125" style="1"/>
    <col min="14838" max="14838" width="9.28515625" style="1" customWidth="1"/>
    <col min="14839" max="14840" width="12.140625" style="1" customWidth="1"/>
    <col min="14841" max="14841" width="16" style="1" customWidth="1"/>
    <col min="14842" max="14842" width="26.28515625" style="1" customWidth="1"/>
    <col min="14843" max="15090" width="10.42578125" style="1"/>
    <col min="15091" max="15091" width="7.42578125" style="1" customWidth="1"/>
    <col min="15092" max="15092" width="37.42578125" style="1" customWidth="1"/>
    <col min="15093" max="15093" width="10.42578125" style="1"/>
    <col min="15094" max="15094" width="9.28515625" style="1" customWidth="1"/>
    <col min="15095" max="15096" width="12.140625" style="1" customWidth="1"/>
    <col min="15097" max="15097" width="16" style="1" customWidth="1"/>
    <col min="15098" max="15098" width="26.28515625" style="1" customWidth="1"/>
    <col min="15099" max="15346" width="10.42578125" style="1"/>
    <col min="15347" max="15347" width="7.42578125" style="1" customWidth="1"/>
    <col min="15348" max="15348" width="37.42578125" style="1" customWidth="1"/>
    <col min="15349" max="15349" width="10.42578125" style="1"/>
    <col min="15350" max="15350" width="9.28515625" style="1" customWidth="1"/>
    <col min="15351" max="15352" width="12.140625" style="1" customWidth="1"/>
    <col min="15353" max="15353" width="16" style="1" customWidth="1"/>
    <col min="15354" max="15354" width="26.28515625" style="1" customWidth="1"/>
    <col min="15355" max="15602" width="10.42578125" style="1"/>
    <col min="15603" max="15603" width="7.42578125" style="1" customWidth="1"/>
    <col min="15604" max="15604" width="37.42578125" style="1" customWidth="1"/>
    <col min="15605" max="15605" width="10.42578125" style="1"/>
    <col min="15606" max="15606" width="9.28515625" style="1" customWidth="1"/>
    <col min="15607" max="15608" width="12.140625" style="1" customWidth="1"/>
    <col min="15609" max="15609" width="16" style="1" customWidth="1"/>
    <col min="15610" max="15610" width="26.28515625" style="1" customWidth="1"/>
    <col min="15611" max="15858" width="10.42578125" style="1"/>
    <col min="15859" max="15859" width="7.42578125" style="1" customWidth="1"/>
    <col min="15860" max="15860" width="37.42578125" style="1" customWidth="1"/>
    <col min="15861" max="15861" width="10.42578125" style="1"/>
    <col min="15862" max="15862" width="9.28515625" style="1" customWidth="1"/>
    <col min="15863" max="15864" width="12.140625" style="1" customWidth="1"/>
    <col min="15865" max="15865" width="16" style="1" customWidth="1"/>
    <col min="15866" max="15866" width="26.28515625" style="1" customWidth="1"/>
    <col min="15867" max="16114" width="10.42578125" style="1"/>
    <col min="16115" max="16115" width="7.42578125" style="1" customWidth="1"/>
    <col min="16116" max="16116" width="37.42578125" style="1" customWidth="1"/>
    <col min="16117" max="16117" width="10.42578125" style="1"/>
    <col min="16118" max="16118" width="9.28515625" style="1" customWidth="1"/>
    <col min="16119" max="16120" width="12.140625" style="1" customWidth="1"/>
    <col min="16121" max="16121" width="16" style="1" customWidth="1"/>
    <col min="16122" max="16122" width="26.28515625" style="1" customWidth="1"/>
    <col min="16123" max="16384" width="10.42578125" style="1"/>
  </cols>
  <sheetData>
    <row r="2" spans="1:14" ht="16.149999999999999" customHeight="1">
      <c r="B2" s="2"/>
      <c r="C2" s="72" t="s">
        <v>0</v>
      </c>
      <c r="D2" s="4"/>
      <c r="E2" s="5"/>
      <c r="F2" s="671"/>
      <c r="G2" s="672" t="s">
        <v>1</v>
      </c>
    </row>
    <row r="4" spans="1:14" s="73" customFormat="1" ht="15">
      <c r="B4" s="74" t="s">
        <v>35</v>
      </c>
      <c r="C4" s="673" t="s">
        <v>1495</v>
      </c>
      <c r="D4" s="1175"/>
      <c r="E4" s="77"/>
      <c r="F4" s="674"/>
      <c r="G4" s="79"/>
      <c r="H4" s="37"/>
    </row>
    <row r="5" spans="1:14" s="73" customFormat="1" ht="12" customHeight="1">
      <c r="B5" s="80"/>
      <c r="C5" s="81"/>
      <c r="D5" s="1176"/>
      <c r="E5" s="83"/>
      <c r="F5" s="675"/>
      <c r="G5" s="85"/>
      <c r="H5" s="37"/>
    </row>
    <row r="6" spans="1:14" s="86" customFormat="1" ht="21" customHeight="1">
      <c r="B6" s="676" t="s">
        <v>37</v>
      </c>
      <c r="C6" s="677" t="s">
        <v>1496</v>
      </c>
      <c r="D6" s="2233"/>
      <c r="E6" s="679"/>
      <c r="F6" s="680"/>
      <c r="G6" s="681"/>
      <c r="H6" s="27"/>
    </row>
    <row r="7" spans="1:14" s="86" customFormat="1" ht="21" customHeight="1">
      <c r="B7" s="1146"/>
      <c r="C7" s="1147"/>
      <c r="D7" s="1976"/>
      <c r="E7" s="1149"/>
      <c r="F7" s="1150"/>
      <c r="G7" s="1151"/>
      <c r="H7" s="27"/>
    </row>
    <row r="8" spans="1:14" s="86" customFormat="1" ht="14.25">
      <c r="B8" s="682" t="s">
        <v>551</v>
      </c>
      <c r="C8" s="683" t="s">
        <v>1497</v>
      </c>
      <c r="D8" s="2234"/>
      <c r="E8" s="685"/>
      <c r="F8" s="686"/>
      <c r="G8" s="687"/>
      <c r="H8" s="27"/>
    </row>
    <row r="9" spans="1:14" s="86" customFormat="1" ht="14.25">
      <c r="B9" s="80"/>
      <c r="C9" s="81"/>
      <c r="D9" s="1176"/>
      <c r="E9" s="83"/>
      <c r="F9" s="675"/>
      <c r="G9" s="88"/>
      <c r="H9" s="27"/>
    </row>
    <row r="10" spans="1:14" s="14" customFormat="1" ht="18" customHeight="1">
      <c r="A10" s="9"/>
      <c r="B10" s="10" t="s">
        <v>38</v>
      </c>
      <c r="C10" s="11"/>
      <c r="D10" s="1177"/>
      <c r="E10" s="12"/>
      <c r="F10" s="688"/>
      <c r="G10" s="13"/>
    </row>
    <row r="11" spans="1:14" s="14" customFormat="1" ht="18" customHeight="1">
      <c r="A11" s="15"/>
      <c r="B11" s="16" t="s">
        <v>39</v>
      </c>
      <c r="C11" s="17"/>
      <c r="D11" s="1179"/>
      <c r="E11" s="19"/>
      <c r="F11" s="689"/>
      <c r="G11" s="18"/>
    </row>
    <row r="12" spans="1:14" s="14" customFormat="1" ht="18" customHeight="1">
      <c r="A12" s="9"/>
      <c r="B12" s="10" t="s">
        <v>4</v>
      </c>
      <c r="C12" s="11"/>
      <c r="D12" s="1180"/>
      <c r="E12" s="12"/>
      <c r="F12" s="688"/>
      <c r="G12" s="13"/>
    </row>
    <row r="13" spans="1:14" s="14" customFormat="1" ht="18" customHeight="1">
      <c r="A13" s="15"/>
      <c r="B13" s="16" t="s">
        <v>5</v>
      </c>
      <c r="C13" s="17"/>
      <c r="D13" s="1181"/>
      <c r="E13" s="19"/>
      <c r="F13" s="689"/>
      <c r="G13" s="18"/>
    </row>
    <row r="14" spans="1:14" s="86" customFormat="1" ht="14.25">
      <c r="B14" s="89"/>
      <c r="C14" s="90"/>
      <c r="D14" s="1182"/>
      <c r="E14" s="92"/>
      <c r="F14" s="690"/>
      <c r="G14" s="94"/>
      <c r="H14" s="27"/>
    </row>
    <row r="15" spans="1:14" s="86" customFormat="1" ht="18.75" customHeight="1">
      <c r="B15" s="95"/>
      <c r="C15" s="96" t="s">
        <v>40</v>
      </c>
      <c r="D15" s="1183"/>
      <c r="E15" s="98"/>
      <c r="F15" s="691"/>
      <c r="G15" s="100"/>
      <c r="H15" s="27"/>
    </row>
    <row r="16" spans="1:14" s="101" customFormat="1" ht="18.75" customHeight="1">
      <c r="B16" s="95" t="s">
        <v>41</v>
      </c>
      <c r="C16" s="96" t="s">
        <v>42</v>
      </c>
      <c r="D16" s="1183"/>
      <c r="E16" s="104"/>
      <c r="F16" s="692"/>
      <c r="G16" s="106" t="s">
        <v>10</v>
      </c>
      <c r="H16" s="37"/>
      <c r="I16" s="73"/>
      <c r="J16" s="73"/>
      <c r="K16" s="73"/>
      <c r="L16" s="73"/>
      <c r="M16" s="73"/>
      <c r="N16" s="73"/>
    </row>
    <row r="17" spans="2:14" s="101" customFormat="1" ht="18.75" customHeight="1">
      <c r="B17" s="693" t="s">
        <v>43</v>
      </c>
      <c r="C17" s="694" t="s">
        <v>44</v>
      </c>
      <c r="D17" s="1185"/>
      <c r="E17" s="110"/>
      <c r="F17" s="695"/>
      <c r="G17" s="1408">
        <f>G40</f>
        <v>0</v>
      </c>
      <c r="H17" s="37"/>
      <c r="I17" s="73"/>
      <c r="J17" s="73"/>
      <c r="K17" s="73"/>
      <c r="L17" s="73"/>
      <c r="M17" s="73"/>
      <c r="N17" s="73"/>
    </row>
    <row r="18" spans="2:14" s="101" customFormat="1" ht="18.75" customHeight="1">
      <c r="B18" s="693" t="s">
        <v>45</v>
      </c>
      <c r="C18" s="694" t="s">
        <v>46</v>
      </c>
      <c r="D18" s="1185"/>
      <c r="E18" s="110"/>
      <c r="F18" s="695"/>
      <c r="G18" s="1408">
        <f>G63</f>
        <v>0</v>
      </c>
      <c r="H18" s="37"/>
      <c r="I18" s="73"/>
      <c r="J18" s="73"/>
      <c r="K18" s="73"/>
      <c r="L18" s="73"/>
      <c r="M18" s="73"/>
      <c r="N18" s="73"/>
    </row>
    <row r="19" spans="2:14" s="101" customFormat="1" ht="18.75" customHeight="1">
      <c r="B19" s="693" t="s">
        <v>47</v>
      </c>
      <c r="C19" s="694" t="s">
        <v>48</v>
      </c>
      <c r="D19" s="1185"/>
      <c r="E19" s="110"/>
      <c r="F19" s="695"/>
      <c r="G19" s="1408">
        <f>G128</f>
        <v>0</v>
      </c>
      <c r="H19" s="37"/>
      <c r="I19" s="73"/>
      <c r="J19" s="73"/>
      <c r="K19" s="73"/>
      <c r="L19" s="73"/>
      <c r="M19" s="73"/>
      <c r="N19" s="73"/>
    </row>
    <row r="20" spans="2:14" s="101" customFormat="1" ht="18.75" customHeight="1">
      <c r="B20" s="113"/>
      <c r="C20" s="114" t="s">
        <v>49</v>
      </c>
      <c r="D20" s="1187"/>
      <c r="E20" s="116"/>
      <c r="F20" s="2372"/>
      <c r="G20" s="1415">
        <f>SUM(G17:G19)</f>
        <v>0</v>
      </c>
      <c r="H20" s="37"/>
      <c r="I20" s="73"/>
      <c r="J20" s="73"/>
      <c r="K20" s="73"/>
      <c r="L20" s="73"/>
      <c r="M20" s="73"/>
      <c r="N20" s="73"/>
    </row>
    <row r="21" spans="2:14">
      <c r="B21" s="61"/>
      <c r="C21" s="62"/>
      <c r="D21" s="63"/>
      <c r="E21" s="64"/>
      <c r="F21" s="701"/>
    </row>
    <row r="22" spans="2:14">
      <c r="G22" s="118"/>
    </row>
    <row r="23" spans="2:14" ht="24">
      <c r="B23" s="119" t="s">
        <v>41</v>
      </c>
      <c r="C23" s="120" t="s">
        <v>51</v>
      </c>
      <c r="D23" s="120" t="s">
        <v>52</v>
      </c>
      <c r="E23" s="122" t="s">
        <v>53</v>
      </c>
      <c r="F23" s="756" t="s">
        <v>54</v>
      </c>
      <c r="G23" s="124" t="s">
        <v>55</v>
      </c>
    </row>
    <row r="24" spans="2:14">
      <c r="B24" s="125"/>
      <c r="C24" s="126"/>
      <c r="D24" s="140"/>
      <c r="E24" s="128"/>
      <c r="F24" s="708"/>
      <c r="G24" s="130"/>
    </row>
    <row r="25" spans="2:14" s="138" customFormat="1" ht="20.25">
      <c r="B25" s="131" t="s">
        <v>43</v>
      </c>
      <c r="C25" s="132" t="s">
        <v>44</v>
      </c>
      <c r="D25" s="165"/>
      <c r="E25" s="134"/>
      <c r="F25" s="709"/>
      <c r="G25" s="136"/>
      <c r="H25" s="137"/>
    </row>
    <row r="26" spans="2:14" ht="24">
      <c r="B26" s="125">
        <v>1</v>
      </c>
      <c r="C26" s="144" t="s">
        <v>56</v>
      </c>
      <c r="D26" s="140" t="s">
        <v>57</v>
      </c>
      <c r="E26" s="1081">
        <v>315</v>
      </c>
      <c r="F26" s="1082">
        <v>0</v>
      </c>
      <c r="G26" s="1083">
        <f t="shared" ref="G26" si="0">E26*F26</f>
        <v>0</v>
      </c>
    </row>
    <row r="27" spans="2:14">
      <c r="B27" s="125">
        <v>2</v>
      </c>
      <c r="C27" s="144" t="s">
        <v>58</v>
      </c>
      <c r="D27" s="140" t="s">
        <v>57</v>
      </c>
      <c r="E27" s="1081">
        <f>E26</f>
        <v>315</v>
      </c>
      <c r="F27" s="1082">
        <v>0</v>
      </c>
      <c r="G27" s="1083">
        <f>E27*F27</f>
        <v>0</v>
      </c>
    </row>
    <row r="28" spans="2:14" ht="51.75" customHeight="1">
      <c r="B28" s="125">
        <v>3</v>
      </c>
      <c r="C28" s="144" t="s">
        <v>245</v>
      </c>
      <c r="D28" s="140" t="s">
        <v>60</v>
      </c>
      <c r="E28" s="1081">
        <v>1</v>
      </c>
      <c r="F28" s="1082">
        <v>0</v>
      </c>
      <c r="G28" s="1083">
        <f t="shared" ref="G28:G38" si="1">E28*F28</f>
        <v>0</v>
      </c>
    </row>
    <row r="29" spans="2:14" ht="124.5" customHeight="1">
      <c r="B29" s="125">
        <v>4</v>
      </c>
      <c r="C29" s="144" t="s">
        <v>61</v>
      </c>
      <c r="D29" s="145" t="s">
        <v>60</v>
      </c>
      <c r="E29" s="1081">
        <v>1</v>
      </c>
      <c r="F29" s="1082">
        <v>0</v>
      </c>
      <c r="G29" s="1083">
        <f t="shared" si="1"/>
        <v>0</v>
      </c>
    </row>
    <row r="30" spans="2:14" ht="24">
      <c r="B30" s="125">
        <v>5</v>
      </c>
      <c r="C30" s="144" t="s">
        <v>1389</v>
      </c>
      <c r="D30" s="146" t="s">
        <v>60</v>
      </c>
      <c r="E30" s="1081">
        <v>4</v>
      </c>
      <c r="F30" s="1082">
        <v>0</v>
      </c>
      <c r="G30" s="1083">
        <f t="shared" si="1"/>
        <v>0</v>
      </c>
    </row>
    <row r="31" spans="2:14" ht="27.75" customHeight="1">
      <c r="B31" s="125">
        <v>6</v>
      </c>
      <c r="C31" s="1084" t="s">
        <v>63</v>
      </c>
      <c r="D31" s="140" t="s">
        <v>57</v>
      </c>
      <c r="E31" s="1081">
        <f>E26</f>
        <v>315</v>
      </c>
      <c r="F31" s="1082">
        <v>0</v>
      </c>
      <c r="G31" s="1083">
        <f t="shared" si="1"/>
        <v>0</v>
      </c>
    </row>
    <row r="32" spans="2:14" ht="52.5" customHeight="1">
      <c r="B32" s="125">
        <v>7</v>
      </c>
      <c r="C32" s="1084" t="s">
        <v>64</v>
      </c>
      <c r="D32" s="146" t="s">
        <v>60</v>
      </c>
      <c r="E32" s="1081">
        <v>1</v>
      </c>
      <c r="F32" s="1082">
        <v>0</v>
      </c>
      <c r="G32" s="1083">
        <f t="shared" si="1"/>
        <v>0</v>
      </c>
    </row>
    <row r="33" spans="1:14" ht="54.75" customHeight="1">
      <c r="B33" s="125">
        <v>8</v>
      </c>
      <c r="C33" s="1080" t="s">
        <v>2292</v>
      </c>
      <c r="D33" s="146" t="s">
        <v>66</v>
      </c>
      <c r="E33" s="1081">
        <v>63</v>
      </c>
      <c r="F33" s="1082">
        <v>0</v>
      </c>
      <c r="G33" s="1083">
        <f t="shared" si="1"/>
        <v>0</v>
      </c>
    </row>
    <row r="34" spans="1:14" ht="36">
      <c r="B34" s="125">
        <v>9</v>
      </c>
      <c r="C34" s="1080" t="s">
        <v>2295</v>
      </c>
      <c r="D34" s="146" t="s">
        <v>57</v>
      </c>
      <c r="E34" s="1081">
        <f>E26+E79+E80</f>
        <v>405</v>
      </c>
      <c r="F34" s="1082">
        <v>0</v>
      </c>
      <c r="G34" s="1083">
        <f t="shared" si="1"/>
        <v>0</v>
      </c>
    </row>
    <row r="35" spans="1:14" ht="24">
      <c r="B35" s="125">
        <v>10</v>
      </c>
      <c r="C35" s="1080" t="s">
        <v>2293</v>
      </c>
      <c r="D35" s="146" t="s">
        <v>57</v>
      </c>
      <c r="E35" s="1081">
        <f>E26+E79+E80</f>
        <v>405</v>
      </c>
      <c r="F35" s="1082">
        <v>0</v>
      </c>
      <c r="G35" s="1083">
        <f t="shared" si="1"/>
        <v>0</v>
      </c>
    </row>
    <row r="36" spans="1:14">
      <c r="B36" s="125">
        <v>11</v>
      </c>
      <c r="C36" s="1084" t="s">
        <v>67</v>
      </c>
      <c r="D36" s="146" t="s">
        <v>60</v>
      </c>
      <c r="E36" s="1081">
        <v>1</v>
      </c>
      <c r="F36" s="1082">
        <v>0</v>
      </c>
      <c r="G36" s="1083">
        <f t="shared" si="1"/>
        <v>0</v>
      </c>
    </row>
    <row r="37" spans="1:14" ht="48">
      <c r="B37" s="125">
        <v>12</v>
      </c>
      <c r="C37" s="952" t="s">
        <v>68</v>
      </c>
      <c r="D37" s="146" t="s">
        <v>60</v>
      </c>
      <c r="E37" s="1085">
        <v>1</v>
      </c>
      <c r="F37" s="1082">
        <v>0</v>
      </c>
      <c r="G37" s="1083">
        <f t="shared" si="1"/>
        <v>0</v>
      </c>
    </row>
    <row r="38" spans="1:14" ht="36">
      <c r="B38" s="125">
        <v>13</v>
      </c>
      <c r="C38" s="952" t="s">
        <v>69</v>
      </c>
      <c r="D38" s="146" t="s">
        <v>60</v>
      </c>
      <c r="E38" s="1085">
        <v>1</v>
      </c>
      <c r="F38" s="1082">
        <v>0</v>
      </c>
      <c r="G38" s="1083">
        <f t="shared" si="1"/>
        <v>0</v>
      </c>
    </row>
    <row r="39" spans="1:14">
      <c r="B39" s="125"/>
      <c r="C39" s="150"/>
      <c r="D39" s="146"/>
      <c r="E39" s="1085"/>
      <c r="F39" s="1082"/>
      <c r="G39" s="1083"/>
    </row>
    <row r="40" spans="1:14">
      <c r="B40" s="151" t="s">
        <v>43</v>
      </c>
      <c r="C40" s="1086" t="s">
        <v>1390</v>
      </c>
      <c r="D40" s="1103"/>
      <c r="E40" s="1088"/>
      <c r="F40" s="1089"/>
      <c r="G40" s="263">
        <f>SUM(G26:G38)</f>
        <v>0</v>
      </c>
    </row>
    <row r="41" spans="1:14" s="8" customFormat="1">
      <c r="A41" s="1"/>
      <c r="B41" s="125"/>
      <c r="C41" s="126"/>
      <c r="D41" s="140"/>
      <c r="E41" s="128"/>
      <c r="F41" s="129"/>
      <c r="G41" s="130"/>
      <c r="I41" s="1"/>
      <c r="J41" s="1"/>
      <c r="K41" s="1"/>
      <c r="L41" s="1"/>
      <c r="M41" s="1"/>
      <c r="N41" s="1"/>
    </row>
    <row r="42" spans="1:14" s="8" customFormat="1" ht="24">
      <c r="A42" s="1"/>
      <c r="B42" s="157" t="s">
        <v>50</v>
      </c>
      <c r="C42" s="158" t="s">
        <v>51</v>
      </c>
      <c r="D42" s="158" t="s">
        <v>52</v>
      </c>
      <c r="E42" s="160" t="s">
        <v>53</v>
      </c>
      <c r="F42" s="161" t="s">
        <v>54</v>
      </c>
      <c r="G42" s="162" t="s">
        <v>55</v>
      </c>
      <c r="I42" s="1"/>
      <c r="J42" s="1"/>
      <c r="K42" s="1"/>
      <c r="L42" s="1"/>
      <c r="M42" s="1"/>
      <c r="N42" s="1"/>
    </row>
    <row r="43" spans="1:14" s="8" customFormat="1">
      <c r="A43" s="1"/>
      <c r="B43" s="125"/>
      <c r="C43" s="163"/>
      <c r="D43" s="140"/>
      <c r="E43" s="128"/>
      <c r="F43" s="129"/>
      <c r="G43" s="130"/>
      <c r="I43" s="1"/>
      <c r="J43" s="1"/>
      <c r="K43" s="1"/>
      <c r="L43" s="1"/>
      <c r="M43" s="1"/>
      <c r="N43" s="1"/>
    </row>
    <row r="44" spans="1:14" s="8" customFormat="1" ht="40.5">
      <c r="A44" s="1"/>
      <c r="B44" s="131" t="s">
        <v>45</v>
      </c>
      <c r="C44" s="164" t="s">
        <v>871</v>
      </c>
      <c r="D44" s="165"/>
      <c r="E44" s="134"/>
      <c r="F44" s="135"/>
      <c r="G44" s="136"/>
      <c r="I44" s="1"/>
      <c r="J44" s="1"/>
      <c r="K44" s="1"/>
      <c r="L44" s="1"/>
      <c r="M44" s="1"/>
      <c r="N44" s="1"/>
    </row>
    <row r="45" spans="1:14" s="8" customFormat="1" ht="67.5" customHeight="1">
      <c r="A45" s="1"/>
      <c r="B45" s="2399" t="s">
        <v>72</v>
      </c>
      <c r="C45" s="2400"/>
      <c r="D45" s="2400"/>
      <c r="E45" s="2400"/>
      <c r="F45" s="2400"/>
      <c r="G45" s="2401"/>
      <c r="I45" s="1"/>
      <c r="J45" s="1"/>
      <c r="K45" s="1"/>
      <c r="L45" s="1"/>
      <c r="M45" s="1"/>
      <c r="N45" s="1"/>
    </row>
    <row r="46" spans="1:14" s="8" customFormat="1" ht="41.25" customHeight="1">
      <c r="A46" s="1"/>
      <c r="B46" s="717">
        <v>1</v>
      </c>
      <c r="C46" s="139" t="s">
        <v>75</v>
      </c>
      <c r="D46" s="140" t="s">
        <v>74</v>
      </c>
      <c r="E46" s="1091">
        <f>E26*1.5*1.2*0.15</f>
        <v>85.05</v>
      </c>
      <c r="F46" s="1092">
        <v>0</v>
      </c>
      <c r="G46" s="1093">
        <f t="shared" ref="G46:G61" si="2">E46*F46</f>
        <v>0</v>
      </c>
      <c r="I46" s="1"/>
      <c r="J46" s="1"/>
      <c r="K46" s="1"/>
      <c r="L46" s="1"/>
      <c r="M46" s="1"/>
      <c r="N46" s="1"/>
    </row>
    <row r="47" spans="1:14" s="8" customFormat="1" ht="41.25" customHeight="1">
      <c r="A47" s="1"/>
      <c r="B47" s="167">
        <v>2</v>
      </c>
      <c r="C47" s="139" t="s">
        <v>76</v>
      </c>
      <c r="D47" s="145" t="s">
        <v>74</v>
      </c>
      <c r="E47" s="1094">
        <f>E26*1.5*1.2*0.85</f>
        <v>481.95</v>
      </c>
      <c r="F47" s="1092">
        <v>0</v>
      </c>
      <c r="G47" s="142">
        <f t="shared" si="2"/>
        <v>0</v>
      </c>
      <c r="I47" s="1"/>
      <c r="J47" s="1"/>
      <c r="K47" s="1"/>
      <c r="L47" s="1"/>
      <c r="M47" s="1"/>
      <c r="N47" s="1"/>
    </row>
    <row r="48" spans="1:14" s="8" customFormat="1" ht="27.75" customHeight="1">
      <c r="A48" s="1"/>
      <c r="B48" s="717">
        <v>3</v>
      </c>
      <c r="C48" s="126" t="s">
        <v>77</v>
      </c>
      <c r="D48" s="140" t="s">
        <v>78</v>
      </c>
      <c r="E48" s="1094">
        <f>E26*1.5</f>
        <v>472.5</v>
      </c>
      <c r="F48" s="1092">
        <v>0</v>
      </c>
      <c r="G48" s="1083">
        <f t="shared" si="2"/>
        <v>0</v>
      </c>
      <c r="I48" s="1"/>
      <c r="J48" s="1"/>
      <c r="K48" s="1"/>
      <c r="L48" s="1"/>
      <c r="M48" s="1"/>
      <c r="N48" s="1"/>
    </row>
    <row r="49" spans="1:14" s="8" customFormat="1" ht="27.75" customHeight="1">
      <c r="A49" s="1"/>
      <c r="B49" s="167">
        <v>4</v>
      </c>
      <c r="C49" s="126" t="s">
        <v>79</v>
      </c>
      <c r="D49" s="145" t="s">
        <v>78</v>
      </c>
      <c r="E49" s="1094">
        <f>E26</f>
        <v>315</v>
      </c>
      <c r="F49" s="1092">
        <v>0</v>
      </c>
      <c r="G49" s="1083">
        <f t="shared" si="2"/>
        <v>0</v>
      </c>
      <c r="I49" s="1"/>
      <c r="J49" s="1"/>
      <c r="K49" s="1"/>
      <c r="L49" s="1"/>
      <c r="M49" s="1"/>
      <c r="N49" s="1"/>
    </row>
    <row r="50" spans="1:14" s="8" customFormat="1" ht="27.75" customHeight="1">
      <c r="A50" s="1"/>
      <c r="B50" s="717">
        <v>5</v>
      </c>
      <c r="C50" s="139" t="s">
        <v>247</v>
      </c>
      <c r="D50" s="145" t="s">
        <v>74</v>
      </c>
      <c r="E50" s="1094">
        <f>E26*1.2*1</f>
        <v>378</v>
      </c>
      <c r="F50" s="1092">
        <v>0</v>
      </c>
      <c r="G50" s="1083">
        <f t="shared" si="2"/>
        <v>0</v>
      </c>
      <c r="I50" s="1"/>
      <c r="J50" s="1"/>
      <c r="K50" s="1"/>
      <c r="L50" s="1"/>
      <c r="M50" s="1"/>
      <c r="N50" s="1"/>
    </row>
    <row r="51" spans="1:14" s="8" customFormat="1" ht="40.5" customHeight="1">
      <c r="A51" s="1"/>
      <c r="B51" s="167">
        <v>6</v>
      </c>
      <c r="C51" s="139" t="s">
        <v>82</v>
      </c>
      <c r="D51" s="146" t="s">
        <v>74</v>
      </c>
      <c r="E51" s="1094">
        <f>E26*1.5*0.4</f>
        <v>189</v>
      </c>
      <c r="F51" s="1092">
        <v>0</v>
      </c>
      <c r="G51" s="1083">
        <f t="shared" si="2"/>
        <v>0</v>
      </c>
      <c r="I51" s="1"/>
      <c r="J51" s="1"/>
      <c r="K51" s="1"/>
      <c r="L51" s="1"/>
      <c r="M51" s="1"/>
      <c r="N51" s="1"/>
    </row>
    <row r="52" spans="1:14" s="8" customFormat="1" ht="27" customHeight="1">
      <c r="A52" s="1"/>
      <c r="B52" s="717">
        <v>7</v>
      </c>
      <c r="C52" s="1095" t="s">
        <v>85</v>
      </c>
      <c r="D52" s="140" t="s">
        <v>57</v>
      </c>
      <c r="E52" s="1094">
        <v>18</v>
      </c>
      <c r="F52" s="1092">
        <v>0</v>
      </c>
      <c r="G52" s="1083">
        <f t="shared" si="2"/>
        <v>0</v>
      </c>
      <c r="I52" s="1"/>
      <c r="J52" s="1"/>
      <c r="K52" s="1"/>
      <c r="L52" s="1"/>
      <c r="M52" s="1"/>
      <c r="N52" s="1"/>
    </row>
    <row r="53" spans="1:14" s="8" customFormat="1" ht="27" customHeight="1">
      <c r="A53" s="1"/>
      <c r="B53" s="167">
        <v>8</v>
      </c>
      <c r="C53" s="1095" t="s">
        <v>1391</v>
      </c>
      <c r="D53" s="140" t="s">
        <v>78</v>
      </c>
      <c r="E53" s="1094">
        <f>E26*1.2</f>
        <v>378</v>
      </c>
      <c r="F53" s="1092">
        <v>0</v>
      </c>
      <c r="G53" s="1083">
        <f t="shared" si="2"/>
        <v>0</v>
      </c>
      <c r="I53" s="1"/>
      <c r="J53" s="1"/>
      <c r="K53" s="1"/>
      <c r="L53" s="1"/>
      <c r="M53" s="1"/>
      <c r="N53" s="1"/>
    </row>
    <row r="54" spans="1:14" s="8" customFormat="1" ht="63.75" customHeight="1">
      <c r="A54" s="1"/>
      <c r="B54" s="717">
        <v>9</v>
      </c>
      <c r="C54" s="397" t="s">
        <v>254</v>
      </c>
      <c r="D54" s="145" t="s">
        <v>78</v>
      </c>
      <c r="E54" s="1094">
        <v>10</v>
      </c>
      <c r="F54" s="1092">
        <v>0</v>
      </c>
      <c r="G54" s="1083">
        <f t="shared" si="2"/>
        <v>0</v>
      </c>
      <c r="I54" s="1"/>
      <c r="J54" s="1"/>
      <c r="K54" s="1"/>
      <c r="L54" s="1"/>
      <c r="M54" s="1"/>
      <c r="N54" s="1"/>
    </row>
    <row r="55" spans="1:14" s="8" customFormat="1" ht="14.25" customHeight="1">
      <c r="A55" s="1"/>
      <c r="B55" s="167">
        <v>10</v>
      </c>
      <c r="C55" s="139" t="s">
        <v>264</v>
      </c>
      <c r="D55" s="145" t="s">
        <v>74</v>
      </c>
      <c r="E55" s="128">
        <f>E46+E47+(E53*0.06)-E50</f>
        <v>211.67999999999995</v>
      </c>
      <c r="F55" s="1092">
        <v>0</v>
      </c>
      <c r="G55" s="142">
        <f t="shared" si="2"/>
        <v>0</v>
      </c>
      <c r="I55" s="1"/>
      <c r="J55" s="1"/>
      <c r="K55" s="1"/>
      <c r="L55" s="1"/>
      <c r="M55" s="1"/>
      <c r="N55" s="1"/>
    </row>
    <row r="56" spans="1:14" s="8" customFormat="1">
      <c r="A56" s="1"/>
      <c r="B56" s="717">
        <v>11</v>
      </c>
      <c r="C56" s="139" t="s">
        <v>265</v>
      </c>
      <c r="D56" s="145" t="s">
        <v>74</v>
      </c>
      <c r="E56" s="128">
        <f>E55</f>
        <v>211.67999999999995</v>
      </c>
      <c r="F56" s="1092">
        <v>0</v>
      </c>
      <c r="G56" s="142">
        <f t="shared" si="2"/>
        <v>0</v>
      </c>
      <c r="I56" s="1"/>
      <c r="J56" s="1"/>
      <c r="K56" s="1"/>
      <c r="L56" s="1"/>
      <c r="M56" s="1"/>
      <c r="N56" s="1"/>
    </row>
    <row r="57" spans="1:14" s="8" customFormat="1" ht="27.75" customHeight="1">
      <c r="A57" s="1"/>
      <c r="B57" s="167">
        <v>12</v>
      </c>
      <c r="C57" s="126" t="s">
        <v>95</v>
      </c>
      <c r="D57" s="140" t="s">
        <v>74</v>
      </c>
      <c r="E57" s="1094">
        <f>E26*0.75*0.1</f>
        <v>23.625</v>
      </c>
      <c r="F57" s="1092">
        <v>0</v>
      </c>
      <c r="G57" s="1083">
        <f t="shared" si="2"/>
        <v>0</v>
      </c>
      <c r="I57" s="1"/>
      <c r="J57" s="1"/>
      <c r="K57" s="1"/>
      <c r="L57" s="1"/>
      <c r="M57" s="1"/>
      <c r="N57" s="1"/>
    </row>
    <row r="58" spans="1:14" s="8" customFormat="1" ht="40.5" customHeight="1">
      <c r="A58" s="1"/>
      <c r="B58" s="717">
        <v>13</v>
      </c>
      <c r="C58" s="1096" t="s">
        <v>1393</v>
      </c>
      <c r="D58" s="182" t="s">
        <v>74</v>
      </c>
      <c r="E58" s="1097">
        <v>2</v>
      </c>
      <c r="F58" s="1092">
        <v>0</v>
      </c>
      <c r="G58" s="1083">
        <f t="shared" si="2"/>
        <v>0</v>
      </c>
      <c r="I58" s="1"/>
      <c r="J58" s="1"/>
      <c r="K58" s="1"/>
      <c r="L58" s="1"/>
      <c r="M58" s="1"/>
      <c r="N58" s="1"/>
    </row>
    <row r="59" spans="1:14" s="8" customFormat="1" ht="39" customHeight="1">
      <c r="A59" s="1"/>
      <c r="B59" s="167">
        <v>14</v>
      </c>
      <c r="C59" s="1096" t="s">
        <v>270</v>
      </c>
      <c r="D59" s="182" t="s">
        <v>66</v>
      </c>
      <c r="E59" s="1097">
        <v>48</v>
      </c>
      <c r="F59" s="1092">
        <v>0</v>
      </c>
      <c r="G59" s="1083">
        <f t="shared" si="2"/>
        <v>0</v>
      </c>
      <c r="I59" s="1"/>
      <c r="J59" s="1"/>
      <c r="K59" s="1"/>
      <c r="L59" s="1"/>
      <c r="M59" s="1"/>
      <c r="N59" s="1"/>
    </row>
    <row r="60" spans="1:14" s="8" customFormat="1" ht="36">
      <c r="A60" s="1"/>
      <c r="B60" s="717">
        <v>15</v>
      </c>
      <c r="C60" s="1096" t="s">
        <v>99</v>
      </c>
      <c r="D60" s="182" t="s">
        <v>74</v>
      </c>
      <c r="E60" s="1097">
        <v>4</v>
      </c>
      <c r="F60" s="1092">
        <v>0</v>
      </c>
      <c r="G60" s="1083">
        <f t="shared" si="2"/>
        <v>0</v>
      </c>
      <c r="I60" s="1"/>
      <c r="J60" s="1"/>
      <c r="K60" s="1"/>
      <c r="L60" s="1"/>
      <c r="M60" s="1"/>
      <c r="N60" s="1"/>
    </row>
    <row r="61" spans="1:14" s="8" customFormat="1" ht="27.75" customHeight="1">
      <c r="A61" s="1"/>
      <c r="B61" s="167">
        <v>16</v>
      </c>
      <c r="C61" s="1096" t="s">
        <v>100</v>
      </c>
      <c r="D61" s="182" t="s">
        <v>65</v>
      </c>
      <c r="E61" s="1097">
        <v>12</v>
      </c>
      <c r="F61" s="1092">
        <v>0</v>
      </c>
      <c r="G61" s="1083">
        <f t="shared" si="2"/>
        <v>0</v>
      </c>
      <c r="I61" s="1"/>
      <c r="J61" s="1"/>
      <c r="K61" s="1"/>
      <c r="L61" s="1"/>
      <c r="M61" s="1"/>
      <c r="N61" s="1"/>
    </row>
    <row r="62" spans="1:14" s="8" customFormat="1">
      <c r="A62" s="1"/>
      <c r="B62" s="167"/>
      <c r="C62" s="1098"/>
      <c r="D62" s="1099"/>
      <c r="E62" s="1100"/>
      <c r="F62" s="1101"/>
      <c r="G62" s="1102"/>
      <c r="I62" s="1"/>
      <c r="J62" s="1"/>
      <c r="K62" s="1"/>
      <c r="L62" s="1"/>
      <c r="M62" s="1"/>
      <c r="N62" s="1"/>
    </row>
    <row r="63" spans="1:14" s="8" customFormat="1">
      <c r="A63" s="1"/>
      <c r="B63" s="151" t="s">
        <v>45</v>
      </c>
      <c r="C63" s="1086" t="s">
        <v>101</v>
      </c>
      <c r="D63" s="1103"/>
      <c r="E63" s="1088"/>
      <c r="F63" s="1089"/>
      <c r="G63" s="263">
        <f>SUM(G46:G61)</f>
        <v>0</v>
      </c>
      <c r="I63" s="1"/>
      <c r="J63" s="1"/>
      <c r="K63" s="1"/>
      <c r="L63" s="1"/>
      <c r="M63" s="1"/>
      <c r="N63" s="1"/>
    </row>
    <row r="64" spans="1:14" s="8" customFormat="1">
      <c r="A64" s="1"/>
      <c r="B64" s="67"/>
      <c r="C64" s="68"/>
      <c r="D64" s="1188"/>
      <c r="E64" s="1104"/>
      <c r="F64" s="1105"/>
      <c r="G64" s="1106"/>
      <c r="I64" s="1"/>
      <c r="J64" s="1"/>
      <c r="K64" s="1"/>
      <c r="L64" s="1"/>
      <c r="M64" s="1"/>
      <c r="N64" s="1"/>
    </row>
    <row r="65" spans="1:14" s="8" customFormat="1" ht="24">
      <c r="A65" s="1"/>
      <c r="B65" s="119" t="s">
        <v>50</v>
      </c>
      <c r="C65" s="120" t="s">
        <v>51</v>
      </c>
      <c r="D65" s="120" t="s">
        <v>52</v>
      </c>
      <c r="E65" s="122" t="s">
        <v>53</v>
      </c>
      <c r="F65" s="123" t="s">
        <v>54</v>
      </c>
      <c r="G65" s="124" t="s">
        <v>55</v>
      </c>
      <c r="I65" s="1"/>
      <c r="J65" s="1"/>
      <c r="K65" s="1"/>
      <c r="L65" s="1"/>
      <c r="M65" s="1"/>
      <c r="N65" s="1"/>
    </row>
    <row r="66" spans="1:14" s="8" customFormat="1">
      <c r="A66" s="1"/>
      <c r="B66" s="125"/>
      <c r="C66" s="126"/>
      <c r="D66" s="140"/>
      <c r="E66" s="719"/>
      <c r="F66" s="1107"/>
      <c r="G66" s="731"/>
      <c r="I66" s="1"/>
      <c r="J66" s="1"/>
      <c r="K66" s="1"/>
      <c r="L66" s="1"/>
      <c r="M66" s="1"/>
      <c r="N66" s="1"/>
    </row>
    <row r="67" spans="1:14" s="8" customFormat="1" ht="20.25">
      <c r="A67" s="1"/>
      <c r="B67" s="186" t="s">
        <v>47</v>
      </c>
      <c r="C67" s="187" t="s">
        <v>48</v>
      </c>
      <c r="D67" s="165"/>
      <c r="E67" s="134"/>
      <c r="F67" s="135"/>
      <c r="G67" s="136"/>
      <c r="I67" s="1"/>
      <c r="J67" s="1"/>
      <c r="K67" s="1"/>
      <c r="L67" s="1"/>
      <c r="M67" s="1"/>
      <c r="N67" s="1"/>
    </row>
    <row r="68" spans="1:14" s="8" customFormat="1">
      <c r="A68" s="1"/>
      <c r="B68" s="1108" t="s">
        <v>38</v>
      </c>
      <c r="C68" s="1109"/>
      <c r="D68" s="2235"/>
      <c r="E68" s="1109"/>
      <c r="F68" s="1109"/>
      <c r="G68" s="1110"/>
      <c r="I68" s="1"/>
      <c r="J68" s="1"/>
      <c r="K68" s="1"/>
      <c r="L68" s="1"/>
      <c r="M68" s="1"/>
      <c r="N68" s="1"/>
    </row>
    <row r="69" spans="1:14" s="8" customFormat="1">
      <c r="A69" s="1"/>
      <c r="B69" s="1111" t="s">
        <v>39</v>
      </c>
      <c r="C69" s="1112"/>
      <c r="D69" s="2236"/>
      <c r="E69" s="1112"/>
      <c r="F69" s="1112"/>
      <c r="G69" s="1113"/>
      <c r="I69" s="1"/>
      <c r="J69" s="1"/>
      <c r="K69" s="1"/>
      <c r="L69" s="1"/>
      <c r="M69" s="1"/>
      <c r="N69" s="1"/>
    </row>
    <row r="70" spans="1:14" s="8" customFormat="1">
      <c r="A70" s="1"/>
      <c r="B70" s="1108" t="s">
        <v>4</v>
      </c>
      <c r="C70" s="1109"/>
      <c r="D70" s="2237"/>
      <c r="E70" s="1109"/>
      <c r="F70" s="1109"/>
      <c r="G70" s="1110"/>
      <c r="I70" s="1"/>
      <c r="J70" s="1"/>
      <c r="K70" s="1"/>
      <c r="L70" s="1"/>
      <c r="M70" s="1"/>
      <c r="N70" s="1"/>
    </row>
    <row r="71" spans="1:14" s="8" customFormat="1">
      <c r="A71" s="1"/>
      <c r="B71" s="1111" t="s">
        <v>5</v>
      </c>
      <c r="C71" s="1112"/>
      <c r="D71" s="2236"/>
      <c r="E71" s="1112"/>
      <c r="F71" s="1112"/>
      <c r="G71" s="1113"/>
      <c r="I71" s="1"/>
      <c r="J71" s="1"/>
      <c r="K71" s="1"/>
      <c r="L71" s="1"/>
      <c r="M71" s="1"/>
      <c r="N71" s="1"/>
    </row>
    <row r="72" spans="1:14" s="8" customFormat="1">
      <c r="A72" s="1"/>
      <c r="B72" s="2399" t="s">
        <v>271</v>
      </c>
      <c r="C72" s="2400"/>
      <c r="D72" s="2400"/>
      <c r="E72" s="2400"/>
      <c r="F72" s="2400"/>
      <c r="G72" s="2401"/>
      <c r="I72" s="1"/>
      <c r="J72" s="1"/>
      <c r="K72" s="1"/>
      <c r="L72" s="1"/>
      <c r="M72" s="1"/>
      <c r="N72" s="1"/>
    </row>
    <row r="73" spans="1:14" s="8" customFormat="1">
      <c r="A73" s="1"/>
      <c r="B73" s="2399" t="s">
        <v>104</v>
      </c>
      <c r="C73" s="2400"/>
      <c r="D73" s="2400"/>
      <c r="E73" s="2400"/>
      <c r="F73" s="2400"/>
      <c r="G73" s="2401"/>
      <c r="I73" s="1"/>
      <c r="J73" s="1"/>
      <c r="K73" s="1"/>
      <c r="L73" s="1"/>
      <c r="M73" s="1"/>
      <c r="N73" s="1"/>
    </row>
    <row r="74" spans="1:14" s="8" customFormat="1">
      <c r="A74" s="1"/>
      <c r="B74" s="2399" t="s">
        <v>105</v>
      </c>
      <c r="C74" s="2400"/>
      <c r="D74" s="2400"/>
      <c r="E74" s="2400"/>
      <c r="F74" s="2400"/>
      <c r="G74" s="2401"/>
      <c r="I74" s="1"/>
      <c r="J74" s="1"/>
      <c r="K74" s="1"/>
      <c r="L74" s="1"/>
      <c r="M74" s="1"/>
      <c r="N74" s="1"/>
    </row>
    <row r="75" spans="1:14" s="8" customFormat="1">
      <c r="A75" s="1"/>
      <c r="B75" s="1115"/>
      <c r="C75" s="1116"/>
      <c r="D75" s="2238"/>
      <c r="E75" s="1116"/>
      <c r="F75" s="1116"/>
      <c r="G75" s="1117"/>
      <c r="I75" s="1"/>
      <c r="J75" s="1"/>
      <c r="K75" s="1"/>
      <c r="L75" s="1"/>
      <c r="M75" s="1"/>
      <c r="N75" s="1"/>
    </row>
    <row r="76" spans="1:14" ht="24">
      <c r="B76" s="188">
        <v>1</v>
      </c>
      <c r="C76" s="189" t="s">
        <v>106</v>
      </c>
      <c r="D76" s="190"/>
      <c r="E76" s="719"/>
      <c r="F76" s="1107"/>
      <c r="G76" s="731"/>
    </row>
    <row r="77" spans="1:14">
      <c r="B77" s="191"/>
      <c r="C77" s="192" t="s">
        <v>226</v>
      </c>
      <c r="D77" s="190" t="s">
        <v>57</v>
      </c>
      <c r="E77" s="719">
        <f>315*0.9</f>
        <v>283.5</v>
      </c>
      <c r="F77" s="1092">
        <v>0</v>
      </c>
      <c r="G77" s="1093">
        <f t="shared" ref="G77:G84" si="3">E77*F77</f>
        <v>0</v>
      </c>
    </row>
    <row r="78" spans="1:14" ht="24">
      <c r="B78" s="191"/>
      <c r="C78" s="192" t="s">
        <v>227</v>
      </c>
      <c r="D78" s="190" t="s">
        <v>57</v>
      </c>
      <c r="E78" s="719">
        <f>315*0.1</f>
        <v>31.5</v>
      </c>
      <c r="F78" s="1092">
        <v>0</v>
      </c>
      <c r="G78" s="1093">
        <f t="shared" si="3"/>
        <v>0</v>
      </c>
    </row>
    <row r="79" spans="1:14">
      <c r="B79" s="191"/>
      <c r="C79" s="192" t="s">
        <v>109</v>
      </c>
      <c r="D79" s="190" t="s">
        <v>57</v>
      </c>
      <c r="E79" s="719">
        <f>90*0.9</f>
        <v>81</v>
      </c>
      <c r="F79" s="1092">
        <v>0</v>
      </c>
      <c r="G79" s="1093">
        <f t="shared" si="3"/>
        <v>0</v>
      </c>
    </row>
    <row r="80" spans="1:14" ht="24">
      <c r="B80" s="191"/>
      <c r="C80" s="192" t="s">
        <v>110</v>
      </c>
      <c r="D80" s="190" t="s">
        <v>57</v>
      </c>
      <c r="E80" s="719">
        <f>90*0.1</f>
        <v>9</v>
      </c>
      <c r="F80" s="1092">
        <v>0</v>
      </c>
      <c r="G80" s="1093">
        <f t="shared" si="3"/>
        <v>0</v>
      </c>
    </row>
    <row r="81" spans="2:7" ht="36">
      <c r="B81" s="2404" t="s">
        <v>111</v>
      </c>
      <c r="C81" s="193" t="s">
        <v>112</v>
      </c>
      <c r="D81" s="194"/>
      <c r="E81" s="719"/>
      <c r="F81" s="1092"/>
      <c r="G81" s="1093"/>
    </row>
    <row r="82" spans="2:7">
      <c r="B82" s="2405"/>
      <c r="C82" s="195" t="s">
        <v>274</v>
      </c>
      <c r="D82" s="194" t="s">
        <v>57</v>
      </c>
      <c r="E82" s="719">
        <v>90</v>
      </c>
      <c r="F82" s="1092">
        <v>0</v>
      </c>
      <c r="G82" s="1093">
        <f>E82*F82</f>
        <v>0</v>
      </c>
    </row>
    <row r="83" spans="2:7">
      <c r="B83" s="2413"/>
      <c r="C83" s="195" t="s">
        <v>275</v>
      </c>
      <c r="D83" s="194" t="s">
        <v>57</v>
      </c>
      <c r="E83" s="719">
        <v>15</v>
      </c>
      <c r="F83" s="1092">
        <v>0</v>
      </c>
      <c r="G83" s="1093">
        <f>E83*F83</f>
        <v>0</v>
      </c>
    </row>
    <row r="84" spans="2:7" ht="36">
      <c r="B84" s="196">
        <v>2</v>
      </c>
      <c r="C84" s="197" t="s">
        <v>114</v>
      </c>
      <c r="D84" s="145" t="s">
        <v>57</v>
      </c>
      <c r="E84" s="732">
        <f>SUM(E77:E80)</f>
        <v>405</v>
      </c>
      <c r="F84" s="1092">
        <v>0</v>
      </c>
      <c r="G84" s="1093">
        <f t="shared" si="3"/>
        <v>0</v>
      </c>
    </row>
    <row r="85" spans="2:7" ht="36">
      <c r="B85" s="199" t="s">
        <v>115</v>
      </c>
      <c r="C85" s="197" t="s">
        <v>116</v>
      </c>
      <c r="D85" s="145" t="s">
        <v>57</v>
      </c>
      <c r="E85" s="732">
        <f>E84</f>
        <v>405</v>
      </c>
      <c r="F85" s="1092">
        <v>0</v>
      </c>
      <c r="G85" s="1093">
        <f>E85*F85</f>
        <v>0</v>
      </c>
    </row>
    <row r="86" spans="2:7" ht="24">
      <c r="B86" s="199" t="s">
        <v>117</v>
      </c>
      <c r="C86" s="197" t="s">
        <v>118</v>
      </c>
      <c r="D86" s="145" t="s">
        <v>57</v>
      </c>
      <c r="E86" s="732">
        <f>E84</f>
        <v>405</v>
      </c>
      <c r="F86" s="1092">
        <v>0</v>
      </c>
      <c r="G86" s="1093">
        <f>E86*F86</f>
        <v>0</v>
      </c>
    </row>
    <row r="87" spans="2:7" ht="36">
      <c r="B87" s="199" t="s">
        <v>119</v>
      </c>
      <c r="C87" s="197" t="s">
        <v>120</v>
      </c>
      <c r="D87" s="145" t="s">
        <v>57</v>
      </c>
      <c r="E87" s="732">
        <f>E84</f>
        <v>405</v>
      </c>
      <c r="F87" s="1092">
        <v>0</v>
      </c>
      <c r="G87" s="1093">
        <f>E87*F87</f>
        <v>0</v>
      </c>
    </row>
    <row r="88" spans="2:7" ht="24">
      <c r="B88" s="188">
        <v>3</v>
      </c>
      <c r="C88" s="200" t="s">
        <v>121</v>
      </c>
      <c r="D88" s="140"/>
      <c r="E88" s="719"/>
      <c r="F88" s="1107">
        <v>0</v>
      </c>
      <c r="G88" s="731"/>
    </row>
    <row r="89" spans="2:7">
      <c r="B89" s="201" t="s">
        <v>122</v>
      </c>
      <c r="C89" s="212" t="s">
        <v>127</v>
      </c>
      <c r="D89" s="1228"/>
      <c r="E89" s="214"/>
      <c r="F89" s="215">
        <v>0</v>
      </c>
      <c r="G89" s="216"/>
    </row>
    <row r="90" spans="2:7">
      <c r="B90" s="218"/>
      <c r="C90" s="212" t="s">
        <v>318</v>
      </c>
      <c r="D90" s="2239"/>
      <c r="E90" s="736"/>
      <c r="F90" s="1601"/>
      <c r="G90" s="1121"/>
    </row>
    <row r="91" spans="2:7">
      <c r="B91" s="218"/>
      <c r="C91" s="219" t="s">
        <v>319</v>
      </c>
      <c r="D91" s="1228" t="s">
        <v>66</v>
      </c>
      <c r="E91" s="214">
        <v>2</v>
      </c>
      <c r="F91" s="1599">
        <v>0</v>
      </c>
      <c r="G91" s="221">
        <f t="shared" ref="G91:G100" si="4">E91*F91</f>
        <v>0</v>
      </c>
    </row>
    <row r="92" spans="2:7" ht="36">
      <c r="B92" s="218"/>
      <c r="C92" s="222" t="s">
        <v>283</v>
      </c>
      <c r="D92" s="1228" t="s">
        <v>66</v>
      </c>
      <c r="E92" s="214">
        <v>2</v>
      </c>
      <c r="F92" s="1599">
        <v>0</v>
      </c>
      <c r="G92" s="221">
        <f t="shared" si="4"/>
        <v>0</v>
      </c>
    </row>
    <row r="93" spans="2:7">
      <c r="B93" s="218"/>
      <c r="C93" s="222" t="s">
        <v>183</v>
      </c>
      <c r="D93" s="1228" t="s">
        <v>66</v>
      </c>
      <c r="E93" s="214">
        <v>2</v>
      </c>
      <c r="F93" s="1599">
        <v>0</v>
      </c>
      <c r="G93" s="221">
        <f t="shared" si="4"/>
        <v>0</v>
      </c>
    </row>
    <row r="94" spans="2:7">
      <c r="B94" s="218"/>
      <c r="C94" s="222" t="s">
        <v>131</v>
      </c>
      <c r="D94" s="1228" t="s">
        <v>66</v>
      </c>
      <c r="E94" s="214">
        <v>2</v>
      </c>
      <c r="F94" s="1599">
        <v>0</v>
      </c>
      <c r="G94" s="221">
        <f t="shared" si="4"/>
        <v>0</v>
      </c>
    </row>
    <row r="95" spans="2:7">
      <c r="B95" s="218"/>
      <c r="C95" s="1133" t="s">
        <v>166</v>
      </c>
      <c r="D95" s="1228" t="s">
        <v>66</v>
      </c>
      <c r="E95" s="214">
        <v>4</v>
      </c>
      <c r="F95" s="1599">
        <v>0</v>
      </c>
      <c r="G95" s="221">
        <f t="shared" si="4"/>
        <v>0</v>
      </c>
    </row>
    <row r="96" spans="2:7">
      <c r="B96" s="218"/>
      <c r="C96" s="1133" t="s">
        <v>167</v>
      </c>
      <c r="D96" s="1228" t="s">
        <v>66</v>
      </c>
      <c r="E96" s="214">
        <v>4</v>
      </c>
      <c r="F96" s="1599">
        <v>0</v>
      </c>
      <c r="G96" s="221">
        <f t="shared" si="4"/>
        <v>0</v>
      </c>
    </row>
    <row r="97" spans="2:7">
      <c r="B97" s="218"/>
      <c r="C97" s="1133" t="s">
        <v>229</v>
      </c>
      <c r="D97" s="1228" t="s">
        <v>66</v>
      </c>
      <c r="E97" s="214">
        <v>4</v>
      </c>
      <c r="F97" s="1599">
        <v>0</v>
      </c>
      <c r="G97" s="221">
        <f t="shared" si="4"/>
        <v>0</v>
      </c>
    </row>
    <row r="98" spans="2:7">
      <c r="B98" s="218"/>
      <c r="C98" s="1133" t="s">
        <v>230</v>
      </c>
      <c r="D98" s="1228" t="s">
        <v>66</v>
      </c>
      <c r="E98" s="214">
        <v>4</v>
      </c>
      <c r="F98" s="1599">
        <v>0</v>
      </c>
      <c r="G98" s="221">
        <f t="shared" si="4"/>
        <v>0</v>
      </c>
    </row>
    <row r="99" spans="2:7">
      <c r="B99" s="218"/>
      <c r="C99" s="1133" t="s">
        <v>134</v>
      </c>
      <c r="D99" s="1228" t="s">
        <v>66</v>
      </c>
      <c r="E99" s="214">
        <v>2</v>
      </c>
      <c r="F99" s="1599">
        <v>0</v>
      </c>
      <c r="G99" s="221">
        <f t="shared" si="4"/>
        <v>0</v>
      </c>
    </row>
    <row r="100" spans="2:7">
      <c r="B100" s="218"/>
      <c r="C100" s="1134" t="s">
        <v>135</v>
      </c>
      <c r="D100" s="1228" t="s">
        <v>66</v>
      </c>
      <c r="E100" s="214">
        <v>2</v>
      </c>
      <c r="F100" s="1599">
        <v>0</v>
      </c>
      <c r="G100" s="221">
        <f t="shared" si="4"/>
        <v>0</v>
      </c>
    </row>
    <row r="101" spans="2:7">
      <c r="B101" s="201" t="s">
        <v>126</v>
      </c>
      <c r="C101" s="238" t="s">
        <v>320</v>
      </c>
      <c r="D101" s="260"/>
      <c r="E101" s="240"/>
      <c r="F101" s="241"/>
      <c r="G101" s="242"/>
    </row>
    <row r="102" spans="2:7">
      <c r="B102" s="218"/>
      <c r="C102" s="238" t="s">
        <v>326</v>
      </c>
      <c r="D102" s="185"/>
      <c r="E102" s="741"/>
      <c r="F102" s="1611"/>
      <c r="G102" s="263"/>
    </row>
    <row r="103" spans="2:7" ht="27" customHeight="1">
      <c r="B103" s="218"/>
      <c r="C103" s="1123" t="s">
        <v>322</v>
      </c>
      <c r="D103" s="260" t="s">
        <v>66</v>
      </c>
      <c r="E103" s="240">
        <v>2</v>
      </c>
      <c r="F103" s="1609">
        <v>0</v>
      </c>
      <c r="G103" s="245">
        <f t="shared" ref="G103:G105" si="5">E103*F103</f>
        <v>0</v>
      </c>
    </row>
    <row r="104" spans="2:7">
      <c r="B104" s="218"/>
      <c r="C104" s="246" t="s">
        <v>325</v>
      </c>
      <c r="D104" s="260" t="s">
        <v>66</v>
      </c>
      <c r="E104" s="240">
        <v>2</v>
      </c>
      <c r="F104" s="1609">
        <v>0</v>
      </c>
      <c r="G104" s="245">
        <f t="shared" si="5"/>
        <v>0</v>
      </c>
    </row>
    <row r="105" spans="2:7">
      <c r="B105" s="218"/>
      <c r="C105" s="247" t="s">
        <v>135</v>
      </c>
      <c r="D105" s="260" t="s">
        <v>66</v>
      </c>
      <c r="E105" s="240">
        <v>2</v>
      </c>
      <c r="F105" s="1609">
        <v>0</v>
      </c>
      <c r="G105" s="245">
        <f t="shared" si="5"/>
        <v>0</v>
      </c>
    </row>
    <row r="106" spans="2:7">
      <c r="B106" s="201" t="s">
        <v>136</v>
      </c>
      <c r="C106" s="223" t="s">
        <v>886</v>
      </c>
      <c r="D106" s="1232"/>
      <c r="E106" s="225"/>
      <c r="F106" s="226"/>
      <c r="G106" s="227"/>
    </row>
    <row r="107" spans="2:7">
      <c r="B107" s="218"/>
      <c r="C107" s="223" t="s">
        <v>888</v>
      </c>
      <c r="D107" s="2240"/>
      <c r="E107" s="738"/>
      <c r="F107" s="1605"/>
      <c r="G107" s="1608"/>
    </row>
    <row r="108" spans="2:7" ht="24">
      <c r="B108" s="218"/>
      <c r="C108" s="228" t="s">
        <v>2251</v>
      </c>
      <c r="D108" s="1232" t="s">
        <v>66</v>
      </c>
      <c r="E108" s="225">
        <v>2</v>
      </c>
      <c r="F108" s="1768">
        <v>0</v>
      </c>
      <c r="G108" s="1714">
        <f t="shared" ref="G108:G115" si="6">E108*F108</f>
        <v>0</v>
      </c>
    </row>
    <row r="109" spans="2:7">
      <c r="B109" s="218"/>
      <c r="C109" s="232" t="s">
        <v>184</v>
      </c>
      <c r="D109" s="1232" t="s">
        <v>66</v>
      </c>
      <c r="E109" s="225">
        <v>4</v>
      </c>
      <c r="F109" s="1768">
        <v>0</v>
      </c>
      <c r="G109" s="1714">
        <f t="shared" si="6"/>
        <v>0</v>
      </c>
    </row>
    <row r="110" spans="2:7">
      <c r="B110" s="218"/>
      <c r="C110" s="232" t="s">
        <v>166</v>
      </c>
      <c r="D110" s="1232" t="s">
        <v>66</v>
      </c>
      <c r="E110" s="225">
        <v>2</v>
      </c>
      <c r="F110" s="1768">
        <v>0</v>
      </c>
      <c r="G110" s="1714">
        <f t="shared" si="6"/>
        <v>0</v>
      </c>
    </row>
    <row r="111" spans="2:7">
      <c r="B111" s="218"/>
      <c r="C111" s="232" t="s">
        <v>167</v>
      </c>
      <c r="D111" s="1232" t="s">
        <v>66</v>
      </c>
      <c r="E111" s="225">
        <v>2</v>
      </c>
      <c r="F111" s="1768">
        <v>0</v>
      </c>
      <c r="G111" s="1714">
        <f t="shared" si="6"/>
        <v>0</v>
      </c>
    </row>
    <row r="112" spans="2:7">
      <c r="B112" s="218"/>
      <c r="C112" s="232" t="s">
        <v>229</v>
      </c>
      <c r="D112" s="1232" t="s">
        <v>66</v>
      </c>
      <c r="E112" s="225">
        <v>2</v>
      </c>
      <c r="F112" s="1768">
        <v>0</v>
      </c>
      <c r="G112" s="1714">
        <f t="shared" si="6"/>
        <v>0</v>
      </c>
    </row>
    <row r="113" spans="2:8">
      <c r="B113" s="218"/>
      <c r="C113" s="232" t="s">
        <v>230</v>
      </c>
      <c r="D113" s="1232" t="s">
        <v>66</v>
      </c>
      <c r="E113" s="225">
        <v>2</v>
      </c>
      <c r="F113" s="1768">
        <v>0</v>
      </c>
      <c r="G113" s="1714">
        <f t="shared" si="6"/>
        <v>0</v>
      </c>
    </row>
    <row r="114" spans="2:8">
      <c r="B114" s="218"/>
      <c r="C114" s="232" t="s">
        <v>150</v>
      </c>
      <c r="D114" s="1232" t="s">
        <v>66</v>
      </c>
      <c r="E114" s="225">
        <v>2</v>
      </c>
      <c r="F114" s="1768">
        <v>0</v>
      </c>
      <c r="G114" s="1714">
        <f t="shared" si="6"/>
        <v>0</v>
      </c>
    </row>
    <row r="115" spans="2:8">
      <c r="B115" s="218"/>
      <c r="C115" s="233" t="s">
        <v>135</v>
      </c>
      <c r="D115" s="1232" t="s">
        <v>66</v>
      </c>
      <c r="E115" s="225">
        <v>2</v>
      </c>
      <c r="F115" s="1768">
        <v>0</v>
      </c>
      <c r="G115" s="1714">
        <f t="shared" si="6"/>
        <v>0</v>
      </c>
    </row>
    <row r="116" spans="2:8">
      <c r="B116" s="218"/>
      <c r="C116" s="223" t="s">
        <v>1395</v>
      </c>
      <c r="D116" s="2240"/>
      <c r="E116" s="738"/>
      <c r="F116" s="1605"/>
      <c r="G116" s="1646"/>
    </row>
    <row r="117" spans="2:8" s="217" customFormat="1">
      <c r="B117" s="218"/>
      <c r="C117" s="1655" t="s">
        <v>230</v>
      </c>
      <c r="D117" s="1232" t="s">
        <v>66</v>
      </c>
      <c r="E117" s="225">
        <v>2</v>
      </c>
      <c r="F117" s="1768">
        <v>0</v>
      </c>
      <c r="G117" s="1714">
        <f t="shared" ref="G117:G119" si="7">E117*F117</f>
        <v>0</v>
      </c>
      <c r="H117" s="1703"/>
    </row>
    <row r="118" spans="2:8" s="217" customFormat="1">
      <c r="B118" s="218"/>
      <c r="C118" s="1655" t="s">
        <v>2255</v>
      </c>
      <c r="D118" s="1232" t="s">
        <v>66</v>
      </c>
      <c r="E118" s="225">
        <v>2</v>
      </c>
      <c r="F118" s="1768">
        <v>0</v>
      </c>
      <c r="G118" s="1714">
        <f t="shared" si="7"/>
        <v>0</v>
      </c>
      <c r="H118" s="1703"/>
    </row>
    <row r="119" spans="2:8" s="217" customFormat="1">
      <c r="B119" s="218"/>
      <c r="C119" s="1655" t="s">
        <v>1444</v>
      </c>
      <c r="D119" s="1232" t="s">
        <v>66</v>
      </c>
      <c r="E119" s="225">
        <v>2</v>
      </c>
      <c r="F119" s="1768">
        <v>0</v>
      </c>
      <c r="G119" s="1714">
        <f t="shared" si="7"/>
        <v>0</v>
      </c>
      <c r="H119" s="1703"/>
    </row>
    <row r="120" spans="2:8">
      <c r="B120" s="201" t="s">
        <v>151</v>
      </c>
      <c r="C120" s="238" t="s">
        <v>169</v>
      </c>
      <c r="D120" s="260"/>
      <c r="E120" s="240"/>
      <c r="F120" s="241"/>
      <c r="G120" s="242"/>
    </row>
    <row r="121" spans="2:8">
      <c r="B121" s="218"/>
      <c r="C121" s="238" t="s">
        <v>234</v>
      </c>
      <c r="D121" s="185"/>
      <c r="E121" s="741"/>
      <c r="F121" s="1611"/>
      <c r="G121" s="263"/>
    </row>
    <row r="122" spans="2:8" ht="36">
      <c r="B122" s="218"/>
      <c r="C122" s="243" t="s">
        <v>2245</v>
      </c>
      <c r="D122" s="260" t="s">
        <v>66</v>
      </c>
      <c r="E122" s="240">
        <v>21</v>
      </c>
      <c r="F122" s="1609">
        <v>0</v>
      </c>
      <c r="G122" s="245">
        <f t="shared" ref="G122:G125" si="8">E122*F122</f>
        <v>0</v>
      </c>
    </row>
    <row r="123" spans="2:8">
      <c r="B123" s="218"/>
      <c r="C123" s="246" t="s">
        <v>171</v>
      </c>
      <c r="D123" s="260" t="s">
        <v>66</v>
      </c>
      <c r="E123" s="240">
        <v>21</v>
      </c>
      <c r="F123" s="1609">
        <v>0</v>
      </c>
      <c r="G123" s="245">
        <f t="shared" si="8"/>
        <v>0</v>
      </c>
    </row>
    <row r="124" spans="2:8">
      <c r="B124" s="218"/>
      <c r="C124" s="247" t="s">
        <v>135</v>
      </c>
      <c r="D124" s="260" t="s">
        <v>66</v>
      </c>
      <c r="E124" s="240">
        <v>21</v>
      </c>
      <c r="F124" s="1609">
        <v>0</v>
      </c>
      <c r="G124" s="245">
        <f t="shared" si="8"/>
        <v>0</v>
      </c>
    </row>
    <row r="125" spans="2:8">
      <c r="B125" s="218"/>
      <c r="C125" s="247" t="s">
        <v>891</v>
      </c>
      <c r="D125" s="260" t="s">
        <v>66</v>
      </c>
      <c r="E125" s="240">
        <v>21</v>
      </c>
      <c r="F125" s="1609">
        <v>0</v>
      </c>
      <c r="G125" s="245">
        <f t="shared" si="8"/>
        <v>0</v>
      </c>
    </row>
    <row r="126" spans="2:8">
      <c r="B126" s="201" t="s">
        <v>159</v>
      </c>
      <c r="C126" s="742" t="s">
        <v>173</v>
      </c>
      <c r="D126" s="743"/>
      <c r="E126" s="744"/>
      <c r="F126" s="1131"/>
      <c r="G126" s="1132"/>
    </row>
    <row r="127" spans="2:8" ht="72">
      <c r="B127" s="218"/>
      <c r="C127" s="745" t="s">
        <v>174</v>
      </c>
      <c r="D127" s="743" t="s">
        <v>66</v>
      </c>
      <c r="E127" s="747">
        <v>1</v>
      </c>
      <c r="F127" s="1174">
        <v>0</v>
      </c>
      <c r="G127" s="1132">
        <f>E127*F127</f>
        <v>0</v>
      </c>
    </row>
    <row r="128" spans="2:8">
      <c r="B128" s="258" t="s">
        <v>47</v>
      </c>
      <c r="C128" s="259" t="s">
        <v>1396</v>
      </c>
      <c r="D128" s="260"/>
      <c r="E128" s="261"/>
      <c r="F128" s="262"/>
      <c r="G128" s="263">
        <f>SUM(G77:G127)</f>
        <v>0</v>
      </c>
    </row>
  </sheetData>
  <mergeCells count="5">
    <mergeCell ref="B45:G45"/>
    <mergeCell ref="B72:G72"/>
    <mergeCell ref="B73:G73"/>
    <mergeCell ref="B74:G74"/>
    <mergeCell ref="B81:B83"/>
  </mergeCells>
  <pageMargins left="0.7" right="0.7" top="0.75" bottom="0.75" header="0.3" footer="0.3"/>
  <pageSetup paperSize="9" scale="84" orientation="portrait" r:id="rId1"/>
  <headerFooter alignWithMargins="0">
    <oddFooter>&amp;C&amp;8&amp;P/&amp;N</oddFooter>
  </headerFooter>
  <rowBreaks count="1" manualBreakCount="1">
    <brk id="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3765-8305-4AB1-A54A-9C1B2D65ACEA}">
  <sheetPr>
    <tabColor rgb="FFFFC000"/>
  </sheetPr>
  <dimension ref="A1:AC140"/>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28515625" style="66" customWidth="1"/>
    <col min="8" max="8" width="16" style="8" customWidth="1"/>
    <col min="9" max="9" width="18.57031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20</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G140</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358</v>
      </c>
      <c r="F23" s="141">
        <v>0</v>
      </c>
      <c r="G23" s="142">
        <f t="shared" ref="G23" si="0">E23*F23</f>
        <v>0</v>
      </c>
    </row>
    <row r="24" spans="2:29">
      <c r="B24" s="125">
        <v>2</v>
      </c>
      <c r="C24" s="139" t="s">
        <v>58</v>
      </c>
      <c r="D24" s="140" t="s">
        <v>57</v>
      </c>
      <c r="E24" s="128">
        <v>358</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358</v>
      </c>
      <c r="F28" s="141">
        <v>0</v>
      </c>
      <c r="G28" s="142">
        <f t="shared" si="1"/>
        <v>0</v>
      </c>
    </row>
    <row r="29" spans="2:29" ht="52.5" customHeight="1">
      <c r="B29" s="125">
        <v>7</v>
      </c>
      <c r="C29" s="147" t="s">
        <v>64</v>
      </c>
      <c r="D29" s="146" t="s">
        <v>60</v>
      </c>
      <c r="E29" s="128">
        <v>1</v>
      </c>
      <c r="F29" s="141">
        <v>0</v>
      </c>
      <c r="G29" s="142">
        <f t="shared" si="1"/>
        <v>0</v>
      </c>
    </row>
    <row r="30" spans="2:29" ht="54" customHeight="1">
      <c r="B30" s="125">
        <v>8</v>
      </c>
      <c r="C30" s="1080" t="s">
        <v>2292</v>
      </c>
      <c r="D30" s="146" t="s">
        <v>66</v>
      </c>
      <c r="E30" s="128">
        <v>7</v>
      </c>
      <c r="F30" s="141">
        <v>0</v>
      </c>
      <c r="G30" s="142">
        <f t="shared" si="1"/>
        <v>0</v>
      </c>
    </row>
    <row r="31" spans="2:29" ht="36" customHeight="1">
      <c r="B31" s="125">
        <v>9</v>
      </c>
      <c r="C31" s="1080" t="s">
        <v>2294</v>
      </c>
      <c r="D31" s="146" t="s">
        <v>57</v>
      </c>
      <c r="E31" s="128">
        <v>407</v>
      </c>
      <c r="F31" s="141">
        <v>0</v>
      </c>
      <c r="G31" s="142">
        <f t="shared" si="1"/>
        <v>0</v>
      </c>
      <c r="H31" s="143"/>
    </row>
    <row r="32" spans="2:29" ht="27.75" customHeight="1">
      <c r="B32" s="125">
        <v>10</v>
      </c>
      <c r="C32" s="1080" t="s">
        <v>2293</v>
      </c>
      <c r="D32" s="146" t="s">
        <v>57</v>
      </c>
      <c r="E32" s="128">
        <v>407</v>
      </c>
      <c r="F32" s="141">
        <v>0</v>
      </c>
      <c r="G32" s="142">
        <f t="shared" si="1"/>
        <v>0</v>
      </c>
    </row>
    <row r="33" spans="2:24" ht="14.25" customHeight="1">
      <c r="B33" s="125">
        <v>11</v>
      </c>
      <c r="C33" s="147" t="s">
        <v>67</v>
      </c>
      <c r="D33" s="146" t="s">
        <v>60</v>
      </c>
      <c r="E33" s="128">
        <v>1</v>
      </c>
      <c r="F33" s="141">
        <v>0</v>
      </c>
      <c r="G33" s="142">
        <f t="shared" si="1"/>
        <v>0</v>
      </c>
    </row>
    <row r="34" spans="2:24" ht="38.25" customHeight="1">
      <c r="B34" s="125">
        <v>12</v>
      </c>
      <c r="C34" s="148" t="s">
        <v>68</v>
      </c>
      <c r="D34" s="146" t="s">
        <v>60</v>
      </c>
      <c r="E34" s="149">
        <v>1</v>
      </c>
      <c r="F34" s="141">
        <v>0</v>
      </c>
      <c r="G34" s="142">
        <f t="shared" si="1"/>
        <v>0</v>
      </c>
      <c r="H34" s="1"/>
    </row>
    <row r="35" spans="2:24" ht="38.25" customHeight="1">
      <c r="B35" s="125">
        <v>13</v>
      </c>
      <c r="C35" s="150" t="s">
        <v>69</v>
      </c>
      <c r="D35" s="146" t="s">
        <v>60</v>
      </c>
      <c r="E35" s="149">
        <v>1</v>
      </c>
      <c r="F35" s="141">
        <v>0</v>
      </c>
      <c r="G35" s="142">
        <f t="shared" si="1"/>
        <v>0</v>
      </c>
      <c r="H35" s="1"/>
    </row>
    <row r="36" spans="2:24">
      <c r="B36" s="151" t="s">
        <v>43</v>
      </c>
      <c r="C36" s="152" t="s">
        <v>70</v>
      </c>
      <c r="D36" s="153"/>
      <c r="E36" s="154"/>
      <c r="F36" s="155"/>
      <c r="G36" s="156">
        <f>SUM(G23:G35)</f>
        <v>0</v>
      </c>
      <c r="H36" s="1"/>
    </row>
    <row r="37" spans="2:24">
      <c r="B37" s="125"/>
      <c r="C37" s="126"/>
      <c r="D37" s="127"/>
      <c r="E37" s="128"/>
      <c r="F37" s="129"/>
      <c r="G37" s="130"/>
      <c r="H37" s="1"/>
    </row>
    <row r="38" spans="2:24" ht="24">
      <c r="B38" s="157" t="s">
        <v>50</v>
      </c>
      <c r="C38" s="158" t="s">
        <v>51</v>
      </c>
      <c r="D38" s="159" t="s">
        <v>52</v>
      </c>
      <c r="E38" s="160" t="s">
        <v>53</v>
      </c>
      <c r="F38" s="161" t="s">
        <v>54</v>
      </c>
      <c r="G38" s="162" t="s">
        <v>55</v>
      </c>
      <c r="H38" s="1"/>
    </row>
    <row r="39" spans="2:24">
      <c r="B39" s="125"/>
      <c r="C39" s="163"/>
      <c r="D39" s="140"/>
      <c r="E39" s="128"/>
      <c r="F39" s="129"/>
      <c r="G39" s="130"/>
      <c r="H39" s="1"/>
    </row>
    <row r="40" spans="2:24" s="138" customFormat="1" ht="20.25">
      <c r="B40" s="131" t="s">
        <v>45</v>
      </c>
      <c r="C40" s="164" t="s">
        <v>71</v>
      </c>
      <c r="D40" s="165"/>
      <c r="E40" s="134"/>
      <c r="F40" s="135"/>
      <c r="G40" s="136"/>
      <c r="H40" s="1"/>
      <c r="I40" s="1"/>
      <c r="J40" s="1"/>
      <c r="K40" s="1"/>
      <c r="L40" s="1"/>
      <c r="M40" s="1"/>
      <c r="N40" s="1"/>
      <c r="O40" s="1"/>
      <c r="P40" s="1"/>
      <c r="Q40" s="1"/>
      <c r="R40" s="1"/>
      <c r="S40" s="1"/>
      <c r="T40" s="1"/>
      <c r="U40" s="1"/>
      <c r="V40" s="1"/>
      <c r="W40" s="1"/>
      <c r="X40" s="1"/>
    </row>
    <row r="41" spans="2:24" s="166" customFormat="1" ht="71.25" customHeight="1">
      <c r="B41" s="2399" t="s">
        <v>72</v>
      </c>
      <c r="C41" s="2400"/>
      <c r="D41" s="2400"/>
      <c r="E41" s="2400"/>
      <c r="F41" s="2400"/>
      <c r="G41" s="2401"/>
      <c r="H41" s="1"/>
      <c r="I41" s="1"/>
      <c r="J41" s="1"/>
      <c r="K41" s="1"/>
      <c r="L41" s="1"/>
      <c r="M41" s="1"/>
      <c r="N41" s="1"/>
      <c r="O41" s="1"/>
      <c r="P41" s="1"/>
      <c r="Q41" s="1"/>
      <c r="R41" s="1"/>
      <c r="S41" s="1"/>
      <c r="T41" s="1"/>
      <c r="U41" s="1"/>
      <c r="V41" s="1"/>
      <c r="W41" s="1"/>
      <c r="X41" s="1"/>
    </row>
    <row r="42" spans="2:24" ht="24">
      <c r="B42" s="167">
        <v>1</v>
      </c>
      <c r="C42" s="139" t="s">
        <v>73</v>
      </c>
      <c r="D42" s="140" t="s">
        <v>74</v>
      </c>
      <c r="E42" s="128">
        <v>18</v>
      </c>
      <c r="F42" s="141">
        <v>0</v>
      </c>
      <c r="G42" s="142">
        <f t="shared" ref="G42:G67" si="2">E42*F42</f>
        <v>0</v>
      </c>
      <c r="H42" s="1"/>
    </row>
    <row r="43" spans="2:24" ht="36">
      <c r="B43" s="167">
        <v>2</v>
      </c>
      <c r="C43" s="139" t="s">
        <v>75</v>
      </c>
      <c r="D43" s="145" t="s">
        <v>74</v>
      </c>
      <c r="E43" s="128">
        <v>16</v>
      </c>
      <c r="F43" s="141">
        <v>0</v>
      </c>
      <c r="G43" s="142">
        <f t="shared" si="2"/>
        <v>0</v>
      </c>
      <c r="H43" s="1"/>
    </row>
    <row r="44" spans="2:24" ht="39.75" customHeight="1">
      <c r="B44" s="167">
        <v>3</v>
      </c>
      <c r="C44" s="139" t="s">
        <v>76</v>
      </c>
      <c r="D44" s="145" t="s">
        <v>74</v>
      </c>
      <c r="E44" s="128">
        <v>763</v>
      </c>
      <c r="F44" s="141">
        <v>0</v>
      </c>
      <c r="G44" s="142">
        <f t="shared" si="2"/>
        <v>0</v>
      </c>
      <c r="H44" s="1"/>
    </row>
    <row r="45" spans="2:24" ht="24">
      <c r="B45" s="167">
        <v>4</v>
      </c>
      <c r="C45" s="168" t="s">
        <v>77</v>
      </c>
      <c r="D45" s="169" t="s">
        <v>78</v>
      </c>
      <c r="E45" s="170">
        <v>1455</v>
      </c>
      <c r="F45" s="141">
        <v>0</v>
      </c>
      <c r="G45" s="142">
        <f t="shared" si="2"/>
        <v>0</v>
      </c>
      <c r="H45" s="1"/>
    </row>
    <row r="46" spans="2:24" ht="29.25" customHeight="1">
      <c r="B46" s="167">
        <v>5</v>
      </c>
      <c r="C46" s="139" t="s">
        <v>79</v>
      </c>
      <c r="D46" s="145" t="s">
        <v>78</v>
      </c>
      <c r="E46" s="128">
        <v>382</v>
      </c>
      <c r="F46" s="141">
        <v>0</v>
      </c>
      <c r="G46" s="142">
        <f t="shared" si="2"/>
        <v>0</v>
      </c>
      <c r="H46" s="1"/>
    </row>
    <row r="47" spans="2:24" ht="27" customHeight="1">
      <c r="B47" s="167">
        <v>6</v>
      </c>
      <c r="C47" s="139" t="s">
        <v>80</v>
      </c>
      <c r="D47" s="145" t="s">
        <v>74</v>
      </c>
      <c r="E47" s="128">
        <v>115</v>
      </c>
      <c r="F47" s="141">
        <v>0</v>
      </c>
      <c r="G47" s="142">
        <f t="shared" si="2"/>
        <v>0</v>
      </c>
      <c r="H47" s="1"/>
    </row>
    <row r="48" spans="2:24" s="176" customFormat="1" ht="36">
      <c r="B48" s="167">
        <v>7</v>
      </c>
      <c r="C48" s="171" t="s">
        <v>81</v>
      </c>
      <c r="D48" s="172" t="s">
        <v>74</v>
      </c>
      <c r="E48" s="173">
        <v>491</v>
      </c>
      <c r="F48" s="141">
        <v>0</v>
      </c>
      <c r="G48" s="175">
        <f t="shared" si="2"/>
        <v>0</v>
      </c>
      <c r="H48" s="1"/>
      <c r="I48" s="1"/>
      <c r="J48" s="1"/>
      <c r="K48" s="1"/>
      <c r="L48" s="1"/>
      <c r="M48" s="1"/>
      <c r="N48" s="1"/>
      <c r="O48" s="1"/>
      <c r="P48" s="1"/>
      <c r="Q48" s="1"/>
      <c r="R48" s="1"/>
      <c r="S48" s="1"/>
      <c r="T48" s="1"/>
      <c r="U48" s="1"/>
      <c r="V48" s="1"/>
      <c r="W48" s="1"/>
      <c r="X48" s="1"/>
    </row>
    <row r="49" spans="2:24" s="166" customFormat="1" ht="36">
      <c r="B49" s="167">
        <v>8</v>
      </c>
      <c r="C49" s="274" t="s">
        <v>82</v>
      </c>
      <c r="D49" s="275" t="s">
        <v>74</v>
      </c>
      <c r="E49" s="173">
        <v>191</v>
      </c>
      <c r="F49" s="141">
        <v>0</v>
      </c>
      <c r="G49" s="175">
        <f t="shared" si="2"/>
        <v>0</v>
      </c>
      <c r="H49" s="1"/>
      <c r="I49" s="1"/>
      <c r="J49" s="1"/>
      <c r="K49" s="1"/>
      <c r="L49" s="1"/>
      <c r="M49" s="1"/>
      <c r="N49" s="1"/>
      <c r="O49" s="1"/>
      <c r="P49" s="1"/>
      <c r="Q49" s="1"/>
      <c r="R49" s="1"/>
      <c r="S49" s="1"/>
      <c r="T49" s="1"/>
      <c r="U49" s="1"/>
      <c r="V49" s="1"/>
      <c r="W49" s="1"/>
      <c r="X49" s="1"/>
    </row>
    <row r="50" spans="2:24" s="179" customFormat="1" ht="51" customHeight="1">
      <c r="B50" s="2406">
        <v>9</v>
      </c>
      <c r="C50" s="276" t="s">
        <v>83</v>
      </c>
      <c r="D50" s="277"/>
      <c r="E50" s="173"/>
      <c r="F50" s="174"/>
      <c r="G50" s="175"/>
      <c r="H50" s="1"/>
      <c r="I50" s="1"/>
      <c r="J50" s="1"/>
      <c r="K50" s="1"/>
      <c r="L50" s="1"/>
      <c r="M50" s="1"/>
      <c r="N50" s="1"/>
      <c r="O50" s="1"/>
      <c r="P50" s="1"/>
      <c r="Q50" s="1"/>
      <c r="R50" s="1"/>
      <c r="S50" s="1"/>
      <c r="T50" s="1"/>
      <c r="U50" s="1"/>
      <c r="V50" s="1"/>
      <c r="W50" s="1"/>
      <c r="X50" s="1"/>
    </row>
    <row r="51" spans="2:24" s="179" customFormat="1" ht="15" customHeight="1">
      <c r="B51" s="2407"/>
      <c r="C51" s="276" t="s">
        <v>84</v>
      </c>
      <c r="D51" s="277" t="s">
        <v>57</v>
      </c>
      <c r="E51" s="173">
        <v>5</v>
      </c>
      <c r="F51" s="174">
        <v>0</v>
      </c>
      <c r="G51" s="175">
        <f t="shared" ref="G51" si="3">E51*F51</f>
        <v>0</v>
      </c>
      <c r="H51" s="1"/>
      <c r="I51" s="1"/>
      <c r="J51" s="1"/>
      <c r="K51" s="1"/>
      <c r="L51" s="1"/>
      <c r="M51" s="1"/>
      <c r="N51" s="1"/>
      <c r="O51" s="1"/>
      <c r="P51" s="1"/>
      <c r="Q51" s="1"/>
      <c r="R51" s="1"/>
      <c r="S51" s="1"/>
      <c r="T51" s="1"/>
      <c r="U51" s="1"/>
      <c r="V51" s="1"/>
      <c r="W51" s="1"/>
      <c r="X51" s="1"/>
    </row>
    <row r="52" spans="2:24" ht="25.5" customHeight="1">
      <c r="B52" s="167">
        <v>10</v>
      </c>
      <c r="C52" s="171" t="s">
        <v>85</v>
      </c>
      <c r="D52" s="172" t="s">
        <v>57</v>
      </c>
      <c r="E52" s="173">
        <v>505</v>
      </c>
      <c r="F52" s="174">
        <v>0</v>
      </c>
      <c r="G52" s="175">
        <f t="shared" si="2"/>
        <v>0</v>
      </c>
      <c r="H52" s="1"/>
    </row>
    <row r="53" spans="2:24" ht="24">
      <c r="B53" s="167">
        <v>11</v>
      </c>
      <c r="C53" s="171" t="s">
        <v>86</v>
      </c>
      <c r="D53" s="277" t="s">
        <v>78</v>
      </c>
      <c r="E53" s="173">
        <v>560</v>
      </c>
      <c r="F53" s="174">
        <v>0</v>
      </c>
      <c r="G53" s="175">
        <f t="shared" si="2"/>
        <v>0</v>
      </c>
      <c r="H53" s="1"/>
    </row>
    <row r="54" spans="2:24" ht="49.5" customHeight="1">
      <c r="B54" s="167">
        <v>12</v>
      </c>
      <c r="C54" s="278" t="s">
        <v>87</v>
      </c>
      <c r="D54" s="277" t="s">
        <v>78</v>
      </c>
      <c r="E54" s="173">
        <v>560</v>
      </c>
      <c r="F54" s="174">
        <v>0</v>
      </c>
      <c r="G54" s="175">
        <f t="shared" si="2"/>
        <v>0</v>
      </c>
      <c r="H54" s="1"/>
    </row>
    <row r="55" spans="2:24" ht="48">
      <c r="B55" s="167">
        <v>13</v>
      </c>
      <c r="C55" s="171" t="s">
        <v>88</v>
      </c>
      <c r="D55" s="172" t="s">
        <v>78</v>
      </c>
      <c r="E55" s="173">
        <v>560</v>
      </c>
      <c r="F55" s="174">
        <v>0</v>
      </c>
      <c r="G55" s="175">
        <f t="shared" si="2"/>
        <v>0</v>
      </c>
      <c r="H55" s="1"/>
    </row>
    <row r="56" spans="2:24" ht="60">
      <c r="B56" s="167">
        <v>14</v>
      </c>
      <c r="C56" s="171" t="s">
        <v>89</v>
      </c>
      <c r="D56" s="172" t="s">
        <v>78</v>
      </c>
      <c r="E56" s="173">
        <v>784</v>
      </c>
      <c r="F56" s="174">
        <v>0</v>
      </c>
      <c r="G56" s="175">
        <f>E56*F56</f>
        <v>0</v>
      </c>
      <c r="H56" s="1"/>
    </row>
    <row r="57" spans="2:24" ht="38.25" customHeight="1">
      <c r="B57" s="167">
        <v>15</v>
      </c>
      <c r="C57" s="171" t="s">
        <v>90</v>
      </c>
      <c r="D57" s="277" t="s">
        <v>78</v>
      </c>
      <c r="E57" s="173">
        <v>224</v>
      </c>
      <c r="F57" s="174">
        <v>0</v>
      </c>
      <c r="G57" s="175">
        <f t="shared" si="2"/>
        <v>0</v>
      </c>
      <c r="H57" s="1"/>
    </row>
    <row r="58" spans="2:24" ht="24">
      <c r="B58" s="167">
        <v>16</v>
      </c>
      <c r="C58" s="171" t="s">
        <v>91</v>
      </c>
      <c r="D58" s="172" t="s">
        <v>74</v>
      </c>
      <c r="E58" s="173">
        <v>18</v>
      </c>
      <c r="F58" s="174">
        <v>0</v>
      </c>
      <c r="G58" s="175">
        <f t="shared" si="2"/>
        <v>0</v>
      </c>
      <c r="H58" s="1"/>
    </row>
    <row r="59" spans="2:24" s="176" customFormat="1" ht="24">
      <c r="B59" s="167">
        <v>17</v>
      </c>
      <c r="C59" s="171" t="s">
        <v>92</v>
      </c>
      <c r="D59" s="172" t="s">
        <v>74</v>
      </c>
      <c r="E59" s="173">
        <v>779</v>
      </c>
      <c r="F59" s="174">
        <v>0</v>
      </c>
      <c r="G59" s="175">
        <f t="shared" si="2"/>
        <v>0</v>
      </c>
      <c r="H59" s="1"/>
      <c r="I59" s="1"/>
      <c r="J59" s="1"/>
      <c r="K59" s="1"/>
      <c r="L59" s="1"/>
      <c r="M59" s="1"/>
      <c r="N59" s="1"/>
      <c r="O59" s="1"/>
      <c r="P59" s="1"/>
      <c r="Q59" s="1"/>
      <c r="R59" s="1"/>
      <c r="S59" s="1"/>
      <c r="T59" s="1"/>
      <c r="U59" s="1"/>
      <c r="V59" s="1"/>
      <c r="W59" s="1"/>
      <c r="X59" s="1"/>
    </row>
    <row r="60" spans="2:24" s="176" customFormat="1">
      <c r="B60" s="167">
        <v>18</v>
      </c>
      <c r="C60" s="171" t="s">
        <v>93</v>
      </c>
      <c r="D60" s="172" t="s">
        <v>74</v>
      </c>
      <c r="E60" s="173">
        <v>779</v>
      </c>
      <c r="F60" s="174">
        <v>0</v>
      </c>
      <c r="G60" s="175">
        <f t="shared" si="2"/>
        <v>0</v>
      </c>
      <c r="H60" s="1"/>
      <c r="I60" s="1"/>
      <c r="J60" s="1"/>
      <c r="K60" s="1"/>
      <c r="L60" s="1"/>
      <c r="M60" s="1"/>
      <c r="N60" s="1"/>
      <c r="O60" s="1"/>
      <c r="P60" s="1"/>
      <c r="Q60" s="1"/>
      <c r="R60" s="1"/>
      <c r="S60" s="1"/>
      <c r="T60" s="1"/>
      <c r="U60" s="1"/>
      <c r="V60" s="1"/>
      <c r="W60" s="1"/>
      <c r="X60" s="1"/>
    </row>
    <row r="61" spans="2:24" ht="24">
      <c r="B61" s="167">
        <v>19</v>
      </c>
      <c r="C61" s="139" t="s">
        <v>94</v>
      </c>
      <c r="D61" s="145" t="s">
        <v>78</v>
      </c>
      <c r="E61" s="128">
        <v>560</v>
      </c>
      <c r="F61" s="174">
        <v>0</v>
      </c>
      <c r="G61" s="142">
        <f t="shared" si="2"/>
        <v>0</v>
      </c>
      <c r="H61" s="1"/>
    </row>
    <row r="62" spans="2:24" ht="27" customHeight="1">
      <c r="B62" s="167">
        <v>20</v>
      </c>
      <c r="C62" s="139" t="s">
        <v>95</v>
      </c>
      <c r="D62" s="140" t="s">
        <v>78</v>
      </c>
      <c r="E62" s="128">
        <v>536</v>
      </c>
      <c r="F62" s="174">
        <v>0</v>
      </c>
      <c r="G62" s="142">
        <f t="shared" si="2"/>
        <v>0</v>
      </c>
      <c r="H62" s="1"/>
    </row>
    <row r="63" spans="2:24" ht="25.5" customHeight="1">
      <c r="B63" s="167">
        <v>21</v>
      </c>
      <c r="C63" s="177" t="s">
        <v>96</v>
      </c>
      <c r="D63" s="140" t="s">
        <v>57</v>
      </c>
      <c r="E63" s="128">
        <v>15</v>
      </c>
      <c r="F63" s="174">
        <v>0</v>
      </c>
      <c r="G63" s="142">
        <f t="shared" si="2"/>
        <v>0</v>
      </c>
      <c r="H63" s="1"/>
    </row>
    <row r="64" spans="2:24" ht="29.25" customHeight="1">
      <c r="B64" s="167">
        <v>22</v>
      </c>
      <c r="C64" s="181" t="s">
        <v>97</v>
      </c>
      <c r="D64" s="182" t="s">
        <v>74</v>
      </c>
      <c r="E64" s="183">
        <v>2</v>
      </c>
      <c r="F64" s="174">
        <v>0</v>
      </c>
      <c r="G64" s="142">
        <f t="shared" si="2"/>
        <v>0</v>
      </c>
      <c r="H64" s="1"/>
    </row>
    <row r="65" spans="1:24" ht="30" customHeight="1">
      <c r="B65" s="167">
        <v>23</v>
      </c>
      <c r="C65" s="184" t="s">
        <v>98</v>
      </c>
      <c r="D65" s="182" t="s">
        <v>66</v>
      </c>
      <c r="E65" s="128">
        <v>13</v>
      </c>
      <c r="F65" s="174">
        <v>0</v>
      </c>
      <c r="G65" s="142">
        <f t="shared" si="2"/>
        <v>0</v>
      </c>
      <c r="H65" s="1"/>
    </row>
    <row r="66" spans="1:24" ht="30" customHeight="1">
      <c r="B66" s="167">
        <v>24</v>
      </c>
      <c r="C66" s="184" t="s">
        <v>99</v>
      </c>
      <c r="D66" s="182" t="s">
        <v>74</v>
      </c>
      <c r="E66" s="183">
        <v>2</v>
      </c>
      <c r="F66" s="174">
        <v>0</v>
      </c>
      <c r="G66" s="142">
        <f t="shared" si="2"/>
        <v>0</v>
      </c>
      <c r="H66" s="1"/>
    </row>
    <row r="67" spans="1:24" ht="24">
      <c r="B67" s="167">
        <v>25</v>
      </c>
      <c r="C67" s="184" t="s">
        <v>100</v>
      </c>
      <c r="D67" s="182" t="s">
        <v>65</v>
      </c>
      <c r="E67" s="183">
        <v>66</v>
      </c>
      <c r="F67" s="174">
        <v>0</v>
      </c>
      <c r="G67" s="142">
        <f t="shared" si="2"/>
        <v>0</v>
      </c>
      <c r="H67" s="1"/>
    </row>
    <row r="68" spans="1:24">
      <c r="B68" s="151" t="s">
        <v>45</v>
      </c>
      <c r="C68" s="152" t="s">
        <v>101</v>
      </c>
      <c r="D68" s="185"/>
      <c r="E68" s="154"/>
      <c r="F68" s="155"/>
      <c r="G68" s="156">
        <f>SUM(G42:G67)</f>
        <v>0</v>
      </c>
      <c r="H68" s="1"/>
    </row>
    <row r="69" spans="1:24">
      <c r="B69" s="125"/>
      <c r="C69" s="126"/>
      <c r="D69" s="127"/>
      <c r="E69" s="128"/>
      <c r="F69" s="129"/>
      <c r="G69" s="130"/>
      <c r="H69" s="1"/>
    </row>
    <row r="70" spans="1:24" ht="24">
      <c r="B70" s="157" t="s">
        <v>50</v>
      </c>
      <c r="C70" s="158" t="s">
        <v>51</v>
      </c>
      <c r="D70" s="158" t="s">
        <v>52</v>
      </c>
      <c r="E70" s="160" t="s">
        <v>53</v>
      </c>
      <c r="F70" s="161" t="s">
        <v>54</v>
      </c>
      <c r="G70" s="162" t="s">
        <v>55</v>
      </c>
      <c r="H70" s="1"/>
    </row>
    <row r="71" spans="1:24">
      <c r="B71" s="125"/>
      <c r="C71" s="126"/>
      <c r="D71" s="140"/>
      <c r="E71" s="128"/>
      <c r="F71" s="129"/>
      <c r="G71" s="130"/>
      <c r="H71" s="1"/>
    </row>
    <row r="72" spans="1:24" s="138" customFormat="1" ht="20.25">
      <c r="B72" s="186" t="s">
        <v>47</v>
      </c>
      <c r="C72" s="187" t="s">
        <v>102</v>
      </c>
      <c r="D72" s="165"/>
      <c r="E72" s="134"/>
      <c r="F72" s="135"/>
      <c r="G72" s="136"/>
      <c r="H72" s="1"/>
      <c r="I72" s="1"/>
      <c r="J72" s="1"/>
      <c r="K72" s="1"/>
      <c r="L72" s="1"/>
      <c r="M72" s="1"/>
      <c r="N72" s="1"/>
      <c r="O72" s="1"/>
      <c r="P72" s="1"/>
      <c r="Q72" s="1"/>
      <c r="R72" s="1"/>
      <c r="S72" s="1"/>
      <c r="T72" s="1"/>
      <c r="U72" s="1"/>
      <c r="V72" s="1"/>
      <c r="W72" s="1"/>
      <c r="X72" s="1"/>
    </row>
    <row r="73" spans="1:24" s="14" customFormat="1" ht="18" customHeight="1">
      <c r="A73" s="9"/>
      <c r="B73" s="10" t="s">
        <v>38</v>
      </c>
      <c r="C73" s="11"/>
      <c r="D73" s="13"/>
      <c r="E73" s="12"/>
      <c r="F73" s="12"/>
      <c r="G73" s="13"/>
      <c r="H73" s="1"/>
      <c r="I73" s="1"/>
      <c r="J73" s="1"/>
      <c r="K73" s="1"/>
      <c r="L73" s="1"/>
      <c r="M73" s="1"/>
      <c r="N73" s="1"/>
      <c r="O73" s="1"/>
      <c r="P73" s="1"/>
      <c r="Q73" s="1"/>
      <c r="R73" s="1"/>
      <c r="S73" s="1"/>
      <c r="T73" s="1"/>
      <c r="U73" s="1"/>
      <c r="V73" s="1"/>
      <c r="W73" s="1"/>
      <c r="X73" s="1"/>
    </row>
    <row r="74" spans="1:24" s="14" customFormat="1" ht="18" customHeight="1">
      <c r="A74" s="15"/>
      <c r="B74" s="16" t="s">
        <v>39</v>
      </c>
      <c r="C74" s="17"/>
      <c r="D74" s="18"/>
      <c r="E74" s="19"/>
      <c r="F74" s="19"/>
      <c r="G74" s="18"/>
      <c r="H74" s="1"/>
      <c r="I74" s="1"/>
      <c r="J74" s="1"/>
      <c r="K74" s="1"/>
      <c r="L74" s="1"/>
      <c r="M74" s="1"/>
      <c r="N74" s="1"/>
      <c r="O74" s="1"/>
      <c r="P74" s="1"/>
      <c r="Q74" s="1"/>
      <c r="R74" s="1"/>
      <c r="S74" s="1"/>
      <c r="T74" s="1"/>
      <c r="U74" s="1"/>
      <c r="V74" s="1"/>
      <c r="W74" s="1"/>
      <c r="X74" s="1"/>
    </row>
    <row r="75" spans="1:24" s="14" customFormat="1" ht="18" customHeight="1">
      <c r="A75" s="9"/>
      <c r="B75" s="10" t="s">
        <v>4</v>
      </c>
      <c r="C75" s="11"/>
      <c r="D75" s="12"/>
      <c r="E75" s="12"/>
      <c r="F75" s="12"/>
      <c r="G75" s="13"/>
      <c r="H75" s="1"/>
      <c r="I75" s="1"/>
      <c r="J75" s="1"/>
      <c r="K75" s="1"/>
      <c r="L75" s="1"/>
      <c r="M75" s="1"/>
      <c r="N75" s="1"/>
      <c r="O75" s="1"/>
      <c r="P75" s="1"/>
      <c r="Q75" s="1"/>
      <c r="R75" s="1"/>
      <c r="S75" s="1"/>
      <c r="T75" s="1"/>
      <c r="U75" s="1"/>
      <c r="V75" s="1"/>
      <c r="W75" s="1"/>
      <c r="X75" s="1"/>
    </row>
    <row r="76" spans="1:24" s="14" customFormat="1" ht="18" customHeight="1">
      <c r="A76" s="15"/>
      <c r="B76" s="16" t="s">
        <v>5</v>
      </c>
      <c r="C76" s="17"/>
      <c r="D76" s="19"/>
      <c r="E76" s="19"/>
      <c r="F76" s="19"/>
      <c r="G76" s="18"/>
      <c r="H76" s="1"/>
      <c r="I76" s="1"/>
      <c r="J76" s="1"/>
      <c r="K76" s="1"/>
      <c r="L76" s="1"/>
      <c r="M76" s="1"/>
      <c r="N76" s="1"/>
      <c r="O76" s="1"/>
      <c r="P76" s="1"/>
      <c r="Q76" s="1"/>
      <c r="R76" s="1"/>
      <c r="S76" s="1"/>
      <c r="T76" s="1"/>
      <c r="U76" s="1"/>
      <c r="V76" s="1"/>
      <c r="W76" s="1"/>
      <c r="X76" s="1"/>
    </row>
    <row r="77" spans="1:24" s="166" customFormat="1" ht="30" customHeight="1">
      <c r="B77" s="2399" t="s">
        <v>103</v>
      </c>
      <c r="C77" s="2400"/>
      <c r="D77" s="2400"/>
      <c r="E77" s="2400"/>
      <c r="F77" s="2400"/>
      <c r="G77" s="2401"/>
      <c r="H77" s="1"/>
      <c r="I77" s="1"/>
      <c r="J77" s="1"/>
      <c r="K77" s="1"/>
      <c r="L77" s="1"/>
      <c r="M77" s="1"/>
      <c r="N77" s="1"/>
      <c r="O77" s="1"/>
      <c r="P77" s="1"/>
      <c r="Q77" s="1"/>
      <c r="R77" s="1"/>
      <c r="S77" s="1"/>
      <c r="T77" s="1"/>
      <c r="U77" s="1"/>
      <c r="V77" s="1"/>
      <c r="W77" s="1"/>
      <c r="X77" s="1"/>
    </row>
    <row r="78" spans="1:24" s="166" customFormat="1" ht="18.75" customHeight="1">
      <c r="B78" s="2399" t="s">
        <v>104</v>
      </c>
      <c r="C78" s="2400"/>
      <c r="D78" s="2400"/>
      <c r="E78" s="2400"/>
      <c r="F78" s="2400"/>
      <c r="G78" s="2401"/>
      <c r="H78" s="1"/>
      <c r="I78" s="1"/>
      <c r="J78" s="1"/>
      <c r="K78" s="1"/>
      <c r="L78" s="1"/>
      <c r="M78" s="1"/>
      <c r="N78" s="1"/>
      <c r="O78" s="1"/>
      <c r="P78" s="1"/>
      <c r="Q78" s="1"/>
      <c r="R78" s="1"/>
      <c r="S78" s="1"/>
      <c r="T78" s="1"/>
      <c r="U78" s="1"/>
      <c r="V78" s="1"/>
      <c r="W78" s="1"/>
      <c r="X78" s="1"/>
    </row>
    <row r="79" spans="1:24" s="166" customFormat="1" ht="18.75" customHeight="1">
      <c r="B79" s="2399" t="s">
        <v>105</v>
      </c>
      <c r="C79" s="2400"/>
      <c r="D79" s="2400"/>
      <c r="E79" s="2400"/>
      <c r="F79" s="2400"/>
      <c r="G79" s="2401"/>
      <c r="H79" s="1"/>
      <c r="I79" s="1"/>
      <c r="J79" s="1"/>
      <c r="K79" s="1"/>
      <c r="L79" s="1"/>
      <c r="M79" s="1"/>
      <c r="N79" s="1"/>
      <c r="O79" s="1"/>
      <c r="P79" s="1"/>
      <c r="Q79" s="1"/>
      <c r="R79" s="1"/>
      <c r="S79" s="1"/>
      <c r="T79" s="1"/>
      <c r="U79" s="1"/>
      <c r="V79" s="1"/>
      <c r="W79" s="1"/>
      <c r="X79" s="1"/>
    </row>
    <row r="80" spans="1:24" ht="30" customHeight="1">
      <c r="B80" s="188">
        <v>1</v>
      </c>
      <c r="C80" s="189" t="s">
        <v>106</v>
      </c>
      <c r="D80" s="190"/>
      <c r="E80" s="128"/>
      <c r="F80" s="129"/>
      <c r="G80" s="130"/>
      <c r="H80" s="1"/>
    </row>
    <row r="81" spans="2:24" s="179" customFormat="1" ht="18.75" customHeight="1">
      <c r="B81" s="191"/>
      <c r="C81" s="271" t="s">
        <v>179</v>
      </c>
      <c r="D81" s="190" t="s">
        <v>57</v>
      </c>
      <c r="E81" s="128">
        <v>108</v>
      </c>
      <c r="F81" s="141">
        <v>0</v>
      </c>
      <c r="G81" s="142">
        <f t="shared" ref="G81:G84" si="4">E81*F81</f>
        <v>0</v>
      </c>
      <c r="H81" s="1"/>
      <c r="I81" s="1"/>
      <c r="J81" s="1"/>
      <c r="K81" s="1"/>
      <c r="L81" s="1"/>
      <c r="M81" s="1"/>
      <c r="N81" s="1"/>
      <c r="O81" s="1"/>
      <c r="P81" s="1"/>
      <c r="Q81" s="1"/>
      <c r="R81" s="1"/>
      <c r="S81" s="1"/>
      <c r="T81" s="1"/>
      <c r="U81" s="1"/>
      <c r="V81" s="1"/>
      <c r="W81" s="1"/>
      <c r="X81" s="1"/>
    </row>
    <row r="82" spans="2:24" s="179" customFormat="1" ht="18.75" customHeight="1">
      <c r="B82" s="191"/>
      <c r="C82" s="271" t="s">
        <v>180</v>
      </c>
      <c r="D82" s="190" t="s">
        <v>57</v>
      </c>
      <c r="E82" s="128">
        <v>250</v>
      </c>
      <c r="F82" s="141">
        <v>0</v>
      </c>
      <c r="G82" s="142">
        <f t="shared" si="4"/>
        <v>0</v>
      </c>
      <c r="H82" s="1"/>
      <c r="I82" s="1"/>
      <c r="J82" s="1"/>
      <c r="K82" s="1"/>
      <c r="L82" s="1"/>
      <c r="M82" s="1"/>
      <c r="N82" s="1"/>
      <c r="O82" s="1"/>
      <c r="P82" s="1"/>
      <c r="Q82" s="1"/>
      <c r="R82" s="1"/>
      <c r="S82" s="1"/>
      <c r="T82" s="1"/>
      <c r="U82" s="1"/>
      <c r="V82" s="1"/>
      <c r="W82" s="1"/>
      <c r="X82" s="1"/>
    </row>
    <row r="83" spans="2:24" s="179" customFormat="1" ht="19.5" customHeight="1">
      <c r="B83" s="191"/>
      <c r="C83" s="192" t="s">
        <v>109</v>
      </c>
      <c r="D83" s="190" t="s">
        <v>57</v>
      </c>
      <c r="E83" s="128">
        <v>44</v>
      </c>
      <c r="F83" s="141">
        <v>0</v>
      </c>
      <c r="G83" s="142">
        <f t="shared" si="4"/>
        <v>0</v>
      </c>
      <c r="H83" s="1"/>
      <c r="I83" s="1"/>
      <c r="J83" s="1"/>
      <c r="K83" s="1"/>
      <c r="L83" s="1"/>
      <c r="M83" s="1"/>
      <c r="N83" s="1"/>
      <c r="O83" s="1"/>
      <c r="P83" s="1"/>
      <c r="Q83" s="1"/>
      <c r="R83" s="1"/>
      <c r="S83" s="1"/>
      <c r="T83" s="1"/>
      <c r="U83" s="1"/>
      <c r="V83" s="1"/>
      <c r="W83" s="1"/>
      <c r="X83" s="1"/>
    </row>
    <row r="84" spans="2:24" s="179" customFormat="1" ht="27.75" customHeight="1">
      <c r="B84" s="191"/>
      <c r="C84" s="192" t="s">
        <v>110</v>
      </c>
      <c r="D84" s="190" t="s">
        <v>57</v>
      </c>
      <c r="E84" s="128">
        <v>5</v>
      </c>
      <c r="F84" s="141">
        <v>0</v>
      </c>
      <c r="G84" s="142">
        <f t="shared" si="4"/>
        <v>0</v>
      </c>
      <c r="H84" s="1"/>
      <c r="I84" s="1"/>
      <c r="J84" s="1"/>
      <c r="K84" s="1"/>
      <c r="L84" s="1"/>
      <c r="M84" s="1"/>
      <c r="N84" s="1"/>
      <c r="O84" s="1"/>
      <c r="P84" s="1"/>
      <c r="Q84" s="1"/>
      <c r="R84" s="1"/>
      <c r="S84" s="1"/>
      <c r="T84" s="1"/>
      <c r="U84" s="1"/>
      <c r="V84" s="1"/>
      <c r="W84" s="1"/>
      <c r="X84" s="1"/>
    </row>
    <row r="85" spans="2:24" ht="36">
      <c r="B85" s="2404" t="s">
        <v>111</v>
      </c>
      <c r="C85" s="193" t="s">
        <v>112</v>
      </c>
      <c r="D85" s="194"/>
      <c r="E85" s="128"/>
      <c r="F85" s="141"/>
      <c r="G85" s="142"/>
      <c r="H85" s="1"/>
    </row>
    <row r="86" spans="2:24">
      <c r="B86" s="2405"/>
      <c r="C86" s="195" t="s">
        <v>113</v>
      </c>
      <c r="D86" s="194" t="s">
        <v>57</v>
      </c>
      <c r="E86" s="128">
        <v>358</v>
      </c>
      <c r="F86" s="141">
        <v>0</v>
      </c>
      <c r="G86" s="142">
        <f t="shared" ref="G86:G90" si="5">E86*F86</f>
        <v>0</v>
      </c>
      <c r="H86" s="1"/>
    </row>
    <row r="87" spans="2:24" ht="36">
      <c r="B87" s="196">
        <v>2</v>
      </c>
      <c r="C87" s="197" t="s">
        <v>114</v>
      </c>
      <c r="D87" s="145" t="s">
        <v>57</v>
      </c>
      <c r="E87" s="128">
        <v>407</v>
      </c>
      <c r="F87" s="141">
        <v>0</v>
      </c>
      <c r="G87" s="142">
        <f t="shared" si="5"/>
        <v>0</v>
      </c>
      <c r="H87" s="1"/>
    </row>
    <row r="88" spans="2:24" ht="36">
      <c r="B88" s="199" t="s">
        <v>115</v>
      </c>
      <c r="C88" s="197" t="s">
        <v>116</v>
      </c>
      <c r="D88" s="145" t="s">
        <v>57</v>
      </c>
      <c r="E88" s="128">
        <v>407</v>
      </c>
      <c r="F88" s="141">
        <v>0</v>
      </c>
      <c r="G88" s="142">
        <f t="shared" si="5"/>
        <v>0</v>
      </c>
      <c r="H88" s="1"/>
    </row>
    <row r="89" spans="2:24" ht="24">
      <c r="B89" s="199" t="s">
        <v>117</v>
      </c>
      <c r="C89" s="197" t="s">
        <v>118</v>
      </c>
      <c r="D89" s="145" t="s">
        <v>57</v>
      </c>
      <c r="E89" s="128">
        <v>407</v>
      </c>
      <c r="F89" s="141">
        <v>0</v>
      </c>
      <c r="G89" s="142">
        <f t="shared" si="5"/>
        <v>0</v>
      </c>
      <c r="H89" s="1"/>
    </row>
    <row r="90" spans="2:24" ht="36">
      <c r="B90" s="199" t="s">
        <v>119</v>
      </c>
      <c r="C90" s="197" t="s">
        <v>120</v>
      </c>
      <c r="D90" s="145" t="s">
        <v>57</v>
      </c>
      <c r="E90" s="198">
        <v>407</v>
      </c>
      <c r="F90" s="141">
        <v>0</v>
      </c>
      <c r="G90" s="142">
        <f t="shared" si="5"/>
        <v>0</v>
      </c>
      <c r="H90" s="1"/>
    </row>
    <row r="91" spans="2:24" ht="24">
      <c r="B91" s="188">
        <v>3</v>
      </c>
      <c r="C91" s="200" t="s">
        <v>121</v>
      </c>
      <c r="D91" s="127"/>
      <c r="E91" s="128"/>
      <c r="F91" s="129"/>
      <c r="G91" s="130"/>
      <c r="H91" s="1"/>
    </row>
    <row r="92" spans="2:24">
      <c r="B92" s="201" t="s">
        <v>122</v>
      </c>
      <c r="C92" s="202" t="s">
        <v>123</v>
      </c>
      <c r="D92" s="203"/>
      <c r="E92" s="204"/>
      <c r="F92" s="205"/>
      <c r="G92" s="206"/>
      <c r="H92" s="1"/>
    </row>
    <row r="93" spans="2:24" s="179" customFormat="1" ht="18" customHeight="1">
      <c r="B93" s="207"/>
      <c r="C93" s="202" t="s">
        <v>210</v>
      </c>
      <c r="D93" s="203"/>
      <c r="E93" s="204"/>
      <c r="F93" s="205"/>
      <c r="G93" s="206"/>
      <c r="H93" s="1"/>
      <c r="I93" s="1"/>
      <c r="J93" s="1"/>
      <c r="K93" s="1"/>
      <c r="L93" s="1"/>
      <c r="M93" s="1"/>
      <c r="N93" s="1"/>
      <c r="O93" s="1"/>
      <c r="P93" s="1"/>
      <c r="Q93" s="1"/>
      <c r="R93" s="1"/>
      <c r="S93" s="1"/>
      <c r="T93" s="1"/>
      <c r="U93" s="1"/>
      <c r="V93" s="1"/>
      <c r="W93" s="1"/>
      <c r="X93" s="1"/>
    </row>
    <row r="94" spans="2:24" s="179" customFormat="1" ht="18" customHeight="1">
      <c r="B94" s="207"/>
      <c r="C94" s="280" t="s">
        <v>211</v>
      </c>
      <c r="D94" s="209" t="s">
        <v>66</v>
      </c>
      <c r="E94" s="204">
        <v>2</v>
      </c>
      <c r="F94" s="210">
        <v>0</v>
      </c>
      <c r="G94" s="211">
        <f t="shared" ref="G94:G97" si="6">E94*F94</f>
        <v>0</v>
      </c>
      <c r="H94" s="1"/>
      <c r="I94" s="1"/>
      <c r="J94" s="1"/>
      <c r="K94" s="1"/>
      <c r="L94" s="1"/>
      <c r="M94" s="1"/>
      <c r="N94" s="1"/>
      <c r="O94" s="1"/>
      <c r="P94" s="1"/>
      <c r="Q94" s="1"/>
      <c r="R94" s="1"/>
      <c r="S94" s="1"/>
      <c r="T94" s="1"/>
      <c r="U94" s="1"/>
      <c r="V94" s="1"/>
      <c r="W94" s="1"/>
      <c r="X94" s="1"/>
    </row>
    <row r="95" spans="2:24" s="179" customFormat="1" ht="18" customHeight="1">
      <c r="B95" s="207"/>
      <c r="C95" s="280" t="s">
        <v>212</v>
      </c>
      <c r="D95" s="209" t="s">
        <v>66</v>
      </c>
      <c r="E95" s="204">
        <v>1</v>
      </c>
      <c r="F95" s="210">
        <v>0</v>
      </c>
      <c r="G95" s="211">
        <f t="shared" si="6"/>
        <v>0</v>
      </c>
      <c r="H95" s="1"/>
      <c r="I95" s="1"/>
      <c r="J95" s="1"/>
      <c r="K95" s="1"/>
      <c r="L95" s="1"/>
      <c r="M95" s="1"/>
      <c r="N95" s="1"/>
      <c r="O95" s="1"/>
      <c r="P95" s="1"/>
      <c r="Q95" s="1"/>
      <c r="R95" s="1"/>
      <c r="S95" s="1"/>
      <c r="T95" s="1"/>
      <c r="U95" s="1"/>
      <c r="V95" s="1"/>
      <c r="W95" s="1"/>
      <c r="X95" s="1"/>
    </row>
    <row r="96" spans="2:24" s="179" customFormat="1" ht="18" customHeight="1">
      <c r="B96" s="207"/>
      <c r="C96" s="280" t="s">
        <v>213</v>
      </c>
      <c r="D96" s="209" t="s">
        <v>66</v>
      </c>
      <c r="E96" s="204">
        <v>2</v>
      </c>
      <c r="F96" s="210">
        <v>0</v>
      </c>
      <c r="G96" s="211">
        <f t="shared" si="6"/>
        <v>0</v>
      </c>
      <c r="H96" s="1"/>
      <c r="I96" s="1"/>
      <c r="J96" s="1"/>
      <c r="K96" s="1"/>
      <c r="L96" s="1"/>
      <c r="M96" s="1"/>
      <c r="N96" s="1"/>
      <c r="O96" s="1"/>
      <c r="P96" s="1"/>
      <c r="Q96" s="1"/>
      <c r="R96" s="1"/>
      <c r="S96" s="1"/>
      <c r="T96" s="1"/>
      <c r="U96" s="1"/>
      <c r="V96" s="1"/>
      <c r="W96" s="1"/>
      <c r="X96" s="1"/>
    </row>
    <row r="97" spans="2:24" s="179" customFormat="1" ht="18" customHeight="1">
      <c r="B97" s="207"/>
      <c r="C97" s="208" t="s">
        <v>214</v>
      </c>
      <c r="D97" s="209" t="s">
        <v>66</v>
      </c>
      <c r="E97" s="204">
        <v>10</v>
      </c>
      <c r="F97" s="210">
        <v>0</v>
      </c>
      <c r="G97" s="211">
        <f t="shared" si="6"/>
        <v>0</v>
      </c>
      <c r="H97" s="1"/>
      <c r="I97" s="1"/>
      <c r="J97" s="1"/>
      <c r="K97" s="1"/>
      <c r="L97" s="1"/>
      <c r="M97" s="1"/>
      <c r="N97" s="1"/>
      <c r="O97" s="1"/>
      <c r="P97" s="1"/>
      <c r="Q97" s="1"/>
      <c r="R97" s="1"/>
      <c r="S97" s="1"/>
      <c r="T97" s="1"/>
      <c r="U97" s="1"/>
      <c r="V97" s="1"/>
      <c r="W97" s="1"/>
      <c r="X97" s="1"/>
    </row>
    <row r="98" spans="2:24" s="217" customFormat="1">
      <c r="B98" s="201" t="s">
        <v>126</v>
      </c>
      <c r="C98" s="223" t="s">
        <v>137</v>
      </c>
      <c r="D98" s="224"/>
      <c r="E98" s="225"/>
      <c r="F98" s="226"/>
      <c r="G98" s="227"/>
      <c r="H98" s="1"/>
      <c r="I98" s="1"/>
      <c r="J98" s="1"/>
      <c r="K98" s="1"/>
      <c r="L98" s="1"/>
      <c r="M98" s="1"/>
      <c r="N98" s="1"/>
      <c r="O98" s="1"/>
      <c r="P98" s="1"/>
      <c r="Q98" s="1"/>
      <c r="R98" s="1"/>
      <c r="S98" s="1"/>
      <c r="T98" s="1"/>
      <c r="U98" s="1"/>
      <c r="V98" s="1"/>
      <c r="W98" s="1"/>
      <c r="X98" s="1"/>
    </row>
    <row r="99" spans="2:24" s="217" customFormat="1">
      <c r="B99" s="218"/>
      <c r="C99" s="223" t="s">
        <v>185</v>
      </c>
      <c r="D99" s="224"/>
      <c r="E99" s="225"/>
      <c r="F99" s="226"/>
      <c r="G99" s="227"/>
      <c r="H99" s="1"/>
      <c r="I99" s="1"/>
      <c r="J99" s="1"/>
      <c r="K99" s="1"/>
      <c r="L99" s="1"/>
      <c r="M99" s="1"/>
      <c r="N99" s="1"/>
      <c r="O99" s="1"/>
      <c r="P99" s="1"/>
      <c r="Q99" s="1"/>
      <c r="R99" s="1"/>
      <c r="S99" s="1"/>
      <c r="T99" s="1"/>
      <c r="U99" s="1"/>
      <c r="V99" s="1"/>
      <c r="W99" s="1"/>
      <c r="X99" s="1"/>
    </row>
    <row r="100" spans="2:24" s="217" customFormat="1">
      <c r="B100" s="218"/>
      <c r="C100" s="228" t="s">
        <v>186</v>
      </c>
      <c r="D100" s="224" t="s">
        <v>66</v>
      </c>
      <c r="E100" s="225">
        <v>1</v>
      </c>
      <c r="F100" s="229">
        <v>0</v>
      </c>
      <c r="G100" s="230">
        <f t="shared" ref="G100:G113" si="7">E100*F100</f>
        <v>0</v>
      </c>
      <c r="H100" s="1"/>
      <c r="I100" s="1"/>
      <c r="J100" s="1"/>
      <c r="K100" s="1"/>
      <c r="L100" s="1"/>
      <c r="M100" s="1"/>
      <c r="N100" s="1"/>
      <c r="O100" s="1"/>
      <c r="P100" s="1"/>
      <c r="Q100" s="1"/>
      <c r="R100" s="1"/>
      <c r="S100" s="1"/>
      <c r="T100" s="1"/>
      <c r="U100" s="1"/>
      <c r="V100" s="1"/>
      <c r="W100" s="1"/>
      <c r="X100" s="1"/>
    </row>
    <row r="101" spans="2:24" s="217" customFormat="1">
      <c r="B101" s="218"/>
      <c r="C101" s="228" t="s">
        <v>187</v>
      </c>
      <c r="D101" s="224" t="s">
        <v>66</v>
      </c>
      <c r="E101" s="225">
        <v>2</v>
      </c>
      <c r="F101" s="229">
        <v>0</v>
      </c>
      <c r="G101" s="230">
        <f t="shared" si="7"/>
        <v>0</v>
      </c>
      <c r="H101" s="1"/>
      <c r="I101" s="1"/>
      <c r="J101" s="1"/>
      <c r="K101" s="1"/>
      <c r="L101" s="1"/>
      <c r="M101" s="1"/>
      <c r="N101" s="1"/>
      <c r="O101" s="1"/>
      <c r="P101" s="1"/>
      <c r="Q101" s="1"/>
      <c r="R101" s="1"/>
      <c r="S101" s="1"/>
      <c r="T101" s="1"/>
      <c r="U101" s="1"/>
      <c r="V101" s="1"/>
      <c r="W101" s="1"/>
      <c r="X101" s="1"/>
    </row>
    <row r="102" spans="2:24" s="217" customFormat="1" ht="12.75" customHeight="1">
      <c r="B102" s="218"/>
      <c r="C102" s="231" t="s">
        <v>140</v>
      </c>
      <c r="D102" s="224" t="s">
        <v>66</v>
      </c>
      <c r="E102" s="225">
        <v>1</v>
      </c>
      <c r="F102" s="229">
        <v>0</v>
      </c>
      <c r="G102" s="230">
        <f t="shared" si="7"/>
        <v>0</v>
      </c>
      <c r="H102" s="1"/>
      <c r="I102" s="1"/>
      <c r="J102" s="1"/>
      <c r="K102" s="1"/>
      <c r="L102" s="1"/>
      <c r="M102" s="1"/>
      <c r="N102" s="1"/>
      <c r="O102" s="1"/>
      <c r="P102" s="1"/>
      <c r="Q102" s="1"/>
      <c r="R102" s="1"/>
      <c r="S102" s="1"/>
      <c r="T102" s="1"/>
      <c r="U102" s="1"/>
      <c r="V102" s="1"/>
      <c r="W102" s="1"/>
      <c r="X102" s="1"/>
    </row>
    <row r="103" spans="2:24" s="217" customFormat="1">
      <c r="B103" s="218"/>
      <c r="C103" s="231" t="s">
        <v>141</v>
      </c>
      <c r="D103" s="224" t="s">
        <v>66</v>
      </c>
      <c r="E103" s="225">
        <v>1</v>
      </c>
      <c r="F103" s="229">
        <v>0</v>
      </c>
      <c r="G103" s="230">
        <f t="shared" si="7"/>
        <v>0</v>
      </c>
      <c r="H103" s="1"/>
      <c r="I103" s="1"/>
      <c r="J103" s="1"/>
      <c r="K103" s="1"/>
      <c r="L103" s="1"/>
      <c r="M103" s="1"/>
      <c r="N103" s="1"/>
      <c r="O103" s="1"/>
      <c r="P103" s="1"/>
      <c r="Q103" s="1"/>
      <c r="R103" s="1"/>
      <c r="S103" s="1"/>
      <c r="T103" s="1"/>
      <c r="U103" s="1"/>
      <c r="V103" s="1"/>
      <c r="W103" s="1"/>
      <c r="X103" s="1"/>
    </row>
    <row r="104" spans="2:24" s="217" customFormat="1">
      <c r="B104" s="218"/>
      <c r="C104" s="231" t="s">
        <v>142</v>
      </c>
      <c r="D104" s="224" t="s">
        <v>66</v>
      </c>
      <c r="E104" s="225">
        <v>1</v>
      </c>
      <c r="F104" s="229">
        <v>0</v>
      </c>
      <c r="G104" s="230">
        <f t="shared" si="7"/>
        <v>0</v>
      </c>
      <c r="H104" s="1"/>
      <c r="I104" s="1"/>
      <c r="J104" s="1"/>
      <c r="K104" s="1"/>
      <c r="L104" s="1"/>
      <c r="M104" s="1"/>
      <c r="N104" s="1"/>
      <c r="O104" s="1"/>
      <c r="P104" s="1"/>
      <c r="Q104" s="1"/>
      <c r="R104" s="1"/>
      <c r="S104" s="1"/>
      <c r="T104" s="1"/>
      <c r="U104" s="1"/>
      <c r="V104" s="1"/>
      <c r="W104" s="1"/>
      <c r="X104" s="1"/>
    </row>
    <row r="105" spans="2:24" s="217" customFormat="1">
      <c r="B105" s="218"/>
      <c r="C105" s="231" t="s">
        <v>143</v>
      </c>
      <c r="D105" s="224" t="s">
        <v>66</v>
      </c>
      <c r="E105" s="225">
        <v>1</v>
      </c>
      <c r="F105" s="229">
        <v>0</v>
      </c>
      <c r="G105" s="230">
        <f t="shared" si="7"/>
        <v>0</v>
      </c>
      <c r="H105" s="1"/>
      <c r="I105" s="1"/>
      <c r="J105" s="1"/>
      <c r="K105" s="1"/>
      <c r="L105" s="1"/>
      <c r="M105" s="1"/>
      <c r="N105" s="1"/>
      <c r="O105" s="1"/>
      <c r="P105" s="1"/>
      <c r="Q105" s="1"/>
      <c r="R105" s="1"/>
      <c r="S105" s="1"/>
      <c r="T105" s="1"/>
      <c r="U105" s="1"/>
      <c r="V105" s="1"/>
      <c r="W105" s="1"/>
      <c r="X105" s="1"/>
    </row>
    <row r="106" spans="2:24" s="217" customFormat="1">
      <c r="B106" s="218"/>
      <c r="C106" s="231" t="s">
        <v>155</v>
      </c>
      <c r="D106" s="224" t="s">
        <v>66</v>
      </c>
      <c r="E106" s="225">
        <v>1</v>
      </c>
      <c r="F106" s="229">
        <v>0</v>
      </c>
      <c r="G106" s="230">
        <f t="shared" si="7"/>
        <v>0</v>
      </c>
      <c r="H106" s="1"/>
      <c r="I106" s="1"/>
      <c r="J106" s="1"/>
      <c r="K106" s="1"/>
      <c r="L106" s="1"/>
      <c r="M106" s="1"/>
      <c r="N106" s="1"/>
      <c r="O106" s="1"/>
      <c r="P106" s="1"/>
      <c r="Q106" s="1"/>
      <c r="R106" s="1"/>
      <c r="S106" s="1"/>
      <c r="T106" s="1"/>
      <c r="U106" s="1"/>
      <c r="V106" s="1"/>
      <c r="W106" s="1"/>
      <c r="X106" s="1"/>
    </row>
    <row r="107" spans="2:24" s="217" customFormat="1">
      <c r="B107" s="218"/>
      <c r="C107" s="231" t="s">
        <v>145</v>
      </c>
      <c r="D107" s="224" t="s">
        <v>66</v>
      </c>
      <c r="E107" s="225">
        <v>1</v>
      </c>
      <c r="F107" s="229">
        <v>0</v>
      </c>
      <c r="G107" s="230">
        <f t="shared" si="7"/>
        <v>0</v>
      </c>
      <c r="H107" s="1"/>
      <c r="I107" s="1"/>
      <c r="J107" s="1"/>
      <c r="K107" s="1"/>
      <c r="L107" s="1"/>
      <c r="M107" s="1"/>
      <c r="N107" s="1"/>
      <c r="O107" s="1"/>
      <c r="P107" s="1"/>
      <c r="Q107" s="1"/>
      <c r="R107" s="1"/>
      <c r="S107" s="1"/>
      <c r="T107" s="1"/>
      <c r="U107" s="1"/>
      <c r="V107" s="1"/>
      <c r="W107" s="1"/>
      <c r="X107" s="1"/>
    </row>
    <row r="108" spans="2:24" s="217" customFormat="1">
      <c r="B108" s="218"/>
      <c r="C108" s="231" t="s">
        <v>146</v>
      </c>
      <c r="D108" s="224" t="s">
        <v>66</v>
      </c>
      <c r="E108" s="225">
        <v>1</v>
      </c>
      <c r="F108" s="229">
        <v>0</v>
      </c>
      <c r="G108" s="230">
        <f t="shared" si="7"/>
        <v>0</v>
      </c>
      <c r="H108" s="1"/>
      <c r="I108" s="1"/>
      <c r="J108" s="1"/>
      <c r="K108" s="1"/>
      <c r="L108" s="1"/>
      <c r="M108" s="1"/>
      <c r="N108" s="1"/>
      <c r="O108" s="1"/>
      <c r="P108" s="1"/>
      <c r="Q108" s="1"/>
      <c r="R108" s="1"/>
      <c r="S108" s="1"/>
      <c r="T108" s="1"/>
      <c r="U108" s="1"/>
      <c r="V108" s="1"/>
      <c r="W108" s="1"/>
      <c r="X108" s="1"/>
    </row>
    <row r="109" spans="2:24" s="217" customFormat="1">
      <c r="B109" s="218"/>
      <c r="C109" s="232" t="s">
        <v>188</v>
      </c>
      <c r="D109" s="224" t="s">
        <v>66</v>
      </c>
      <c r="E109" s="225">
        <v>1</v>
      </c>
      <c r="F109" s="229">
        <v>0</v>
      </c>
      <c r="G109" s="230">
        <f t="shared" si="7"/>
        <v>0</v>
      </c>
      <c r="H109" s="1"/>
      <c r="I109" s="1"/>
      <c r="J109" s="1"/>
      <c r="K109" s="1"/>
      <c r="L109" s="1"/>
      <c r="M109" s="1"/>
      <c r="N109" s="1"/>
      <c r="O109" s="1"/>
      <c r="P109" s="1"/>
      <c r="Q109" s="1"/>
      <c r="R109" s="1"/>
      <c r="S109" s="1"/>
      <c r="T109" s="1"/>
      <c r="U109" s="1"/>
      <c r="V109" s="1"/>
      <c r="W109" s="1"/>
      <c r="X109" s="1"/>
    </row>
    <row r="110" spans="2:24" s="217" customFormat="1">
      <c r="B110" s="218"/>
      <c r="C110" s="232" t="s">
        <v>184</v>
      </c>
      <c r="D110" s="224" t="s">
        <v>66</v>
      </c>
      <c r="E110" s="225">
        <v>2</v>
      </c>
      <c r="F110" s="229">
        <v>0</v>
      </c>
      <c r="G110" s="230">
        <f t="shared" si="7"/>
        <v>0</v>
      </c>
      <c r="H110" s="1"/>
      <c r="I110" s="1"/>
      <c r="J110" s="1"/>
      <c r="K110" s="1"/>
      <c r="L110" s="1"/>
      <c r="M110" s="1"/>
      <c r="N110" s="1"/>
      <c r="O110" s="1"/>
      <c r="P110" s="1"/>
      <c r="Q110" s="1"/>
      <c r="R110" s="1"/>
      <c r="S110" s="1"/>
      <c r="T110" s="1"/>
      <c r="U110" s="1"/>
      <c r="V110" s="1"/>
      <c r="W110" s="1"/>
      <c r="X110" s="1"/>
    </row>
    <row r="111" spans="2:24" s="217" customFormat="1">
      <c r="B111" s="218"/>
      <c r="C111" s="232" t="s">
        <v>149</v>
      </c>
      <c r="D111" s="224" t="s">
        <v>66</v>
      </c>
      <c r="E111" s="225">
        <v>1</v>
      </c>
      <c r="F111" s="229">
        <v>0</v>
      </c>
      <c r="G111" s="230">
        <f t="shared" si="7"/>
        <v>0</v>
      </c>
      <c r="H111" s="1"/>
      <c r="I111" s="1"/>
      <c r="J111" s="1"/>
      <c r="K111" s="1"/>
      <c r="L111" s="1"/>
      <c r="M111" s="1"/>
      <c r="N111" s="1"/>
      <c r="O111" s="1"/>
      <c r="P111" s="1"/>
      <c r="Q111" s="1"/>
      <c r="R111" s="1"/>
      <c r="S111" s="1"/>
      <c r="T111" s="1"/>
      <c r="U111" s="1"/>
      <c r="V111" s="1"/>
      <c r="W111" s="1"/>
      <c r="X111" s="1"/>
    </row>
    <row r="112" spans="2:24" s="217" customFormat="1">
      <c r="B112" s="218"/>
      <c r="C112" s="232" t="s">
        <v>150</v>
      </c>
      <c r="D112" s="224" t="s">
        <v>66</v>
      </c>
      <c r="E112" s="225">
        <v>2</v>
      </c>
      <c r="F112" s="229">
        <v>0</v>
      </c>
      <c r="G112" s="230">
        <f t="shared" si="7"/>
        <v>0</v>
      </c>
      <c r="H112" s="1"/>
      <c r="I112" s="1"/>
      <c r="J112" s="1"/>
      <c r="K112" s="1"/>
      <c r="L112" s="1"/>
      <c r="M112" s="1"/>
      <c r="N112" s="1"/>
      <c r="O112" s="1"/>
      <c r="P112" s="1"/>
      <c r="Q112" s="1"/>
      <c r="R112" s="1"/>
      <c r="S112" s="1"/>
      <c r="T112" s="1"/>
      <c r="U112" s="1"/>
      <c r="V112" s="1"/>
      <c r="W112" s="1"/>
      <c r="X112" s="1"/>
    </row>
    <row r="113" spans="2:24" s="217" customFormat="1">
      <c r="B113" s="218"/>
      <c r="C113" s="233" t="s">
        <v>135</v>
      </c>
      <c r="D113" s="224" t="s">
        <v>66</v>
      </c>
      <c r="E113" s="225">
        <v>3</v>
      </c>
      <c r="F113" s="229">
        <v>0</v>
      </c>
      <c r="G113" s="230">
        <f t="shared" si="7"/>
        <v>0</v>
      </c>
      <c r="H113" s="1"/>
      <c r="I113" s="1"/>
      <c r="J113" s="1"/>
      <c r="K113" s="1"/>
      <c r="L113" s="1"/>
      <c r="M113" s="1"/>
      <c r="N113" s="1"/>
      <c r="O113" s="1"/>
      <c r="P113" s="1"/>
      <c r="Q113" s="1"/>
      <c r="R113" s="1"/>
      <c r="S113" s="1"/>
      <c r="T113" s="1"/>
      <c r="U113" s="1"/>
      <c r="V113" s="1"/>
      <c r="W113" s="1"/>
      <c r="X113" s="1"/>
    </row>
    <row r="114" spans="2:24" s="217" customFormat="1">
      <c r="B114" s="201" t="s">
        <v>136</v>
      </c>
      <c r="C114" s="212" t="s">
        <v>152</v>
      </c>
      <c r="D114" s="213"/>
      <c r="E114" s="214"/>
      <c r="F114" s="215"/>
      <c r="G114" s="216"/>
      <c r="H114" s="1"/>
      <c r="I114" s="1"/>
      <c r="J114" s="1"/>
      <c r="K114" s="1"/>
      <c r="L114" s="1"/>
      <c r="M114" s="1"/>
      <c r="N114" s="1"/>
      <c r="O114" s="1"/>
      <c r="P114" s="1"/>
      <c r="Q114" s="1"/>
      <c r="R114" s="1"/>
      <c r="S114" s="1"/>
      <c r="T114" s="1"/>
      <c r="U114" s="1"/>
      <c r="V114" s="1"/>
      <c r="W114" s="1"/>
      <c r="X114" s="1"/>
    </row>
    <row r="115" spans="2:24" s="217" customFormat="1">
      <c r="B115" s="218"/>
      <c r="C115" s="212" t="s">
        <v>189</v>
      </c>
      <c r="D115" s="213"/>
      <c r="E115" s="214"/>
      <c r="F115" s="215"/>
      <c r="G115" s="216"/>
      <c r="H115" s="1"/>
      <c r="I115" s="1"/>
      <c r="J115" s="1"/>
      <c r="K115" s="1"/>
      <c r="L115" s="1"/>
      <c r="M115" s="1"/>
      <c r="N115" s="1"/>
      <c r="O115" s="1"/>
      <c r="P115" s="1"/>
      <c r="Q115" s="1"/>
      <c r="R115" s="1"/>
      <c r="S115" s="1"/>
      <c r="T115" s="1"/>
      <c r="U115" s="1"/>
      <c r="V115" s="1"/>
      <c r="W115" s="1"/>
      <c r="X115" s="1"/>
    </row>
    <row r="116" spans="2:24" s="217" customFormat="1">
      <c r="B116" s="218"/>
      <c r="C116" s="219" t="s">
        <v>186</v>
      </c>
      <c r="D116" s="213" t="s">
        <v>66</v>
      </c>
      <c r="E116" s="214">
        <v>2</v>
      </c>
      <c r="F116" s="220">
        <v>0</v>
      </c>
      <c r="G116" s="221">
        <f t="shared" ref="G116:G125" si="8">E116*F116</f>
        <v>0</v>
      </c>
      <c r="H116" s="1"/>
      <c r="I116" s="1"/>
      <c r="J116" s="1"/>
      <c r="K116" s="1"/>
      <c r="L116" s="1"/>
      <c r="M116" s="1"/>
      <c r="N116" s="1"/>
      <c r="O116" s="1"/>
      <c r="P116" s="1"/>
      <c r="Q116" s="1"/>
      <c r="R116" s="1"/>
      <c r="S116" s="1"/>
      <c r="T116" s="1"/>
      <c r="U116" s="1"/>
      <c r="V116" s="1"/>
      <c r="W116" s="1"/>
      <c r="X116" s="1"/>
    </row>
    <row r="117" spans="2:24" s="217" customFormat="1" ht="24" customHeight="1">
      <c r="B117" s="218"/>
      <c r="C117" s="222" t="s">
        <v>154</v>
      </c>
      <c r="D117" s="213" t="s">
        <v>66</v>
      </c>
      <c r="E117" s="214">
        <v>2</v>
      </c>
      <c r="F117" s="220">
        <v>0</v>
      </c>
      <c r="G117" s="221">
        <f t="shared" si="8"/>
        <v>0</v>
      </c>
      <c r="H117" s="1"/>
      <c r="I117" s="1"/>
      <c r="J117" s="1"/>
      <c r="K117" s="1"/>
      <c r="L117" s="1"/>
      <c r="M117" s="1"/>
      <c r="N117" s="1"/>
      <c r="O117" s="1"/>
      <c r="P117" s="1"/>
      <c r="Q117" s="1"/>
      <c r="R117" s="1"/>
      <c r="S117" s="1"/>
      <c r="T117" s="1"/>
      <c r="U117" s="1"/>
      <c r="V117" s="1"/>
      <c r="W117" s="1"/>
      <c r="X117" s="1"/>
    </row>
    <row r="118" spans="2:24" s="217" customFormat="1">
      <c r="B118" s="218"/>
      <c r="C118" s="222" t="s">
        <v>155</v>
      </c>
      <c r="D118" s="213" t="s">
        <v>66</v>
      </c>
      <c r="E118" s="214">
        <v>2</v>
      </c>
      <c r="F118" s="220">
        <v>0</v>
      </c>
      <c r="G118" s="221">
        <f t="shared" si="8"/>
        <v>0</v>
      </c>
      <c r="H118" s="1"/>
      <c r="I118" s="1"/>
      <c r="J118" s="1"/>
      <c r="K118" s="1"/>
      <c r="L118" s="1"/>
      <c r="M118" s="1"/>
      <c r="N118" s="1"/>
      <c r="O118" s="1"/>
      <c r="P118" s="1"/>
      <c r="Q118" s="1"/>
      <c r="R118" s="1"/>
      <c r="S118" s="1"/>
      <c r="T118" s="1"/>
      <c r="U118" s="1"/>
      <c r="V118" s="1"/>
      <c r="W118" s="1"/>
      <c r="X118" s="1"/>
    </row>
    <row r="119" spans="2:24" s="217" customFormat="1">
      <c r="B119" s="218"/>
      <c r="C119" s="222" t="s">
        <v>156</v>
      </c>
      <c r="D119" s="213" t="s">
        <v>66</v>
      </c>
      <c r="E119" s="214">
        <v>2</v>
      </c>
      <c r="F119" s="220">
        <v>0</v>
      </c>
      <c r="G119" s="221">
        <f t="shared" si="8"/>
        <v>0</v>
      </c>
      <c r="H119" s="1"/>
      <c r="I119" s="1"/>
      <c r="J119" s="1"/>
      <c r="K119" s="1"/>
      <c r="L119" s="1"/>
      <c r="M119" s="1"/>
      <c r="N119" s="1"/>
      <c r="O119" s="1"/>
      <c r="P119" s="1"/>
      <c r="Q119" s="1"/>
      <c r="R119" s="1"/>
      <c r="S119" s="1"/>
      <c r="T119" s="1"/>
      <c r="U119" s="1"/>
      <c r="V119" s="1"/>
      <c r="W119" s="1"/>
      <c r="X119" s="1"/>
    </row>
    <row r="120" spans="2:24" s="217" customFormat="1">
      <c r="B120" s="218"/>
      <c r="C120" s="222" t="s">
        <v>157</v>
      </c>
      <c r="D120" s="213" t="s">
        <v>66</v>
      </c>
      <c r="E120" s="214">
        <v>2</v>
      </c>
      <c r="F120" s="220">
        <v>0</v>
      </c>
      <c r="G120" s="221">
        <f t="shared" si="8"/>
        <v>0</v>
      </c>
      <c r="H120" s="1"/>
      <c r="I120" s="1"/>
      <c r="J120" s="1"/>
      <c r="K120" s="1"/>
      <c r="L120" s="1"/>
      <c r="M120" s="1"/>
      <c r="N120" s="1"/>
      <c r="O120" s="1"/>
      <c r="P120" s="1"/>
      <c r="Q120" s="1"/>
      <c r="R120" s="1"/>
      <c r="S120" s="1"/>
      <c r="T120" s="1"/>
      <c r="U120" s="1"/>
      <c r="V120" s="1"/>
      <c r="W120" s="1"/>
      <c r="X120" s="1"/>
    </row>
    <row r="121" spans="2:24" s="217" customFormat="1">
      <c r="B121" s="218"/>
      <c r="C121" s="234" t="s">
        <v>158</v>
      </c>
      <c r="D121" s="213" t="s">
        <v>66</v>
      </c>
      <c r="E121" s="214">
        <v>2</v>
      </c>
      <c r="F121" s="220">
        <v>0</v>
      </c>
      <c r="G121" s="221">
        <f t="shared" si="8"/>
        <v>0</v>
      </c>
      <c r="H121" s="1"/>
      <c r="I121" s="1"/>
      <c r="J121" s="1"/>
      <c r="K121" s="1"/>
      <c r="L121" s="1"/>
      <c r="M121" s="1"/>
      <c r="N121" s="1"/>
      <c r="O121" s="1"/>
      <c r="P121" s="1"/>
      <c r="Q121" s="1"/>
      <c r="R121" s="1"/>
      <c r="S121" s="1"/>
      <c r="T121" s="1"/>
      <c r="U121" s="1"/>
      <c r="V121" s="1"/>
      <c r="W121" s="1"/>
      <c r="X121" s="1"/>
    </row>
    <row r="122" spans="2:24" s="217" customFormat="1">
      <c r="B122" s="218"/>
      <c r="C122" s="234" t="s">
        <v>190</v>
      </c>
      <c r="D122" s="213" t="s">
        <v>66</v>
      </c>
      <c r="E122" s="214">
        <v>2</v>
      </c>
      <c r="F122" s="220">
        <v>0</v>
      </c>
      <c r="G122" s="221">
        <f t="shared" si="8"/>
        <v>0</v>
      </c>
      <c r="H122" s="1"/>
      <c r="I122" s="1"/>
      <c r="J122" s="1"/>
      <c r="K122" s="1"/>
      <c r="L122" s="1"/>
      <c r="M122" s="1"/>
      <c r="N122" s="1"/>
      <c r="O122" s="1"/>
      <c r="P122" s="1"/>
      <c r="Q122" s="1"/>
      <c r="R122" s="1"/>
      <c r="S122" s="1"/>
      <c r="T122" s="1"/>
      <c r="U122" s="1"/>
      <c r="V122" s="1"/>
      <c r="W122" s="1"/>
      <c r="X122" s="1"/>
    </row>
    <row r="123" spans="2:24" s="217" customFormat="1">
      <c r="B123" s="218"/>
      <c r="C123" s="234" t="s">
        <v>184</v>
      </c>
      <c r="D123" s="213" t="s">
        <v>66</v>
      </c>
      <c r="E123" s="214">
        <v>4</v>
      </c>
      <c r="F123" s="220">
        <v>0</v>
      </c>
      <c r="G123" s="221">
        <f t="shared" si="8"/>
        <v>0</v>
      </c>
      <c r="H123" s="1"/>
      <c r="I123" s="1"/>
      <c r="J123" s="1"/>
      <c r="K123" s="1"/>
      <c r="L123" s="1"/>
      <c r="M123" s="1"/>
      <c r="N123" s="1"/>
      <c r="O123" s="1"/>
      <c r="P123" s="1"/>
      <c r="Q123" s="1"/>
      <c r="R123" s="1"/>
      <c r="S123" s="1"/>
      <c r="T123" s="1"/>
      <c r="U123" s="1"/>
      <c r="V123" s="1"/>
      <c r="W123" s="1"/>
      <c r="X123" s="1"/>
    </row>
    <row r="124" spans="2:24" s="217" customFormat="1">
      <c r="B124" s="218"/>
      <c r="C124" s="234" t="s">
        <v>150</v>
      </c>
      <c r="D124" s="213" t="s">
        <v>66</v>
      </c>
      <c r="E124" s="214">
        <v>2</v>
      </c>
      <c r="F124" s="220">
        <v>0</v>
      </c>
      <c r="G124" s="221">
        <f t="shared" si="8"/>
        <v>0</v>
      </c>
      <c r="H124" s="1"/>
      <c r="I124" s="1"/>
      <c r="J124" s="1"/>
      <c r="K124" s="1"/>
      <c r="L124" s="1"/>
      <c r="M124" s="1"/>
      <c r="N124" s="1"/>
      <c r="O124" s="1"/>
      <c r="P124" s="1"/>
      <c r="Q124" s="1"/>
      <c r="R124" s="1"/>
      <c r="S124" s="1"/>
      <c r="T124" s="1"/>
      <c r="U124" s="1"/>
      <c r="V124" s="1"/>
      <c r="W124" s="1"/>
      <c r="X124" s="1"/>
    </row>
    <row r="125" spans="2:24" s="217" customFormat="1">
      <c r="B125" s="218"/>
      <c r="C125" s="235" t="s">
        <v>135</v>
      </c>
      <c r="D125" s="213" t="s">
        <v>66</v>
      </c>
      <c r="E125" s="214">
        <v>2</v>
      </c>
      <c r="F125" s="220">
        <v>0</v>
      </c>
      <c r="G125" s="221">
        <f t="shared" si="8"/>
        <v>0</v>
      </c>
      <c r="H125" s="1"/>
      <c r="I125" s="1"/>
      <c r="J125" s="1"/>
      <c r="K125" s="1"/>
      <c r="L125" s="1"/>
      <c r="M125" s="1"/>
      <c r="N125" s="1"/>
      <c r="O125" s="1"/>
      <c r="P125" s="1"/>
      <c r="Q125" s="1"/>
      <c r="R125" s="1"/>
      <c r="S125" s="1"/>
      <c r="T125" s="1"/>
      <c r="U125" s="1"/>
      <c r="V125" s="1"/>
      <c r="W125" s="1"/>
      <c r="X125" s="1"/>
    </row>
    <row r="126" spans="2:24" s="217" customFormat="1">
      <c r="B126" s="201" t="s">
        <v>151</v>
      </c>
      <c r="C126" s="223" t="s">
        <v>160</v>
      </c>
      <c r="D126" s="224"/>
      <c r="E126" s="225"/>
      <c r="F126" s="226"/>
      <c r="G126" s="227"/>
      <c r="H126" s="1"/>
      <c r="I126" s="1"/>
      <c r="J126" s="1"/>
      <c r="K126" s="1"/>
      <c r="L126" s="1"/>
      <c r="M126" s="1"/>
      <c r="N126" s="1"/>
      <c r="O126" s="1"/>
      <c r="P126" s="1"/>
      <c r="Q126" s="1"/>
      <c r="R126" s="1"/>
      <c r="S126" s="1"/>
      <c r="T126" s="1"/>
      <c r="U126" s="1"/>
      <c r="V126" s="1"/>
      <c r="W126" s="1"/>
      <c r="X126" s="1"/>
    </row>
    <row r="127" spans="2:24" s="217" customFormat="1">
      <c r="B127" s="218"/>
      <c r="C127" s="223" t="s">
        <v>215</v>
      </c>
      <c r="D127" s="224"/>
      <c r="E127" s="225"/>
      <c r="F127" s="226"/>
      <c r="G127" s="227"/>
      <c r="H127" s="1"/>
      <c r="I127" s="1"/>
      <c r="J127" s="1"/>
      <c r="K127" s="1"/>
      <c r="L127" s="1"/>
      <c r="M127" s="1"/>
      <c r="N127" s="1"/>
      <c r="O127" s="1"/>
      <c r="P127" s="1"/>
      <c r="Q127" s="1"/>
      <c r="R127" s="1"/>
      <c r="S127" s="1"/>
      <c r="T127" s="1"/>
      <c r="U127" s="1"/>
      <c r="V127" s="1"/>
      <c r="W127" s="1"/>
      <c r="X127" s="1"/>
    </row>
    <row r="128" spans="2:24" s="217" customFormat="1" ht="24">
      <c r="B128" s="218"/>
      <c r="C128" s="228" t="s">
        <v>2068</v>
      </c>
      <c r="D128" s="224" t="s">
        <v>66</v>
      </c>
      <c r="E128" s="225">
        <v>1</v>
      </c>
      <c r="F128" s="229">
        <v>0</v>
      </c>
      <c r="G128" s="230">
        <f t="shared" ref="G128:G132" si="9">E128*F128</f>
        <v>0</v>
      </c>
      <c r="H128" s="1"/>
      <c r="I128" s="1"/>
      <c r="J128" s="1"/>
      <c r="K128" s="1"/>
      <c r="L128" s="1"/>
      <c r="M128" s="1"/>
      <c r="N128" s="1"/>
      <c r="O128" s="1"/>
      <c r="P128" s="1"/>
      <c r="Q128" s="1"/>
      <c r="R128" s="1"/>
      <c r="S128" s="1"/>
      <c r="T128" s="1"/>
      <c r="U128" s="1"/>
      <c r="V128" s="1"/>
      <c r="W128" s="1"/>
      <c r="X128" s="1"/>
    </row>
    <row r="129" spans="2:24" s="217" customFormat="1">
      <c r="B129" s="218"/>
      <c r="C129" s="232" t="s">
        <v>216</v>
      </c>
      <c r="D129" s="224" t="s">
        <v>66</v>
      </c>
      <c r="E129" s="225">
        <v>2</v>
      </c>
      <c r="F129" s="229">
        <v>0</v>
      </c>
      <c r="G129" s="230">
        <f t="shared" si="9"/>
        <v>0</v>
      </c>
      <c r="H129" s="1"/>
      <c r="I129" s="1"/>
      <c r="J129" s="1"/>
      <c r="K129" s="1"/>
      <c r="L129" s="1"/>
      <c r="M129" s="1"/>
      <c r="N129" s="1"/>
      <c r="O129" s="1"/>
      <c r="P129" s="1"/>
      <c r="Q129" s="1"/>
      <c r="R129" s="1"/>
      <c r="S129" s="1"/>
      <c r="T129" s="1"/>
      <c r="U129" s="1"/>
      <c r="V129" s="1"/>
      <c r="W129" s="1"/>
      <c r="X129" s="1"/>
    </row>
    <row r="130" spans="2:24" s="217" customFormat="1">
      <c r="B130" s="218"/>
      <c r="C130" s="232" t="s">
        <v>184</v>
      </c>
      <c r="D130" s="224" t="s">
        <v>66</v>
      </c>
      <c r="E130" s="225">
        <v>1</v>
      </c>
      <c r="F130" s="229">
        <v>0</v>
      </c>
      <c r="G130" s="230">
        <f t="shared" si="9"/>
        <v>0</v>
      </c>
      <c r="H130" s="1"/>
      <c r="I130" s="1"/>
      <c r="J130" s="1"/>
      <c r="K130" s="1"/>
      <c r="L130" s="1"/>
      <c r="M130" s="1"/>
      <c r="N130" s="1"/>
      <c r="O130" s="1"/>
      <c r="P130" s="1"/>
      <c r="Q130" s="1"/>
      <c r="R130" s="1"/>
      <c r="S130" s="1"/>
      <c r="T130" s="1"/>
      <c r="U130" s="1"/>
      <c r="V130" s="1"/>
      <c r="W130" s="1"/>
      <c r="X130" s="1"/>
    </row>
    <row r="131" spans="2:24" s="217" customFormat="1">
      <c r="B131" s="218"/>
      <c r="C131" s="232" t="s">
        <v>150</v>
      </c>
      <c r="D131" s="224" t="s">
        <v>66</v>
      </c>
      <c r="E131" s="225">
        <v>1</v>
      </c>
      <c r="F131" s="229">
        <v>0</v>
      </c>
      <c r="G131" s="230">
        <f t="shared" si="9"/>
        <v>0</v>
      </c>
      <c r="H131" s="1"/>
      <c r="I131" s="1"/>
      <c r="J131" s="1"/>
      <c r="K131" s="1"/>
      <c r="L131" s="1"/>
      <c r="M131" s="1"/>
      <c r="N131" s="1"/>
      <c r="O131" s="1"/>
      <c r="P131" s="1"/>
      <c r="Q131" s="1"/>
      <c r="R131" s="1"/>
      <c r="S131" s="1"/>
      <c r="T131" s="1"/>
      <c r="U131" s="1"/>
      <c r="V131" s="1"/>
      <c r="W131" s="1"/>
      <c r="X131" s="1"/>
    </row>
    <row r="132" spans="2:24" s="217" customFormat="1">
      <c r="B132" s="218"/>
      <c r="C132" s="233" t="s">
        <v>135</v>
      </c>
      <c r="D132" s="224" t="s">
        <v>66</v>
      </c>
      <c r="E132" s="225">
        <v>1</v>
      </c>
      <c r="F132" s="229">
        <v>0</v>
      </c>
      <c r="G132" s="230">
        <f t="shared" si="9"/>
        <v>0</v>
      </c>
      <c r="H132" s="1"/>
      <c r="I132" s="1"/>
      <c r="J132" s="1"/>
      <c r="K132" s="1"/>
      <c r="L132" s="1"/>
      <c r="M132" s="1"/>
      <c r="N132" s="1"/>
      <c r="O132" s="1"/>
      <c r="P132" s="1"/>
      <c r="Q132" s="1"/>
      <c r="R132" s="1"/>
      <c r="S132" s="1"/>
      <c r="T132" s="1"/>
      <c r="U132" s="1"/>
      <c r="V132" s="1"/>
      <c r="W132" s="1"/>
      <c r="X132" s="1"/>
    </row>
    <row r="133" spans="2:24" s="217" customFormat="1">
      <c r="B133" s="201" t="s">
        <v>159</v>
      </c>
      <c r="C133" s="238" t="s">
        <v>169</v>
      </c>
      <c r="D133" s="239"/>
      <c r="E133" s="240"/>
      <c r="F133" s="241"/>
      <c r="G133" s="242"/>
      <c r="H133" s="1"/>
      <c r="I133" s="1"/>
      <c r="J133" s="1"/>
      <c r="K133" s="1"/>
      <c r="L133" s="1"/>
      <c r="M133" s="1"/>
      <c r="N133" s="1"/>
      <c r="O133" s="1"/>
      <c r="P133" s="1"/>
      <c r="Q133" s="1"/>
      <c r="R133" s="1"/>
      <c r="S133" s="1"/>
      <c r="T133" s="1"/>
      <c r="U133" s="1"/>
      <c r="V133" s="1"/>
      <c r="W133" s="1"/>
      <c r="X133" s="1"/>
    </row>
    <row r="134" spans="2:24" s="217" customFormat="1">
      <c r="B134" s="218"/>
      <c r="C134" s="238" t="s">
        <v>198</v>
      </c>
      <c r="D134" s="239"/>
      <c r="E134" s="240"/>
      <c r="F134" s="241"/>
      <c r="G134" s="242"/>
      <c r="H134" s="1"/>
      <c r="I134" s="1"/>
      <c r="J134" s="1"/>
      <c r="K134" s="1"/>
      <c r="L134" s="1"/>
      <c r="M134" s="1"/>
      <c r="N134" s="1"/>
      <c r="O134" s="1"/>
      <c r="P134" s="1"/>
      <c r="Q134" s="1"/>
      <c r="R134" s="1"/>
      <c r="S134" s="1"/>
      <c r="T134" s="1"/>
      <c r="U134" s="1"/>
      <c r="V134" s="1"/>
      <c r="W134" s="1"/>
      <c r="X134" s="1"/>
    </row>
    <row r="135" spans="2:24" s="217" customFormat="1" ht="36">
      <c r="B135" s="218"/>
      <c r="C135" s="243" t="s">
        <v>2065</v>
      </c>
      <c r="D135" s="239" t="s">
        <v>66</v>
      </c>
      <c r="E135" s="240">
        <v>7</v>
      </c>
      <c r="F135" s="244">
        <v>0</v>
      </c>
      <c r="G135" s="245">
        <f t="shared" ref="G135:G137" si="10">E135*F135</f>
        <v>0</v>
      </c>
      <c r="H135" s="1"/>
      <c r="I135" s="1"/>
      <c r="J135" s="1"/>
      <c r="K135" s="1"/>
      <c r="L135" s="1"/>
      <c r="M135" s="1"/>
      <c r="N135" s="1"/>
      <c r="O135" s="1"/>
      <c r="P135" s="1"/>
      <c r="Q135" s="1"/>
      <c r="R135" s="1"/>
      <c r="S135" s="1"/>
      <c r="T135" s="1"/>
      <c r="U135" s="1"/>
      <c r="V135" s="1"/>
      <c r="W135" s="1"/>
      <c r="X135" s="1"/>
    </row>
    <row r="136" spans="2:24" s="217" customFormat="1">
      <c r="B136" s="218"/>
      <c r="C136" s="246" t="s">
        <v>171</v>
      </c>
      <c r="D136" s="239" t="s">
        <v>66</v>
      </c>
      <c r="E136" s="240">
        <v>7</v>
      </c>
      <c r="F136" s="244">
        <v>0</v>
      </c>
      <c r="G136" s="245">
        <f t="shared" si="10"/>
        <v>0</v>
      </c>
      <c r="H136" s="1"/>
      <c r="I136" s="1"/>
      <c r="J136" s="1"/>
      <c r="K136" s="1"/>
      <c r="L136" s="1"/>
      <c r="M136" s="1"/>
      <c r="N136" s="1"/>
      <c r="O136" s="1"/>
      <c r="P136" s="1"/>
      <c r="Q136" s="1"/>
      <c r="R136" s="1"/>
      <c r="S136" s="1"/>
      <c r="T136" s="1"/>
      <c r="U136" s="1"/>
      <c r="V136" s="1"/>
      <c r="W136" s="1"/>
      <c r="X136" s="1"/>
    </row>
    <row r="137" spans="2:24" s="217" customFormat="1">
      <c r="B137" s="218"/>
      <c r="C137" s="247" t="s">
        <v>135</v>
      </c>
      <c r="D137" s="239" t="s">
        <v>66</v>
      </c>
      <c r="E137" s="240">
        <v>7</v>
      </c>
      <c r="F137" s="244">
        <v>0</v>
      </c>
      <c r="G137" s="245">
        <f t="shared" si="10"/>
        <v>0</v>
      </c>
      <c r="H137" s="1"/>
      <c r="I137" s="1"/>
      <c r="J137" s="1"/>
      <c r="K137" s="1"/>
      <c r="L137" s="1"/>
      <c r="M137" s="1"/>
      <c r="N137" s="1"/>
      <c r="O137" s="1"/>
      <c r="P137" s="1"/>
      <c r="Q137" s="1"/>
      <c r="R137" s="1"/>
      <c r="S137" s="1"/>
      <c r="T137" s="1"/>
      <c r="U137" s="1"/>
      <c r="V137" s="1"/>
      <c r="W137" s="1"/>
      <c r="X137" s="1"/>
    </row>
    <row r="138" spans="2:24">
      <c r="B138" s="201" t="s">
        <v>168</v>
      </c>
      <c r="C138" s="248" t="s">
        <v>173</v>
      </c>
      <c r="D138" s="249"/>
      <c r="E138" s="250"/>
      <c r="F138" s="251"/>
      <c r="G138" s="252"/>
      <c r="H138" s="1"/>
    </row>
    <row r="139" spans="2:24" s="217" customFormat="1" ht="63" customHeight="1">
      <c r="B139" s="218"/>
      <c r="C139" s="253" t="s">
        <v>174</v>
      </c>
      <c r="D139" s="254" t="s">
        <v>66</v>
      </c>
      <c r="E139" s="255">
        <v>1</v>
      </c>
      <c r="F139" s="256">
        <v>0</v>
      </c>
      <c r="G139" s="257">
        <f t="shared" ref="G139" si="11">E139*F139</f>
        <v>0</v>
      </c>
      <c r="H139" s="1"/>
      <c r="I139" s="1"/>
      <c r="J139" s="1"/>
      <c r="K139" s="1"/>
      <c r="L139" s="1"/>
      <c r="M139" s="1"/>
      <c r="N139" s="1"/>
      <c r="O139" s="1"/>
      <c r="P139" s="1"/>
      <c r="Q139" s="1"/>
      <c r="R139" s="1"/>
      <c r="S139" s="1"/>
      <c r="T139" s="1"/>
      <c r="U139" s="1"/>
      <c r="V139" s="1"/>
      <c r="W139" s="1"/>
      <c r="X139" s="1"/>
    </row>
    <row r="140" spans="2:24" s="179" customFormat="1" ht="16.5" customHeight="1">
      <c r="B140" s="258" t="s">
        <v>47</v>
      </c>
      <c r="C140" s="259" t="s">
        <v>175</v>
      </c>
      <c r="D140" s="260"/>
      <c r="E140" s="261"/>
      <c r="F140" s="262"/>
      <c r="G140" s="263">
        <f>SUM(G80:G139)</f>
        <v>0</v>
      </c>
      <c r="H140" s="1"/>
      <c r="I140" s="1"/>
      <c r="J140" s="1"/>
      <c r="K140" s="1"/>
      <c r="L140" s="1"/>
      <c r="M140" s="1"/>
      <c r="N140" s="1"/>
      <c r="O140" s="1"/>
      <c r="P140" s="1"/>
      <c r="Q140" s="1"/>
      <c r="R140" s="1"/>
      <c r="S140" s="1"/>
      <c r="T140" s="1"/>
      <c r="U140" s="1"/>
      <c r="V140" s="1"/>
      <c r="W140" s="1"/>
      <c r="X140" s="1"/>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13" min="1"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9D3F-C2E8-498D-AFA7-CFCC04D91DB0}">
  <sheetPr>
    <tabColor rgb="FFFFC000"/>
  </sheetPr>
  <dimension ref="A1:AC157"/>
  <sheetViews>
    <sheetView topLeftCell="A25" zoomScaleNormal="100" zoomScaleSheetLayoutView="100" workbookViewId="0">
      <selection activeCell="B27" sqref="B27:B35"/>
    </sheetView>
  </sheetViews>
  <sheetFormatPr defaultRowHeight="12.75"/>
  <cols>
    <col min="1" max="1" width="4.42578125" style="1" customWidth="1"/>
    <col min="2" max="2" width="7.42578125" style="67" customWidth="1"/>
    <col min="3" max="3" width="42.85546875" style="68" customWidth="1"/>
    <col min="4" max="4" width="10.42578125" style="69" customWidth="1"/>
    <col min="5" max="5" width="9.28515625" style="70" customWidth="1"/>
    <col min="6" max="6" width="12.140625" style="71" customWidth="1"/>
    <col min="7" max="7" width="14" style="66" customWidth="1"/>
    <col min="8" max="8" width="16" style="8" customWidth="1"/>
    <col min="9" max="9" width="17.5703125" style="1" customWidth="1"/>
    <col min="10" max="10" width="10.42578125" style="1" customWidth="1"/>
    <col min="11" max="257" width="9.140625" style="1"/>
    <col min="258" max="258" width="7.42578125" style="1" customWidth="1"/>
    <col min="259" max="259" width="37.42578125" style="1" customWidth="1"/>
    <col min="260" max="260" width="9.140625" style="1"/>
    <col min="261" max="261" width="9.28515625" style="1" customWidth="1"/>
    <col min="262" max="263" width="12.140625" style="1" customWidth="1"/>
    <col min="264" max="264" width="16" style="1" customWidth="1"/>
    <col min="265" max="265" width="26.28515625" style="1" customWidth="1"/>
    <col min="266" max="513" width="9.140625" style="1"/>
    <col min="514" max="514" width="7.42578125" style="1" customWidth="1"/>
    <col min="515" max="515" width="37.42578125" style="1" customWidth="1"/>
    <col min="516" max="516" width="9.140625" style="1"/>
    <col min="517" max="517" width="9.28515625" style="1" customWidth="1"/>
    <col min="518" max="519" width="12.140625" style="1" customWidth="1"/>
    <col min="520" max="520" width="16" style="1" customWidth="1"/>
    <col min="521" max="521" width="26.28515625" style="1" customWidth="1"/>
    <col min="522" max="769" width="9.140625" style="1"/>
    <col min="770" max="770" width="7.42578125" style="1" customWidth="1"/>
    <col min="771" max="771" width="37.42578125" style="1" customWidth="1"/>
    <col min="772" max="772" width="9.140625" style="1"/>
    <col min="773" max="773" width="9.28515625" style="1" customWidth="1"/>
    <col min="774" max="775" width="12.140625" style="1" customWidth="1"/>
    <col min="776" max="776" width="16" style="1" customWidth="1"/>
    <col min="777" max="777" width="26.28515625" style="1" customWidth="1"/>
    <col min="778" max="1025" width="9.140625" style="1"/>
    <col min="1026" max="1026" width="7.42578125" style="1" customWidth="1"/>
    <col min="1027" max="1027" width="37.42578125" style="1" customWidth="1"/>
    <col min="1028" max="1028" width="9.140625" style="1"/>
    <col min="1029" max="1029" width="9.28515625" style="1" customWidth="1"/>
    <col min="1030" max="1031" width="12.140625" style="1" customWidth="1"/>
    <col min="1032" max="1032" width="16" style="1" customWidth="1"/>
    <col min="1033" max="1033" width="26.28515625" style="1" customWidth="1"/>
    <col min="1034" max="1281" width="9.140625" style="1"/>
    <col min="1282" max="1282" width="7.42578125" style="1" customWidth="1"/>
    <col min="1283" max="1283" width="37.42578125" style="1" customWidth="1"/>
    <col min="1284" max="1284" width="9.140625" style="1"/>
    <col min="1285" max="1285" width="9.28515625" style="1" customWidth="1"/>
    <col min="1286" max="1287" width="12.140625" style="1" customWidth="1"/>
    <col min="1288" max="1288" width="16" style="1" customWidth="1"/>
    <col min="1289" max="1289" width="26.28515625" style="1" customWidth="1"/>
    <col min="1290" max="1537" width="9.140625" style="1"/>
    <col min="1538" max="1538" width="7.42578125" style="1" customWidth="1"/>
    <col min="1539" max="1539" width="37.42578125" style="1" customWidth="1"/>
    <col min="1540" max="1540" width="9.140625" style="1"/>
    <col min="1541" max="1541" width="9.28515625" style="1" customWidth="1"/>
    <col min="1542" max="1543" width="12.140625" style="1" customWidth="1"/>
    <col min="1544" max="1544" width="16" style="1" customWidth="1"/>
    <col min="1545" max="1545" width="26.28515625" style="1" customWidth="1"/>
    <col min="1546" max="1793" width="9.140625" style="1"/>
    <col min="1794" max="1794" width="7.42578125" style="1" customWidth="1"/>
    <col min="1795" max="1795" width="37.42578125" style="1" customWidth="1"/>
    <col min="1796" max="1796" width="9.140625" style="1"/>
    <col min="1797" max="1797" width="9.28515625" style="1" customWidth="1"/>
    <col min="1798" max="1799" width="12.140625" style="1" customWidth="1"/>
    <col min="1800" max="1800" width="16" style="1" customWidth="1"/>
    <col min="1801" max="1801" width="26.28515625" style="1" customWidth="1"/>
    <col min="1802" max="2049" width="9.140625" style="1"/>
    <col min="2050" max="2050" width="7.42578125" style="1" customWidth="1"/>
    <col min="2051" max="2051" width="37.42578125" style="1" customWidth="1"/>
    <col min="2052" max="2052" width="9.140625" style="1"/>
    <col min="2053" max="2053" width="9.28515625" style="1" customWidth="1"/>
    <col min="2054" max="2055" width="12.140625" style="1" customWidth="1"/>
    <col min="2056" max="2056" width="16" style="1" customWidth="1"/>
    <col min="2057" max="2057" width="26.28515625" style="1" customWidth="1"/>
    <col min="2058" max="2305" width="9.140625" style="1"/>
    <col min="2306" max="2306" width="7.42578125" style="1" customWidth="1"/>
    <col min="2307" max="2307" width="37.42578125" style="1" customWidth="1"/>
    <col min="2308" max="2308" width="9.140625" style="1"/>
    <col min="2309" max="2309" width="9.28515625" style="1" customWidth="1"/>
    <col min="2310" max="2311" width="12.140625" style="1" customWidth="1"/>
    <col min="2312" max="2312" width="16" style="1" customWidth="1"/>
    <col min="2313" max="2313" width="26.28515625" style="1" customWidth="1"/>
    <col min="2314" max="2561" width="9.140625" style="1"/>
    <col min="2562" max="2562" width="7.42578125" style="1" customWidth="1"/>
    <col min="2563" max="2563" width="37.42578125" style="1" customWidth="1"/>
    <col min="2564" max="2564" width="9.140625" style="1"/>
    <col min="2565" max="2565" width="9.28515625" style="1" customWidth="1"/>
    <col min="2566" max="2567" width="12.140625" style="1" customWidth="1"/>
    <col min="2568" max="2568" width="16" style="1" customWidth="1"/>
    <col min="2569" max="2569" width="26.28515625" style="1" customWidth="1"/>
    <col min="2570" max="2817" width="9.140625" style="1"/>
    <col min="2818" max="2818" width="7.42578125" style="1" customWidth="1"/>
    <col min="2819" max="2819" width="37.42578125" style="1" customWidth="1"/>
    <col min="2820" max="2820" width="9.140625" style="1"/>
    <col min="2821" max="2821" width="9.28515625" style="1" customWidth="1"/>
    <col min="2822" max="2823" width="12.140625" style="1" customWidth="1"/>
    <col min="2824" max="2824" width="16" style="1" customWidth="1"/>
    <col min="2825" max="2825" width="26.28515625" style="1" customWidth="1"/>
    <col min="2826" max="3073" width="9.140625" style="1"/>
    <col min="3074" max="3074" width="7.42578125" style="1" customWidth="1"/>
    <col min="3075" max="3075" width="37.42578125" style="1" customWidth="1"/>
    <col min="3076" max="3076" width="9.140625" style="1"/>
    <col min="3077" max="3077" width="9.28515625" style="1" customWidth="1"/>
    <col min="3078" max="3079" width="12.140625" style="1" customWidth="1"/>
    <col min="3080" max="3080" width="16" style="1" customWidth="1"/>
    <col min="3081" max="3081" width="26.28515625" style="1" customWidth="1"/>
    <col min="3082" max="3329" width="9.140625" style="1"/>
    <col min="3330" max="3330" width="7.42578125" style="1" customWidth="1"/>
    <col min="3331" max="3331" width="37.42578125" style="1" customWidth="1"/>
    <col min="3332" max="3332" width="9.140625" style="1"/>
    <col min="3333" max="3333" width="9.28515625" style="1" customWidth="1"/>
    <col min="3334" max="3335" width="12.140625" style="1" customWidth="1"/>
    <col min="3336" max="3336" width="16" style="1" customWidth="1"/>
    <col min="3337" max="3337" width="26.28515625" style="1" customWidth="1"/>
    <col min="3338" max="3585" width="9.140625" style="1"/>
    <col min="3586" max="3586" width="7.42578125" style="1" customWidth="1"/>
    <col min="3587" max="3587" width="37.42578125" style="1" customWidth="1"/>
    <col min="3588" max="3588" width="9.140625" style="1"/>
    <col min="3589" max="3589" width="9.28515625" style="1" customWidth="1"/>
    <col min="3590" max="3591" width="12.140625" style="1" customWidth="1"/>
    <col min="3592" max="3592" width="16" style="1" customWidth="1"/>
    <col min="3593" max="3593" width="26.28515625" style="1" customWidth="1"/>
    <col min="3594" max="3841" width="9.140625" style="1"/>
    <col min="3842" max="3842" width="7.42578125" style="1" customWidth="1"/>
    <col min="3843" max="3843" width="37.42578125" style="1" customWidth="1"/>
    <col min="3844" max="3844" width="9.140625" style="1"/>
    <col min="3845" max="3845" width="9.28515625" style="1" customWidth="1"/>
    <col min="3846" max="3847" width="12.140625" style="1" customWidth="1"/>
    <col min="3848" max="3848" width="16" style="1" customWidth="1"/>
    <col min="3849" max="3849" width="26.28515625" style="1" customWidth="1"/>
    <col min="3850" max="4097" width="9.140625" style="1"/>
    <col min="4098" max="4098" width="7.42578125" style="1" customWidth="1"/>
    <col min="4099" max="4099" width="37.42578125" style="1" customWidth="1"/>
    <col min="4100" max="4100" width="9.140625" style="1"/>
    <col min="4101" max="4101" width="9.28515625" style="1" customWidth="1"/>
    <col min="4102" max="4103" width="12.140625" style="1" customWidth="1"/>
    <col min="4104" max="4104" width="16" style="1" customWidth="1"/>
    <col min="4105" max="4105" width="26.28515625" style="1" customWidth="1"/>
    <col min="4106" max="4353" width="9.140625" style="1"/>
    <col min="4354" max="4354" width="7.42578125" style="1" customWidth="1"/>
    <col min="4355" max="4355" width="37.42578125" style="1" customWidth="1"/>
    <col min="4356" max="4356" width="9.140625" style="1"/>
    <col min="4357" max="4357" width="9.28515625" style="1" customWidth="1"/>
    <col min="4358" max="4359" width="12.140625" style="1" customWidth="1"/>
    <col min="4360" max="4360" width="16" style="1" customWidth="1"/>
    <col min="4361" max="4361" width="26.28515625" style="1" customWidth="1"/>
    <col min="4362" max="4609" width="9.140625" style="1"/>
    <col min="4610" max="4610" width="7.42578125" style="1" customWidth="1"/>
    <col min="4611" max="4611" width="37.42578125" style="1" customWidth="1"/>
    <col min="4612" max="4612" width="9.140625" style="1"/>
    <col min="4613" max="4613" width="9.28515625" style="1" customWidth="1"/>
    <col min="4614" max="4615" width="12.140625" style="1" customWidth="1"/>
    <col min="4616" max="4616" width="16" style="1" customWidth="1"/>
    <col min="4617" max="4617" width="26.28515625" style="1" customWidth="1"/>
    <col min="4618" max="4865" width="9.140625" style="1"/>
    <col min="4866" max="4866" width="7.42578125" style="1" customWidth="1"/>
    <col min="4867" max="4867" width="37.42578125" style="1" customWidth="1"/>
    <col min="4868" max="4868" width="9.140625" style="1"/>
    <col min="4869" max="4869" width="9.28515625" style="1" customWidth="1"/>
    <col min="4870" max="4871" width="12.140625" style="1" customWidth="1"/>
    <col min="4872" max="4872" width="16" style="1" customWidth="1"/>
    <col min="4873" max="4873" width="26.28515625" style="1" customWidth="1"/>
    <col min="4874" max="5121" width="9.140625" style="1"/>
    <col min="5122" max="5122" width="7.42578125" style="1" customWidth="1"/>
    <col min="5123" max="5123" width="37.42578125" style="1" customWidth="1"/>
    <col min="5124" max="5124" width="9.140625" style="1"/>
    <col min="5125" max="5125" width="9.28515625" style="1" customWidth="1"/>
    <col min="5126" max="5127" width="12.140625" style="1" customWidth="1"/>
    <col min="5128" max="5128" width="16" style="1" customWidth="1"/>
    <col min="5129" max="5129" width="26.28515625" style="1" customWidth="1"/>
    <col min="5130" max="5377" width="9.140625" style="1"/>
    <col min="5378" max="5378" width="7.42578125" style="1" customWidth="1"/>
    <col min="5379" max="5379" width="37.42578125" style="1" customWidth="1"/>
    <col min="5380" max="5380" width="9.140625" style="1"/>
    <col min="5381" max="5381" width="9.28515625" style="1" customWidth="1"/>
    <col min="5382" max="5383" width="12.140625" style="1" customWidth="1"/>
    <col min="5384" max="5384" width="16" style="1" customWidth="1"/>
    <col min="5385" max="5385" width="26.28515625" style="1" customWidth="1"/>
    <col min="5386" max="5633" width="9.140625" style="1"/>
    <col min="5634" max="5634" width="7.42578125" style="1" customWidth="1"/>
    <col min="5635" max="5635" width="37.42578125" style="1" customWidth="1"/>
    <col min="5636" max="5636" width="9.140625" style="1"/>
    <col min="5637" max="5637" width="9.28515625" style="1" customWidth="1"/>
    <col min="5638" max="5639" width="12.140625" style="1" customWidth="1"/>
    <col min="5640" max="5640" width="16" style="1" customWidth="1"/>
    <col min="5641" max="5641" width="26.28515625" style="1" customWidth="1"/>
    <col min="5642" max="5889" width="9.140625" style="1"/>
    <col min="5890" max="5890" width="7.42578125" style="1" customWidth="1"/>
    <col min="5891" max="5891" width="37.42578125" style="1" customWidth="1"/>
    <col min="5892" max="5892" width="9.140625" style="1"/>
    <col min="5893" max="5893" width="9.28515625" style="1" customWidth="1"/>
    <col min="5894" max="5895" width="12.140625" style="1" customWidth="1"/>
    <col min="5896" max="5896" width="16" style="1" customWidth="1"/>
    <col min="5897" max="5897" width="26.28515625" style="1" customWidth="1"/>
    <col min="5898" max="6145" width="9.140625" style="1"/>
    <col min="6146" max="6146" width="7.42578125" style="1" customWidth="1"/>
    <col min="6147" max="6147" width="37.42578125" style="1" customWidth="1"/>
    <col min="6148" max="6148" width="9.140625" style="1"/>
    <col min="6149" max="6149" width="9.28515625" style="1" customWidth="1"/>
    <col min="6150" max="6151" width="12.140625" style="1" customWidth="1"/>
    <col min="6152" max="6152" width="16" style="1" customWidth="1"/>
    <col min="6153" max="6153" width="26.28515625" style="1" customWidth="1"/>
    <col min="6154" max="6401" width="9.140625" style="1"/>
    <col min="6402" max="6402" width="7.42578125" style="1" customWidth="1"/>
    <col min="6403" max="6403" width="37.42578125" style="1" customWidth="1"/>
    <col min="6404" max="6404" width="9.140625" style="1"/>
    <col min="6405" max="6405" width="9.28515625" style="1" customWidth="1"/>
    <col min="6406" max="6407" width="12.140625" style="1" customWidth="1"/>
    <col min="6408" max="6408" width="16" style="1" customWidth="1"/>
    <col min="6409" max="6409" width="26.28515625" style="1" customWidth="1"/>
    <col min="6410" max="6657" width="9.140625" style="1"/>
    <col min="6658" max="6658" width="7.42578125" style="1" customWidth="1"/>
    <col min="6659" max="6659" width="37.42578125" style="1" customWidth="1"/>
    <col min="6660" max="6660" width="9.140625" style="1"/>
    <col min="6661" max="6661" width="9.28515625" style="1" customWidth="1"/>
    <col min="6662" max="6663" width="12.140625" style="1" customWidth="1"/>
    <col min="6664" max="6664" width="16" style="1" customWidth="1"/>
    <col min="6665" max="6665" width="26.28515625" style="1" customWidth="1"/>
    <col min="6666" max="6913" width="9.140625" style="1"/>
    <col min="6914" max="6914" width="7.42578125" style="1" customWidth="1"/>
    <col min="6915" max="6915" width="37.42578125" style="1" customWidth="1"/>
    <col min="6916" max="6916" width="9.140625" style="1"/>
    <col min="6917" max="6917" width="9.28515625" style="1" customWidth="1"/>
    <col min="6918" max="6919" width="12.140625" style="1" customWidth="1"/>
    <col min="6920" max="6920" width="16" style="1" customWidth="1"/>
    <col min="6921" max="6921" width="26.28515625" style="1" customWidth="1"/>
    <col min="6922" max="7169" width="9.140625" style="1"/>
    <col min="7170" max="7170" width="7.42578125" style="1" customWidth="1"/>
    <col min="7171" max="7171" width="37.42578125" style="1" customWidth="1"/>
    <col min="7172" max="7172" width="9.140625" style="1"/>
    <col min="7173" max="7173" width="9.28515625" style="1" customWidth="1"/>
    <col min="7174" max="7175" width="12.140625" style="1" customWidth="1"/>
    <col min="7176" max="7176" width="16" style="1" customWidth="1"/>
    <col min="7177" max="7177" width="26.28515625" style="1" customWidth="1"/>
    <col min="7178" max="7425" width="9.140625" style="1"/>
    <col min="7426" max="7426" width="7.42578125" style="1" customWidth="1"/>
    <col min="7427" max="7427" width="37.42578125" style="1" customWidth="1"/>
    <col min="7428" max="7428" width="9.140625" style="1"/>
    <col min="7429" max="7429" width="9.28515625" style="1" customWidth="1"/>
    <col min="7430" max="7431" width="12.140625" style="1" customWidth="1"/>
    <col min="7432" max="7432" width="16" style="1" customWidth="1"/>
    <col min="7433" max="7433" width="26.28515625" style="1" customWidth="1"/>
    <col min="7434" max="7681" width="9.140625" style="1"/>
    <col min="7682" max="7682" width="7.42578125" style="1" customWidth="1"/>
    <col min="7683" max="7683" width="37.42578125" style="1" customWidth="1"/>
    <col min="7684" max="7684" width="9.140625" style="1"/>
    <col min="7685" max="7685" width="9.28515625" style="1" customWidth="1"/>
    <col min="7686" max="7687" width="12.140625" style="1" customWidth="1"/>
    <col min="7688" max="7688" width="16" style="1" customWidth="1"/>
    <col min="7689" max="7689" width="26.28515625" style="1" customWidth="1"/>
    <col min="7690" max="7937" width="9.140625" style="1"/>
    <col min="7938" max="7938" width="7.42578125" style="1" customWidth="1"/>
    <col min="7939" max="7939" width="37.42578125" style="1" customWidth="1"/>
    <col min="7940" max="7940" width="9.140625" style="1"/>
    <col min="7941" max="7941" width="9.28515625" style="1" customWidth="1"/>
    <col min="7942" max="7943" width="12.140625" style="1" customWidth="1"/>
    <col min="7944" max="7944" width="16" style="1" customWidth="1"/>
    <col min="7945" max="7945" width="26.28515625" style="1" customWidth="1"/>
    <col min="7946" max="8193" width="9.140625" style="1"/>
    <col min="8194" max="8194" width="7.42578125" style="1" customWidth="1"/>
    <col min="8195" max="8195" width="37.42578125" style="1" customWidth="1"/>
    <col min="8196" max="8196" width="9.140625" style="1"/>
    <col min="8197" max="8197" width="9.28515625" style="1" customWidth="1"/>
    <col min="8198" max="8199" width="12.140625" style="1" customWidth="1"/>
    <col min="8200" max="8200" width="16" style="1" customWidth="1"/>
    <col min="8201" max="8201" width="26.28515625" style="1" customWidth="1"/>
    <col min="8202" max="8449" width="9.140625" style="1"/>
    <col min="8450" max="8450" width="7.42578125" style="1" customWidth="1"/>
    <col min="8451" max="8451" width="37.42578125" style="1" customWidth="1"/>
    <col min="8452" max="8452" width="9.140625" style="1"/>
    <col min="8453" max="8453" width="9.28515625" style="1" customWidth="1"/>
    <col min="8454" max="8455" width="12.140625" style="1" customWidth="1"/>
    <col min="8456" max="8456" width="16" style="1" customWidth="1"/>
    <col min="8457" max="8457" width="26.28515625" style="1" customWidth="1"/>
    <col min="8458" max="8705" width="9.140625" style="1"/>
    <col min="8706" max="8706" width="7.42578125" style="1" customWidth="1"/>
    <col min="8707" max="8707" width="37.42578125" style="1" customWidth="1"/>
    <col min="8708" max="8708" width="9.140625" style="1"/>
    <col min="8709" max="8709" width="9.28515625" style="1" customWidth="1"/>
    <col min="8710" max="8711" width="12.140625" style="1" customWidth="1"/>
    <col min="8712" max="8712" width="16" style="1" customWidth="1"/>
    <col min="8713" max="8713" width="26.28515625" style="1" customWidth="1"/>
    <col min="8714" max="8961" width="9.140625" style="1"/>
    <col min="8962" max="8962" width="7.42578125" style="1" customWidth="1"/>
    <col min="8963" max="8963" width="37.42578125" style="1" customWidth="1"/>
    <col min="8964" max="8964" width="9.140625" style="1"/>
    <col min="8965" max="8965" width="9.28515625" style="1" customWidth="1"/>
    <col min="8966" max="8967" width="12.140625" style="1" customWidth="1"/>
    <col min="8968" max="8968" width="16" style="1" customWidth="1"/>
    <col min="8969" max="8969" width="26.28515625" style="1" customWidth="1"/>
    <col min="8970" max="9217" width="9.140625" style="1"/>
    <col min="9218" max="9218" width="7.42578125" style="1" customWidth="1"/>
    <col min="9219" max="9219" width="37.42578125" style="1" customWidth="1"/>
    <col min="9220" max="9220" width="9.140625" style="1"/>
    <col min="9221" max="9221" width="9.28515625" style="1" customWidth="1"/>
    <col min="9222" max="9223" width="12.140625" style="1" customWidth="1"/>
    <col min="9224" max="9224" width="16" style="1" customWidth="1"/>
    <col min="9225" max="9225" width="26.28515625" style="1" customWidth="1"/>
    <col min="9226" max="9473" width="9.140625" style="1"/>
    <col min="9474" max="9474" width="7.42578125" style="1" customWidth="1"/>
    <col min="9475" max="9475" width="37.42578125" style="1" customWidth="1"/>
    <col min="9476" max="9476" width="9.140625" style="1"/>
    <col min="9477" max="9477" width="9.28515625" style="1" customWidth="1"/>
    <col min="9478" max="9479" width="12.140625" style="1" customWidth="1"/>
    <col min="9480" max="9480" width="16" style="1" customWidth="1"/>
    <col min="9481" max="9481" width="26.28515625" style="1" customWidth="1"/>
    <col min="9482" max="9729" width="9.140625" style="1"/>
    <col min="9730" max="9730" width="7.42578125" style="1" customWidth="1"/>
    <col min="9731" max="9731" width="37.42578125" style="1" customWidth="1"/>
    <col min="9732" max="9732" width="9.140625" style="1"/>
    <col min="9733" max="9733" width="9.28515625" style="1" customWidth="1"/>
    <col min="9734" max="9735" width="12.140625" style="1" customWidth="1"/>
    <col min="9736" max="9736" width="16" style="1" customWidth="1"/>
    <col min="9737" max="9737" width="26.28515625" style="1" customWidth="1"/>
    <col min="9738" max="9985" width="9.140625" style="1"/>
    <col min="9986" max="9986" width="7.42578125" style="1" customWidth="1"/>
    <col min="9987" max="9987" width="37.42578125" style="1" customWidth="1"/>
    <col min="9988" max="9988" width="9.140625" style="1"/>
    <col min="9989" max="9989" width="9.28515625" style="1" customWidth="1"/>
    <col min="9990" max="9991" width="12.140625" style="1" customWidth="1"/>
    <col min="9992" max="9992" width="16" style="1" customWidth="1"/>
    <col min="9993" max="9993" width="26.28515625" style="1" customWidth="1"/>
    <col min="9994" max="10241" width="9.140625" style="1"/>
    <col min="10242" max="10242" width="7.42578125" style="1" customWidth="1"/>
    <col min="10243" max="10243" width="37.42578125" style="1" customWidth="1"/>
    <col min="10244" max="10244" width="9.140625" style="1"/>
    <col min="10245" max="10245" width="9.28515625" style="1" customWidth="1"/>
    <col min="10246" max="10247" width="12.140625" style="1" customWidth="1"/>
    <col min="10248" max="10248" width="16" style="1" customWidth="1"/>
    <col min="10249" max="10249" width="26.28515625" style="1" customWidth="1"/>
    <col min="10250" max="10497" width="9.140625" style="1"/>
    <col min="10498" max="10498" width="7.42578125" style="1" customWidth="1"/>
    <col min="10499" max="10499" width="37.42578125" style="1" customWidth="1"/>
    <col min="10500" max="10500" width="9.140625" style="1"/>
    <col min="10501" max="10501" width="9.28515625" style="1" customWidth="1"/>
    <col min="10502" max="10503" width="12.140625" style="1" customWidth="1"/>
    <col min="10504" max="10504" width="16" style="1" customWidth="1"/>
    <col min="10505" max="10505" width="26.28515625" style="1" customWidth="1"/>
    <col min="10506" max="10753" width="9.140625" style="1"/>
    <col min="10754" max="10754" width="7.42578125" style="1" customWidth="1"/>
    <col min="10755" max="10755" width="37.42578125" style="1" customWidth="1"/>
    <col min="10756" max="10756" width="9.140625" style="1"/>
    <col min="10757" max="10757" width="9.28515625" style="1" customWidth="1"/>
    <col min="10758" max="10759" width="12.140625" style="1" customWidth="1"/>
    <col min="10760" max="10760" width="16" style="1" customWidth="1"/>
    <col min="10761" max="10761" width="26.28515625" style="1" customWidth="1"/>
    <col min="10762" max="11009" width="9.140625" style="1"/>
    <col min="11010" max="11010" width="7.42578125" style="1" customWidth="1"/>
    <col min="11011" max="11011" width="37.42578125" style="1" customWidth="1"/>
    <col min="11012" max="11012" width="9.140625" style="1"/>
    <col min="11013" max="11013" width="9.28515625" style="1" customWidth="1"/>
    <col min="11014" max="11015" width="12.140625" style="1" customWidth="1"/>
    <col min="11016" max="11016" width="16" style="1" customWidth="1"/>
    <col min="11017" max="11017" width="26.28515625" style="1" customWidth="1"/>
    <col min="11018" max="11265" width="9.140625" style="1"/>
    <col min="11266" max="11266" width="7.42578125" style="1" customWidth="1"/>
    <col min="11267" max="11267" width="37.42578125" style="1" customWidth="1"/>
    <col min="11268" max="11268" width="9.140625" style="1"/>
    <col min="11269" max="11269" width="9.28515625" style="1" customWidth="1"/>
    <col min="11270" max="11271" width="12.140625" style="1" customWidth="1"/>
    <col min="11272" max="11272" width="16" style="1" customWidth="1"/>
    <col min="11273" max="11273" width="26.28515625" style="1" customWidth="1"/>
    <col min="11274" max="11521" width="9.140625" style="1"/>
    <col min="11522" max="11522" width="7.42578125" style="1" customWidth="1"/>
    <col min="11523" max="11523" width="37.42578125" style="1" customWidth="1"/>
    <col min="11524" max="11524" width="9.140625" style="1"/>
    <col min="11525" max="11525" width="9.28515625" style="1" customWidth="1"/>
    <col min="11526" max="11527" width="12.140625" style="1" customWidth="1"/>
    <col min="11528" max="11528" width="16" style="1" customWidth="1"/>
    <col min="11529" max="11529" width="26.28515625" style="1" customWidth="1"/>
    <col min="11530" max="11777" width="9.140625" style="1"/>
    <col min="11778" max="11778" width="7.42578125" style="1" customWidth="1"/>
    <col min="11779" max="11779" width="37.42578125" style="1" customWidth="1"/>
    <col min="11780" max="11780" width="9.140625" style="1"/>
    <col min="11781" max="11781" width="9.28515625" style="1" customWidth="1"/>
    <col min="11782" max="11783" width="12.140625" style="1" customWidth="1"/>
    <col min="11784" max="11784" width="16" style="1" customWidth="1"/>
    <col min="11785" max="11785" width="26.28515625" style="1" customWidth="1"/>
    <col min="11786" max="12033" width="9.140625" style="1"/>
    <col min="12034" max="12034" width="7.42578125" style="1" customWidth="1"/>
    <col min="12035" max="12035" width="37.42578125" style="1" customWidth="1"/>
    <col min="12036" max="12036" width="9.140625" style="1"/>
    <col min="12037" max="12037" width="9.28515625" style="1" customWidth="1"/>
    <col min="12038" max="12039" width="12.140625" style="1" customWidth="1"/>
    <col min="12040" max="12040" width="16" style="1" customWidth="1"/>
    <col min="12041" max="12041" width="26.28515625" style="1" customWidth="1"/>
    <col min="12042" max="12289" width="9.140625" style="1"/>
    <col min="12290" max="12290" width="7.42578125" style="1" customWidth="1"/>
    <col min="12291" max="12291" width="37.42578125" style="1" customWidth="1"/>
    <col min="12292" max="12292" width="9.140625" style="1"/>
    <col min="12293" max="12293" width="9.28515625" style="1" customWidth="1"/>
    <col min="12294" max="12295" width="12.140625" style="1" customWidth="1"/>
    <col min="12296" max="12296" width="16" style="1" customWidth="1"/>
    <col min="12297" max="12297" width="26.28515625" style="1" customWidth="1"/>
    <col min="12298" max="12545" width="9.140625" style="1"/>
    <col min="12546" max="12546" width="7.42578125" style="1" customWidth="1"/>
    <col min="12547" max="12547" width="37.42578125" style="1" customWidth="1"/>
    <col min="12548" max="12548" width="9.140625" style="1"/>
    <col min="12549" max="12549" width="9.28515625" style="1" customWidth="1"/>
    <col min="12550" max="12551" width="12.140625" style="1" customWidth="1"/>
    <col min="12552" max="12552" width="16" style="1" customWidth="1"/>
    <col min="12553" max="12553" width="26.28515625" style="1" customWidth="1"/>
    <col min="12554" max="12801" width="9.140625" style="1"/>
    <col min="12802" max="12802" width="7.42578125" style="1" customWidth="1"/>
    <col min="12803" max="12803" width="37.42578125" style="1" customWidth="1"/>
    <col min="12804" max="12804" width="9.140625" style="1"/>
    <col min="12805" max="12805" width="9.28515625" style="1" customWidth="1"/>
    <col min="12806" max="12807" width="12.140625" style="1" customWidth="1"/>
    <col min="12808" max="12808" width="16" style="1" customWidth="1"/>
    <col min="12809" max="12809" width="26.28515625" style="1" customWidth="1"/>
    <col min="12810" max="13057" width="9.140625" style="1"/>
    <col min="13058" max="13058" width="7.42578125" style="1" customWidth="1"/>
    <col min="13059" max="13059" width="37.42578125" style="1" customWidth="1"/>
    <col min="13060" max="13060" width="9.140625" style="1"/>
    <col min="13061" max="13061" width="9.28515625" style="1" customWidth="1"/>
    <col min="13062" max="13063" width="12.140625" style="1" customWidth="1"/>
    <col min="13064" max="13064" width="16" style="1" customWidth="1"/>
    <col min="13065" max="13065" width="26.28515625" style="1" customWidth="1"/>
    <col min="13066" max="13313" width="9.140625" style="1"/>
    <col min="13314" max="13314" width="7.42578125" style="1" customWidth="1"/>
    <col min="13315" max="13315" width="37.42578125" style="1" customWidth="1"/>
    <col min="13316" max="13316" width="9.140625" style="1"/>
    <col min="13317" max="13317" width="9.28515625" style="1" customWidth="1"/>
    <col min="13318" max="13319" width="12.140625" style="1" customWidth="1"/>
    <col min="13320" max="13320" width="16" style="1" customWidth="1"/>
    <col min="13321" max="13321" width="26.28515625" style="1" customWidth="1"/>
    <col min="13322" max="13569" width="9.140625" style="1"/>
    <col min="13570" max="13570" width="7.42578125" style="1" customWidth="1"/>
    <col min="13571" max="13571" width="37.42578125" style="1" customWidth="1"/>
    <col min="13572" max="13572" width="9.140625" style="1"/>
    <col min="13573" max="13573" width="9.28515625" style="1" customWidth="1"/>
    <col min="13574" max="13575" width="12.140625" style="1" customWidth="1"/>
    <col min="13576" max="13576" width="16" style="1" customWidth="1"/>
    <col min="13577" max="13577" width="26.28515625" style="1" customWidth="1"/>
    <col min="13578" max="13825" width="9.140625" style="1"/>
    <col min="13826" max="13826" width="7.42578125" style="1" customWidth="1"/>
    <col min="13827" max="13827" width="37.42578125" style="1" customWidth="1"/>
    <col min="13828" max="13828" width="9.140625" style="1"/>
    <col min="13829" max="13829" width="9.28515625" style="1" customWidth="1"/>
    <col min="13830" max="13831" width="12.140625" style="1" customWidth="1"/>
    <col min="13832" max="13832" width="16" style="1" customWidth="1"/>
    <col min="13833" max="13833" width="26.28515625" style="1" customWidth="1"/>
    <col min="13834" max="14081" width="9.140625" style="1"/>
    <col min="14082" max="14082" width="7.42578125" style="1" customWidth="1"/>
    <col min="14083" max="14083" width="37.42578125" style="1" customWidth="1"/>
    <col min="14084" max="14084" width="9.140625" style="1"/>
    <col min="14085" max="14085" width="9.28515625" style="1" customWidth="1"/>
    <col min="14086" max="14087" width="12.140625" style="1" customWidth="1"/>
    <col min="14088" max="14088" width="16" style="1" customWidth="1"/>
    <col min="14089" max="14089" width="26.28515625" style="1" customWidth="1"/>
    <col min="14090" max="14337" width="9.140625" style="1"/>
    <col min="14338" max="14338" width="7.42578125" style="1" customWidth="1"/>
    <col min="14339" max="14339" width="37.42578125" style="1" customWidth="1"/>
    <col min="14340" max="14340" width="9.140625" style="1"/>
    <col min="14341" max="14341" width="9.28515625" style="1" customWidth="1"/>
    <col min="14342" max="14343" width="12.140625" style="1" customWidth="1"/>
    <col min="14344" max="14344" width="16" style="1" customWidth="1"/>
    <col min="14345" max="14345" width="26.28515625" style="1" customWidth="1"/>
    <col min="14346" max="14593" width="9.140625" style="1"/>
    <col min="14594" max="14594" width="7.42578125" style="1" customWidth="1"/>
    <col min="14595" max="14595" width="37.42578125" style="1" customWidth="1"/>
    <col min="14596" max="14596" width="9.140625" style="1"/>
    <col min="14597" max="14597" width="9.28515625" style="1" customWidth="1"/>
    <col min="14598" max="14599" width="12.140625" style="1" customWidth="1"/>
    <col min="14600" max="14600" width="16" style="1" customWidth="1"/>
    <col min="14601" max="14601" width="26.28515625" style="1" customWidth="1"/>
    <col min="14602" max="14849" width="9.140625" style="1"/>
    <col min="14850" max="14850" width="7.42578125" style="1" customWidth="1"/>
    <col min="14851" max="14851" width="37.42578125" style="1" customWidth="1"/>
    <col min="14852" max="14852" width="9.140625" style="1"/>
    <col min="14853" max="14853" width="9.28515625" style="1" customWidth="1"/>
    <col min="14854" max="14855" width="12.140625" style="1" customWidth="1"/>
    <col min="14856" max="14856" width="16" style="1" customWidth="1"/>
    <col min="14857" max="14857" width="26.28515625" style="1" customWidth="1"/>
    <col min="14858" max="15105" width="9.140625" style="1"/>
    <col min="15106" max="15106" width="7.42578125" style="1" customWidth="1"/>
    <col min="15107" max="15107" width="37.42578125" style="1" customWidth="1"/>
    <col min="15108" max="15108" width="9.140625" style="1"/>
    <col min="15109" max="15109" width="9.28515625" style="1" customWidth="1"/>
    <col min="15110" max="15111" width="12.140625" style="1" customWidth="1"/>
    <col min="15112" max="15112" width="16" style="1" customWidth="1"/>
    <col min="15113" max="15113" width="26.28515625" style="1" customWidth="1"/>
    <col min="15114" max="15361" width="9.140625" style="1"/>
    <col min="15362" max="15362" width="7.42578125" style="1" customWidth="1"/>
    <col min="15363" max="15363" width="37.42578125" style="1" customWidth="1"/>
    <col min="15364" max="15364" width="9.140625" style="1"/>
    <col min="15365" max="15365" width="9.28515625" style="1" customWidth="1"/>
    <col min="15366" max="15367" width="12.140625" style="1" customWidth="1"/>
    <col min="15368" max="15368" width="16" style="1" customWidth="1"/>
    <col min="15369" max="15369" width="26.28515625" style="1" customWidth="1"/>
    <col min="15370" max="15617" width="9.140625" style="1"/>
    <col min="15618" max="15618" width="7.42578125" style="1" customWidth="1"/>
    <col min="15619" max="15619" width="37.42578125" style="1" customWidth="1"/>
    <col min="15620" max="15620" width="9.140625" style="1"/>
    <col min="15621" max="15621" width="9.28515625" style="1" customWidth="1"/>
    <col min="15622" max="15623" width="12.140625" style="1" customWidth="1"/>
    <col min="15624" max="15624" width="16" style="1" customWidth="1"/>
    <col min="15625" max="15625" width="26.28515625" style="1" customWidth="1"/>
    <col min="15626" max="15873" width="9.140625" style="1"/>
    <col min="15874" max="15874" width="7.42578125" style="1" customWidth="1"/>
    <col min="15875" max="15875" width="37.42578125" style="1" customWidth="1"/>
    <col min="15876" max="15876" width="9.140625" style="1"/>
    <col min="15877" max="15877" width="9.28515625" style="1" customWidth="1"/>
    <col min="15878" max="15879" width="12.140625" style="1" customWidth="1"/>
    <col min="15880" max="15880" width="16" style="1" customWidth="1"/>
    <col min="15881" max="15881" width="26.28515625" style="1" customWidth="1"/>
    <col min="15882" max="16129" width="9.140625" style="1"/>
    <col min="16130" max="16130" width="7.42578125" style="1" customWidth="1"/>
    <col min="16131" max="16131" width="37.42578125" style="1" customWidth="1"/>
    <col min="16132" max="16132" width="9.140625" style="1"/>
    <col min="16133" max="16133" width="9.28515625" style="1" customWidth="1"/>
    <col min="16134" max="16135" width="12.140625" style="1" customWidth="1"/>
    <col min="16136" max="16136" width="16" style="1" customWidth="1"/>
    <col min="16137" max="16137" width="26.28515625" style="1" customWidth="1"/>
    <col min="16138" max="16384" width="9.140625" style="1"/>
  </cols>
  <sheetData>
    <row r="1" spans="1:29" ht="16.5" customHeight="1">
      <c r="B1" s="2"/>
      <c r="C1" s="3" t="s">
        <v>0</v>
      </c>
      <c r="D1" s="4"/>
      <c r="E1" s="5"/>
      <c r="F1" s="6"/>
      <c r="G1" s="672" t="s">
        <v>1</v>
      </c>
      <c r="H1" s="938"/>
    </row>
    <row r="3" spans="1:29" s="73" customFormat="1" ht="15">
      <c r="B3" s="74" t="s">
        <v>35</v>
      </c>
      <c r="C3" s="75" t="s">
        <v>36</v>
      </c>
      <c r="D3" s="76"/>
      <c r="E3" s="77"/>
      <c r="F3" s="78"/>
      <c r="G3" s="79"/>
      <c r="H3" s="37"/>
    </row>
    <row r="4" spans="1:29" s="73" customFormat="1" ht="12" customHeight="1">
      <c r="B4" s="80"/>
      <c r="C4" s="81"/>
      <c r="D4" s="82"/>
      <c r="E4" s="83"/>
      <c r="F4" s="84"/>
      <c r="G4" s="85"/>
      <c r="H4" s="37"/>
    </row>
    <row r="5" spans="1:29" s="86" customFormat="1" ht="14.25">
      <c r="B5" s="74" t="s">
        <v>37</v>
      </c>
      <c r="C5" s="75" t="s">
        <v>22</v>
      </c>
      <c r="D5" s="76"/>
      <c r="E5" s="77"/>
      <c r="F5" s="78"/>
      <c r="G5" s="79"/>
      <c r="H5" s="27"/>
      <c r="I5" s="87"/>
      <c r="J5" s="87"/>
      <c r="K5" s="87"/>
      <c r="L5" s="87"/>
    </row>
    <row r="6" spans="1:29" s="86" customFormat="1" ht="14.25">
      <c r="B6" s="80"/>
      <c r="C6" s="81"/>
      <c r="D6" s="82"/>
      <c r="E6" s="83"/>
      <c r="F6" s="84"/>
      <c r="G6" s="88"/>
      <c r="H6" s="27"/>
      <c r="I6" s="87"/>
      <c r="J6" s="87"/>
      <c r="K6" s="87"/>
      <c r="L6" s="87"/>
    </row>
    <row r="7" spans="1:29" s="14" customFormat="1" ht="18" customHeight="1">
      <c r="A7" s="9"/>
      <c r="B7" s="10" t="s">
        <v>38</v>
      </c>
      <c r="C7" s="11"/>
      <c r="D7" s="13"/>
      <c r="E7" s="12"/>
      <c r="F7" s="12"/>
      <c r="G7" s="13"/>
    </row>
    <row r="8" spans="1:29" s="14" customFormat="1" ht="18" customHeight="1">
      <c r="A8" s="15"/>
      <c r="B8" s="16" t="s">
        <v>39</v>
      </c>
      <c r="C8" s="17"/>
      <c r="D8" s="18"/>
      <c r="E8" s="19"/>
      <c r="F8" s="19"/>
      <c r="G8" s="18"/>
    </row>
    <row r="9" spans="1:29" s="14" customFormat="1" ht="18" customHeight="1">
      <c r="A9" s="9"/>
      <c r="B9" s="10" t="s">
        <v>4</v>
      </c>
      <c r="C9" s="11"/>
      <c r="D9" s="12"/>
      <c r="E9" s="12"/>
      <c r="F9" s="12"/>
      <c r="G9" s="13"/>
    </row>
    <row r="10" spans="1:29" s="14" customFormat="1" ht="18" customHeight="1">
      <c r="A10" s="15"/>
      <c r="B10" s="16" t="s">
        <v>5</v>
      </c>
      <c r="C10" s="17"/>
      <c r="D10" s="19"/>
      <c r="E10" s="19"/>
      <c r="F10" s="19"/>
      <c r="G10" s="18"/>
    </row>
    <row r="11" spans="1:29" s="86" customFormat="1" ht="14.25">
      <c r="B11" s="89"/>
      <c r="C11" s="90"/>
      <c r="D11" s="91"/>
      <c r="E11" s="92"/>
      <c r="F11" s="93"/>
      <c r="G11" s="94"/>
      <c r="H11" s="27"/>
      <c r="I11" s="87"/>
      <c r="J11" s="87"/>
      <c r="K11" s="87"/>
      <c r="L11" s="87"/>
    </row>
    <row r="12" spans="1:29" s="86" customFormat="1" ht="14.25">
      <c r="B12" s="95"/>
      <c r="C12" s="96" t="s">
        <v>40</v>
      </c>
      <c r="D12" s="97"/>
      <c r="E12" s="98"/>
      <c r="F12" s="99"/>
      <c r="G12" s="100"/>
      <c r="H12" s="27"/>
      <c r="I12" s="87"/>
      <c r="J12" s="87"/>
      <c r="K12" s="87"/>
      <c r="L12" s="87"/>
    </row>
    <row r="13" spans="1:29" s="101" customFormat="1" ht="15">
      <c r="B13" s="95" t="s">
        <v>41</v>
      </c>
      <c r="C13" s="102" t="s">
        <v>42</v>
      </c>
      <c r="D13" s="103"/>
      <c r="E13" s="104"/>
      <c r="F13" s="105"/>
      <c r="G13" s="106" t="s">
        <v>10</v>
      </c>
      <c r="H13" s="37"/>
      <c r="I13" s="73"/>
      <c r="J13" s="73"/>
      <c r="K13" s="73"/>
      <c r="L13" s="73"/>
      <c r="M13" s="73"/>
      <c r="N13" s="73"/>
      <c r="O13" s="73"/>
      <c r="P13" s="73"/>
      <c r="Q13" s="73"/>
      <c r="R13" s="73"/>
      <c r="S13" s="73"/>
      <c r="T13" s="73"/>
      <c r="U13" s="73"/>
      <c r="V13" s="73"/>
      <c r="W13" s="73"/>
      <c r="X13" s="73"/>
      <c r="Y13" s="73"/>
      <c r="Z13" s="73"/>
      <c r="AA13" s="73"/>
      <c r="AB13" s="73"/>
      <c r="AC13" s="73"/>
    </row>
    <row r="14" spans="1:29" s="101" customFormat="1" ht="15">
      <c r="B14" s="107" t="s">
        <v>43</v>
      </c>
      <c r="C14" s="108" t="s">
        <v>44</v>
      </c>
      <c r="D14" s="109"/>
      <c r="E14" s="110"/>
      <c r="F14" s="111"/>
      <c r="G14" s="112">
        <f>G36</f>
        <v>0</v>
      </c>
      <c r="H14" s="37"/>
      <c r="I14" s="73"/>
      <c r="J14" s="73"/>
      <c r="K14" s="73"/>
      <c r="L14" s="73"/>
      <c r="M14" s="73"/>
      <c r="N14" s="73"/>
      <c r="O14" s="73"/>
      <c r="P14" s="73"/>
      <c r="Q14" s="73"/>
      <c r="R14" s="73"/>
      <c r="S14" s="73"/>
      <c r="T14" s="73"/>
      <c r="U14" s="73"/>
      <c r="V14" s="73"/>
      <c r="W14" s="73"/>
      <c r="X14" s="73"/>
      <c r="Y14" s="73"/>
      <c r="Z14" s="73"/>
      <c r="AA14" s="73"/>
      <c r="AB14" s="73"/>
      <c r="AC14" s="73"/>
    </row>
    <row r="15" spans="1:29" s="101" customFormat="1" ht="15">
      <c r="B15" s="107" t="s">
        <v>45</v>
      </c>
      <c r="C15" s="108" t="s">
        <v>46</v>
      </c>
      <c r="D15" s="109"/>
      <c r="E15" s="110"/>
      <c r="F15" s="111"/>
      <c r="G15" s="112">
        <f>G68</f>
        <v>0</v>
      </c>
      <c r="H15" s="37"/>
      <c r="I15" s="73"/>
      <c r="J15" s="73"/>
      <c r="K15" s="73"/>
      <c r="L15" s="73"/>
      <c r="M15" s="73"/>
      <c r="N15" s="73"/>
      <c r="O15" s="73"/>
      <c r="P15" s="73"/>
      <c r="Q15" s="73"/>
      <c r="R15" s="73"/>
      <c r="S15" s="73"/>
      <c r="T15" s="73"/>
      <c r="U15" s="73"/>
      <c r="V15" s="73"/>
      <c r="W15" s="73"/>
      <c r="X15" s="73"/>
      <c r="Y15" s="73"/>
      <c r="Z15" s="73"/>
      <c r="AA15" s="73"/>
      <c r="AB15" s="73"/>
      <c r="AC15" s="73"/>
    </row>
    <row r="16" spans="1:29" s="101" customFormat="1" ht="15">
      <c r="B16" s="107" t="s">
        <v>47</v>
      </c>
      <c r="C16" s="108" t="s">
        <v>48</v>
      </c>
      <c r="D16" s="109"/>
      <c r="E16" s="110"/>
      <c r="F16" s="111"/>
      <c r="G16" s="112">
        <f>G155</f>
        <v>0</v>
      </c>
      <c r="H16" s="37"/>
      <c r="I16" s="73"/>
      <c r="J16" s="73"/>
      <c r="K16" s="73"/>
      <c r="L16" s="73"/>
      <c r="M16" s="73"/>
      <c r="N16" s="73"/>
      <c r="O16" s="73"/>
      <c r="P16" s="73"/>
      <c r="Q16" s="73"/>
      <c r="R16" s="73"/>
      <c r="S16" s="73"/>
      <c r="T16" s="73"/>
      <c r="U16" s="73"/>
      <c r="V16" s="73"/>
      <c r="W16" s="73"/>
      <c r="X16" s="73"/>
      <c r="Y16" s="73"/>
      <c r="Z16" s="73"/>
      <c r="AA16" s="73"/>
      <c r="AB16" s="73"/>
      <c r="AC16" s="73"/>
    </row>
    <row r="17" spans="2:29" s="101" customFormat="1" ht="15">
      <c r="B17" s="113"/>
      <c r="C17" s="114" t="s">
        <v>49</v>
      </c>
      <c r="D17" s="115"/>
      <c r="E17" s="116"/>
      <c r="F17" s="117"/>
      <c r="G17" s="50">
        <f>SUM(G14:G16)</f>
        <v>0</v>
      </c>
      <c r="H17" s="37"/>
      <c r="I17" s="73"/>
      <c r="J17" s="73"/>
      <c r="K17" s="73"/>
      <c r="L17" s="73"/>
      <c r="M17" s="73"/>
      <c r="N17" s="73"/>
      <c r="O17" s="73"/>
      <c r="P17" s="73"/>
      <c r="Q17" s="73"/>
      <c r="R17" s="73"/>
      <c r="S17" s="73"/>
      <c r="T17" s="73"/>
      <c r="U17" s="73"/>
      <c r="V17" s="73"/>
      <c r="W17" s="73"/>
      <c r="X17" s="73"/>
      <c r="Y17" s="73"/>
      <c r="Z17" s="73"/>
      <c r="AA17" s="73"/>
      <c r="AB17" s="73"/>
      <c r="AC17" s="73"/>
    </row>
    <row r="18" spans="2:29">
      <c r="B18" s="61"/>
      <c r="C18" s="62"/>
      <c r="D18" s="63"/>
      <c r="E18" s="64"/>
      <c r="F18" s="65"/>
    </row>
    <row r="19" spans="2:29">
      <c r="G19" s="118"/>
    </row>
    <row r="20" spans="2:29" ht="24">
      <c r="B20" s="119" t="s">
        <v>50</v>
      </c>
      <c r="C20" s="120" t="s">
        <v>51</v>
      </c>
      <c r="D20" s="121" t="s">
        <v>52</v>
      </c>
      <c r="E20" s="122" t="s">
        <v>53</v>
      </c>
      <c r="F20" s="123" t="s">
        <v>54</v>
      </c>
      <c r="G20" s="124" t="s">
        <v>55</v>
      </c>
    </row>
    <row r="21" spans="2:29">
      <c r="B21" s="125"/>
      <c r="C21" s="126"/>
      <c r="D21" s="127"/>
      <c r="E21" s="128"/>
      <c r="F21" s="129"/>
      <c r="G21" s="130"/>
    </row>
    <row r="22" spans="2:29" s="138" customFormat="1" ht="20.25">
      <c r="B22" s="131" t="s">
        <v>43</v>
      </c>
      <c r="C22" s="132" t="s">
        <v>44</v>
      </c>
      <c r="D22" s="133"/>
      <c r="E22" s="134"/>
      <c r="F22" s="135"/>
      <c r="G22" s="136"/>
      <c r="H22" s="137"/>
    </row>
    <row r="23" spans="2:29" ht="27.75" customHeight="1">
      <c r="B23" s="125">
        <v>1</v>
      </c>
      <c r="C23" s="139" t="s">
        <v>56</v>
      </c>
      <c r="D23" s="140" t="s">
        <v>57</v>
      </c>
      <c r="E23" s="128">
        <v>313</v>
      </c>
      <c r="F23" s="141">
        <v>0</v>
      </c>
      <c r="G23" s="142">
        <f t="shared" ref="G23" si="0">E23*F23</f>
        <v>0</v>
      </c>
    </row>
    <row r="24" spans="2:29">
      <c r="B24" s="125">
        <v>2</v>
      </c>
      <c r="C24" s="139" t="s">
        <v>58</v>
      </c>
      <c r="D24" s="140" t="s">
        <v>57</v>
      </c>
      <c r="E24" s="128">
        <v>313</v>
      </c>
      <c r="F24" s="141">
        <v>0</v>
      </c>
      <c r="G24" s="142">
        <f>E24*F24</f>
        <v>0</v>
      </c>
    </row>
    <row r="25" spans="2:29" ht="53.25" customHeight="1">
      <c r="B25" s="125">
        <v>3</v>
      </c>
      <c r="C25" s="139" t="s">
        <v>59</v>
      </c>
      <c r="D25" s="140" t="s">
        <v>60</v>
      </c>
      <c r="E25" s="128">
        <v>1</v>
      </c>
      <c r="F25" s="141">
        <v>0</v>
      </c>
      <c r="G25" s="142">
        <f t="shared" ref="G25:G35" si="1">E25*F25</f>
        <v>0</v>
      </c>
      <c r="H25" s="143"/>
    </row>
    <row r="26" spans="2:29" ht="132">
      <c r="B26" s="125">
        <v>4</v>
      </c>
      <c r="C26" s="144" t="s">
        <v>61</v>
      </c>
      <c r="D26" s="145" t="s">
        <v>60</v>
      </c>
      <c r="E26" s="128">
        <v>1</v>
      </c>
      <c r="F26" s="141">
        <v>0</v>
      </c>
      <c r="G26" s="142">
        <f t="shared" si="1"/>
        <v>0</v>
      </c>
    </row>
    <row r="27" spans="2:29" ht="30.75" customHeight="1">
      <c r="B27" s="125">
        <v>5</v>
      </c>
      <c r="C27" s="139" t="s">
        <v>62</v>
      </c>
      <c r="D27" s="146" t="s">
        <v>60</v>
      </c>
      <c r="E27" s="128">
        <v>1</v>
      </c>
      <c r="F27" s="141">
        <v>0</v>
      </c>
      <c r="G27" s="142">
        <f t="shared" si="1"/>
        <v>0</v>
      </c>
    </row>
    <row r="28" spans="2:29" ht="27" customHeight="1">
      <c r="B28" s="125">
        <v>6</v>
      </c>
      <c r="C28" s="147" t="s">
        <v>63</v>
      </c>
      <c r="D28" s="140" t="s">
        <v>57</v>
      </c>
      <c r="E28" s="128">
        <v>313</v>
      </c>
      <c r="F28" s="141">
        <v>0</v>
      </c>
      <c r="G28" s="142">
        <f t="shared" si="1"/>
        <v>0</v>
      </c>
    </row>
    <row r="29" spans="2:29" ht="52.5" customHeight="1">
      <c r="B29" s="125">
        <v>7</v>
      </c>
      <c r="C29" s="147" t="s">
        <v>64</v>
      </c>
      <c r="D29" s="146" t="s">
        <v>60</v>
      </c>
      <c r="E29" s="128">
        <v>1</v>
      </c>
      <c r="F29" s="141">
        <v>0</v>
      </c>
      <c r="G29" s="142">
        <f t="shared" si="1"/>
        <v>0</v>
      </c>
    </row>
    <row r="30" spans="2:29" ht="48">
      <c r="B30" s="125">
        <v>8</v>
      </c>
      <c r="C30" s="1080" t="s">
        <v>2292</v>
      </c>
      <c r="D30" s="146" t="s">
        <v>66</v>
      </c>
      <c r="E30" s="128">
        <v>18</v>
      </c>
      <c r="F30" s="141">
        <v>0</v>
      </c>
      <c r="G30" s="142">
        <f t="shared" si="1"/>
        <v>0</v>
      </c>
    </row>
    <row r="31" spans="2:29" ht="39" customHeight="1">
      <c r="B31" s="125">
        <v>9</v>
      </c>
      <c r="C31" s="1080" t="s">
        <v>2294</v>
      </c>
      <c r="D31" s="146" t="s">
        <v>57</v>
      </c>
      <c r="E31" s="128">
        <v>398</v>
      </c>
      <c r="F31" s="141">
        <v>0</v>
      </c>
      <c r="G31" s="142">
        <f t="shared" si="1"/>
        <v>0</v>
      </c>
      <c r="H31" s="143"/>
    </row>
    <row r="32" spans="2:29" ht="27.75" customHeight="1">
      <c r="B32" s="125">
        <v>10</v>
      </c>
      <c r="C32" s="1080" t="s">
        <v>2293</v>
      </c>
      <c r="D32" s="146" t="s">
        <v>57</v>
      </c>
      <c r="E32" s="128">
        <v>398</v>
      </c>
      <c r="F32" s="141">
        <v>0</v>
      </c>
      <c r="G32" s="142">
        <f t="shared" si="1"/>
        <v>0</v>
      </c>
    </row>
    <row r="33" spans="2:22" ht="14.25" customHeight="1">
      <c r="B33" s="125">
        <v>11</v>
      </c>
      <c r="C33" s="147" t="s">
        <v>67</v>
      </c>
      <c r="D33" s="146" t="s">
        <v>60</v>
      </c>
      <c r="E33" s="128">
        <v>1</v>
      </c>
      <c r="F33" s="141">
        <v>0</v>
      </c>
      <c r="G33" s="142">
        <f t="shared" si="1"/>
        <v>0</v>
      </c>
    </row>
    <row r="34" spans="2:22" ht="38.25" customHeight="1">
      <c r="B34" s="125">
        <v>12</v>
      </c>
      <c r="C34" s="148" t="s">
        <v>68</v>
      </c>
      <c r="D34" s="146" t="s">
        <v>60</v>
      </c>
      <c r="E34" s="149">
        <v>1</v>
      </c>
      <c r="F34" s="141">
        <v>0</v>
      </c>
      <c r="G34" s="142">
        <f t="shared" si="1"/>
        <v>0</v>
      </c>
      <c r="I34" s="8"/>
      <c r="J34" s="8"/>
      <c r="K34" s="8"/>
      <c r="L34" s="8"/>
      <c r="M34" s="8"/>
      <c r="N34" s="8"/>
      <c r="O34" s="8"/>
      <c r="P34" s="8"/>
      <c r="Q34" s="8"/>
      <c r="R34" s="8"/>
      <c r="S34" s="8"/>
      <c r="T34" s="8"/>
      <c r="U34" s="8"/>
      <c r="V34" s="8"/>
    </row>
    <row r="35" spans="2:22" ht="38.25" customHeight="1">
      <c r="B35" s="125">
        <v>13</v>
      </c>
      <c r="C35" s="150" t="s">
        <v>69</v>
      </c>
      <c r="D35" s="146" t="s">
        <v>60</v>
      </c>
      <c r="E35" s="149">
        <v>2</v>
      </c>
      <c r="F35" s="141">
        <v>0</v>
      </c>
      <c r="G35" s="142">
        <f t="shared" si="1"/>
        <v>0</v>
      </c>
      <c r="I35" s="8"/>
      <c r="J35" s="8"/>
      <c r="K35" s="8"/>
      <c r="L35" s="8"/>
      <c r="M35" s="8"/>
      <c r="N35" s="8"/>
      <c r="O35" s="8"/>
      <c r="P35" s="8"/>
      <c r="Q35" s="8"/>
      <c r="R35" s="8"/>
      <c r="S35" s="8"/>
      <c r="T35" s="8"/>
      <c r="U35" s="8"/>
      <c r="V35" s="8"/>
    </row>
    <row r="36" spans="2:22">
      <c r="B36" s="151" t="s">
        <v>43</v>
      </c>
      <c r="C36" s="152" t="s">
        <v>70</v>
      </c>
      <c r="D36" s="153"/>
      <c r="E36" s="154"/>
      <c r="F36" s="155"/>
      <c r="G36" s="156">
        <f>SUM(G23:G35)</f>
        <v>0</v>
      </c>
      <c r="I36" s="8"/>
      <c r="J36" s="8"/>
      <c r="K36" s="8"/>
      <c r="L36" s="8"/>
      <c r="M36" s="8"/>
      <c r="N36" s="8"/>
      <c r="O36" s="8"/>
      <c r="P36" s="8"/>
      <c r="Q36" s="8"/>
      <c r="R36" s="8"/>
      <c r="S36" s="8"/>
      <c r="T36" s="8"/>
      <c r="U36" s="8"/>
      <c r="V36" s="8"/>
    </row>
    <row r="37" spans="2:22">
      <c r="B37" s="125"/>
      <c r="C37" s="126"/>
      <c r="D37" s="127"/>
      <c r="E37" s="128"/>
      <c r="F37" s="129"/>
      <c r="G37" s="130"/>
      <c r="I37" s="8"/>
      <c r="J37" s="8"/>
      <c r="K37" s="8"/>
      <c r="L37" s="8"/>
      <c r="M37" s="8"/>
      <c r="N37" s="8"/>
      <c r="O37" s="8"/>
      <c r="P37" s="8"/>
      <c r="Q37" s="8"/>
      <c r="R37" s="8"/>
      <c r="S37" s="8"/>
      <c r="T37" s="8"/>
      <c r="U37" s="8"/>
      <c r="V37" s="8"/>
    </row>
    <row r="38" spans="2:22" ht="24">
      <c r="B38" s="157" t="s">
        <v>50</v>
      </c>
      <c r="C38" s="158" t="s">
        <v>51</v>
      </c>
      <c r="D38" s="159" t="s">
        <v>52</v>
      </c>
      <c r="E38" s="160" t="s">
        <v>53</v>
      </c>
      <c r="F38" s="161" t="s">
        <v>54</v>
      </c>
      <c r="G38" s="162" t="s">
        <v>55</v>
      </c>
      <c r="I38" s="8"/>
      <c r="J38" s="8"/>
      <c r="K38" s="8"/>
      <c r="L38" s="8"/>
      <c r="M38" s="8"/>
      <c r="N38" s="8"/>
      <c r="O38" s="8"/>
      <c r="P38" s="8"/>
      <c r="Q38" s="8"/>
      <c r="R38" s="8"/>
      <c r="S38" s="8"/>
      <c r="T38" s="8"/>
      <c r="U38" s="8"/>
      <c r="V38" s="8"/>
    </row>
    <row r="39" spans="2:22">
      <c r="B39" s="125"/>
      <c r="C39" s="163"/>
      <c r="D39" s="140"/>
      <c r="E39" s="128"/>
      <c r="F39" s="129"/>
      <c r="G39" s="130"/>
      <c r="I39" s="8"/>
      <c r="J39" s="8"/>
      <c r="K39" s="8"/>
      <c r="L39" s="8"/>
      <c r="M39" s="8"/>
      <c r="N39" s="8"/>
      <c r="O39" s="8"/>
      <c r="P39" s="8"/>
      <c r="Q39" s="8"/>
      <c r="R39" s="8"/>
      <c r="S39" s="8"/>
      <c r="T39" s="8"/>
      <c r="U39" s="8"/>
      <c r="V39" s="8"/>
    </row>
    <row r="40" spans="2:22" s="138" customFormat="1" ht="20.25">
      <c r="B40" s="131" t="s">
        <v>45</v>
      </c>
      <c r="C40" s="164" t="s">
        <v>71</v>
      </c>
      <c r="D40" s="165"/>
      <c r="E40" s="134"/>
      <c r="F40" s="135"/>
      <c r="G40" s="136"/>
      <c r="H40" s="8"/>
      <c r="I40" s="8"/>
      <c r="J40" s="8"/>
      <c r="K40" s="8"/>
      <c r="L40" s="8"/>
      <c r="M40" s="8"/>
      <c r="N40" s="8"/>
      <c r="O40" s="8"/>
      <c r="P40" s="8"/>
      <c r="Q40" s="8"/>
      <c r="R40" s="8"/>
      <c r="S40" s="8"/>
      <c r="T40" s="8"/>
      <c r="U40" s="8"/>
      <c r="V40" s="8"/>
    </row>
    <row r="41" spans="2:22" s="166" customFormat="1" ht="71.25" customHeight="1">
      <c r="B41" s="2399" t="s">
        <v>72</v>
      </c>
      <c r="C41" s="2400"/>
      <c r="D41" s="2400"/>
      <c r="E41" s="2400"/>
      <c r="F41" s="2400"/>
      <c r="G41" s="2401"/>
      <c r="H41" s="8"/>
      <c r="I41" s="8"/>
      <c r="J41" s="8"/>
      <c r="K41" s="8"/>
      <c r="L41" s="8"/>
      <c r="M41" s="8"/>
      <c r="N41" s="8"/>
      <c r="O41" s="8"/>
      <c r="P41" s="8"/>
      <c r="Q41" s="8"/>
      <c r="R41" s="8"/>
      <c r="S41" s="8"/>
      <c r="T41" s="8"/>
      <c r="U41" s="8"/>
      <c r="V41" s="8"/>
    </row>
    <row r="42" spans="2:22" ht="24">
      <c r="B42" s="167">
        <v>1</v>
      </c>
      <c r="C42" s="139" t="s">
        <v>73</v>
      </c>
      <c r="D42" s="140" t="s">
        <v>74</v>
      </c>
      <c r="E42" s="128">
        <v>16</v>
      </c>
      <c r="F42" s="141">
        <v>0</v>
      </c>
      <c r="G42" s="142">
        <f t="shared" ref="G42:G67" si="2">E42*F42</f>
        <v>0</v>
      </c>
      <c r="I42" s="8"/>
      <c r="J42" s="8"/>
      <c r="K42" s="8"/>
      <c r="L42" s="8"/>
      <c r="M42" s="8"/>
      <c r="N42" s="8"/>
      <c r="O42" s="8"/>
      <c r="P42" s="8"/>
      <c r="Q42" s="8"/>
      <c r="R42" s="8"/>
      <c r="S42" s="8"/>
      <c r="T42" s="8"/>
      <c r="U42" s="8"/>
      <c r="V42" s="8"/>
    </row>
    <row r="43" spans="2:22" ht="36">
      <c r="B43" s="167">
        <v>2</v>
      </c>
      <c r="C43" s="139" t="s">
        <v>75</v>
      </c>
      <c r="D43" s="145" t="s">
        <v>74</v>
      </c>
      <c r="E43" s="128">
        <v>12</v>
      </c>
      <c r="F43" s="141">
        <v>0</v>
      </c>
      <c r="G43" s="142">
        <f t="shared" si="2"/>
        <v>0</v>
      </c>
      <c r="I43" s="8"/>
      <c r="J43" s="8"/>
      <c r="K43" s="8"/>
      <c r="L43" s="8"/>
      <c r="M43" s="8"/>
      <c r="N43" s="8"/>
      <c r="O43" s="8"/>
      <c r="P43" s="8"/>
      <c r="Q43" s="8"/>
      <c r="R43" s="8"/>
      <c r="S43" s="8"/>
      <c r="T43" s="8"/>
      <c r="U43" s="8"/>
      <c r="V43" s="8"/>
    </row>
    <row r="44" spans="2:22" ht="39.75" customHeight="1">
      <c r="B44" s="167">
        <v>3</v>
      </c>
      <c r="C44" s="139" t="s">
        <v>76</v>
      </c>
      <c r="D44" s="145" t="s">
        <v>74</v>
      </c>
      <c r="E44" s="128">
        <v>587</v>
      </c>
      <c r="F44" s="141">
        <v>0</v>
      </c>
      <c r="G44" s="142">
        <f t="shared" si="2"/>
        <v>0</v>
      </c>
      <c r="I44" s="8"/>
      <c r="J44" s="8"/>
      <c r="K44" s="8"/>
      <c r="L44" s="8"/>
      <c r="M44" s="8"/>
      <c r="N44" s="8"/>
      <c r="O44" s="8"/>
      <c r="P44" s="8"/>
      <c r="Q44" s="8"/>
      <c r="R44" s="8"/>
      <c r="S44" s="8"/>
      <c r="T44" s="8"/>
      <c r="U44" s="8"/>
      <c r="V44" s="8"/>
    </row>
    <row r="45" spans="2:22" ht="24">
      <c r="B45" s="167">
        <v>4</v>
      </c>
      <c r="C45" s="168" t="s">
        <v>77</v>
      </c>
      <c r="D45" s="169" t="s">
        <v>78</v>
      </c>
      <c r="E45" s="170">
        <v>1169</v>
      </c>
      <c r="F45" s="141">
        <v>0</v>
      </c>
      <c r="G45" s="142">
        <f t="shared" si="2"/>
        <v>0</v>
      </c>
      <c r="I45" s="8"/>
      <c r="J45" s="8"/>
      <c r="K45" s="8"/>
      <c r="L45" s="8"/>
      <c r="M45" s="8"/>
      <c r="N45" s="8"/>
      <c r="O45" s="8"/>
      <c r="P45" s="8"/>
      <c r="Q45" s="8"/>
      <c r="R45" s="8"/>
      <c r="S45" s="8"/>
      <c r="T45" s="8"/>
      <c r="U45" s="8"/>
      <c r="V45" s="8"/>
    </row>
    <row r="46" spans="2:22" ht="29.25" customHeight="1">
      <c r="B46" s="167">
        <v>5</v>
      </c>
      <c r="C46" s="139" t="s">
        <v>79</v>
      </c>
      <c r="D46" s="145" t="s">
        <v>78</v>
      </c>
      <c r="E46" s="128">
        <v>355</v>
      </c>
      <c r="F46" s="141">
        <v>0</v>
      </c>
      <c r="G46" s="142">
        <f t="shared" si="2"/>
        <v>0</v>
      </c>
      <c r="I46" s="8"/>
      <c r="J46" s="8"/>
      <c r="K46" s="8"/>
      <c r="L46" s="8"/>
      <c r="M46" s="8"/>
      <c r="N46" s="8"/>
      <c r="O46" s="8"/>
      <c r="P46" s="8"/>
      <c r="Q46" s="8"/>
      <c r="R46" s="8"/>
      <c r="S46" s="8"/>
      <c r="T46" s="8"/>
      <c r="U46" s="8"/>
      <c r="V46" s="8"/>
    </row>
    <row r="47" spans="2:22" ht="27" customHeight="1">
      <c r="B47" s="167">
        <v>6</v>
      </c>
      <c r="C47" s="139" t="s">
        <v>80</v>
      </c>
      <c r="D47" s="145" t="s">
        <v>74</v>
      </c>
      <c r="E47" s="128">
        <v>107</v>
      </c>
      <c r="F47" s="141">
        <v>0</v>
      </c>
      <c r="G47" s="142">
        <f t="shared" si="2"/>
        <v>0</v>
      </c>
      <c r="I47" s="8"/>
      <c r="J47" s="8"/>
      <c r="K47" s="8"/>
      <c r="L47" s="8"/>
      <c r="M47" s="8"/>
      <c r="N47" s="8"/>
      <c r="O47" s="8"/>
      <c r="P47" s="8"/>
      <c r="Q47" s="8"/>
      <c r="R47" s="8"/>
      <c r="S47" s="8"/>
      <c r="T47" s="8"/>
      <c r="U47" s="8"/>
      <c r="V47" s="8"/>
    </row>
    <row r="48" spans="2:22" s="176" customFormat="1" ht="36">
      <c r="B48" s="167">
        <v>7</v>
      </c>
      <c r="C48" s="171" t="s">
        <v>81</v>
      </c>
      <c r="D48" s="172" t="s">
        <v>74</v>
      </c>
      <c r="E48" s="173">
        <v>330</v>
      </c>
      <c r="F48" s="141">
        <v>0</v>
      </c>
      <c r="G48" s="175">
        <f t="shared" si="2"/>
        <v>0</v>
      </c>
      <c r="H48" s="8"/>
      <c r="I48" s="8"/>
      <c r="J48" s="8"/>
      <c r="K48" s="8"/>
      <c r="L48" s="8"/>
      <c r="M48" s="8"/>
      <c r="N48" s="8"/>
      <c r="O48" s="8"/>
      <c r="P48" s="8"/>
      <c r="Q48" s="8"/>
      <c r="R48" s="8"/>
      <c r="S48" s="8"/>
      <c r="T48" s="8"/>
      <c r="U48" s="8"/>
      <c r="V48" s="8"/>
    </row>
    <row r="49" spans="2:22" s="166" customFormat="1" ht="36">
      <c r="B49" s="167">
        <v>8</v>
      </c>
      <c r="C49" s="274" t="s">
        <v>82</v>
      </c>
      <c r="D49" s="275" t="s">
        <v>74</v>
      </c>
      <c r="E49" s="173">
        <v>178</v>
      </c>
      <c r="F49" s="141">
        <v>0</v>
      </c>
      <c r="G49" s="175">
        <f t="shared" si="2"/>
        <v>0</v>
      </c>
      <c r="H49" s="8"/>
      <c r="I49" s="8"/>
      <c r="J49" s="8"/>
      <c r="K49" s="8"/>
      <c r="L49" s="8"/>
      <c r="M49" s="8"/>
      <c r="N49" s="8"/>
      <c r="O49" s="8"/>
      <c r="P49" s="8"/>
      <c r="Q49" s="8"/>
      <c r="R49" s="8"/>
      <c r="S49" s="8"/>
      <c r="T49" s="8"/>
      <c r="U49" s="8"/>
      <c r="V49" s="8"/>
    </row>
    <row r="50" spans="2:22" s="179" customFormat="1" ht="51" customHeight="1">
      <c r="B50" s="2406">
        <v>9</v>
      </c>
      <c r="C50" s="276" t="s">
        <v>83</v>
      </c>
      <c r="D50" s="277"/>
      <c r="E50" s="173"/>
      <c r="F50" s="174"/>
      <c r="G50" s="175"/>
      <c r="H50" s="8"/>
      <c r="I50" s="8"/>
      <c r="J50" s="8"/>
      <c r="K50" s="8"/>
      <c r="L50" s="8"/>
      <c r="M50" s="8"/>
      <c r="N50" s="8"/>
      <c r="O50" s="8"/>
      <c r="P50" s="8"/>
      <c r="Q50" s="8"/>
      <c r="R50" s="8"/>
      <c r="S50" s="8"/>
      <c r="T50" s="8"/>
      <c r="U50" s="8"/>
      <c r="V50" s="8"/>
    </row>
    <row r="51" spans="2:22" s="179" customFormat="1" ht="15" customHeight="1">
      <c r="B51" s="2407"/>
      <c r="C51" s="276" t="s">
        <v>84</v>
      </c>
      <c r="D51" s="277" t="s">
        <v>57</v>
      </c>
      <c r="E51" s="173">
        <v>5</v>
      </c>
      <c r="F51" s="174">
        <v>0</v>
      </c>
      <c r="G51" s="175">
        <f t="shared" ref="G51" si="3">E51*F51</f>
        <v>0</v>
      </c>
      <c r="H51" s="8"/>
      <c r="I51" s="8"/>
      <c r="J51" s="8"/>
      <c r="K51" s="8"/>
      <c r="L51" s="8"/>
      <c r="M51" s="8"/>
      <c r="N51" s="8"/>
      <c r="O51" s="8"/>
      <c r="P51" s="8"/>
      <c r="Q51" s="8"/>
      <c r="R51" s="8"/>
      <c r="S51" s="8"/>
      <c r="T51" s="8"/>
      <c r="U51" s="8"/>
      <c r="V51" s="8"/>
    </row>
    <row r="52" spans="2:22" ht="25.5" customHeight="1">
      <c r="B52" s="167">
        <v>10</v>
      </c>
      <c r="C52" s="171" t="s">
        <v>85</v>
      </c>
      <c r="D52" s="172" t="s">
        <v>57</v>
      </c>
      <c r="E52" s="173">
        <v>532</v>
      </c>
      <c r="F52" s="174">
        <v>0</v>
      </c>
      <c r="G52" s="175">
        <f t="shared" si="2"/>
        <v>0</v>
      </c>
      <c r="I52" s="8"/>
      <c r="J52" s="8"/>
      <c r="K52" s="8"/>
      <c r="L52" s="8"/>
      <c r="M52" s="8"/>
      <c r="N52" s="8"/>
      <c r="O52" s="8"/>
      <c r="P52" s="8"/>
      <c r="Q52" s="8"/>
      <c r="R52" s="8"/>
      <c r="S52" s="8"/>
      <c r="T52" s="8"/>
      <c r="U52" s="8"/>
      <c r="V52" s="8"/>
    </row>
    <row r="53" spans="2:22" ht="24">
      <c r="B53" s="167">
        <v>11</v>
      </c>
      <c r="C53" s="171" t="s">
        <v>86</v>
      </c>
      <c r="D53" s="277" t="s">
        <v>78</v>
      </c>
      <c r="E53" s="173">
        <v>511</v>
      </c>
      <c r="F53" s="174">
        <v>0</v>
      </c>
      <c r="G53" s="175">
        <f t="shared" si="2"/>
        <v>0</v>
      </c>
      <c r="I53" s="8"/>
      <c r="J53" s="8"/>
      <c r="K53" s="8"/>
      <c r="L53" s="8"/>
      <c r="M53" s="8"/>
      <c r="N53" s="8"/>
      <c r="O53" s="8"/>
      <c r="P53" s="8"/>
      <c r="Q53" s="8"/>
      <c r="R53" s="8"/>
      <c r="S53" s="8"/>
      <c r="T53" s="8"/>
      <c r="U53" s="8"/>
      <c r="V53" s="8"/>
    </row>
    <row r="54" spans="2:22" ht="49.5" customHeight="1">
      <c r="B54" s="167">
        <v>12</v>
      </c>
      <c r="C54" s="278" t="s">
        <v>87</v>
      </c>
      <c r="D54" s="277" t="s">
        <v>78</v>
      </c>
      <c r="E54" s="173">
        <v>511</v>
      </c>
      <c r="F54" s="174">
        <v>0</v>
      </c>
      <c r="G54" s="175">
        <f t="shared" si="2"/>
        <v>0</v>
      </c>
      <c r="I54" s="8"/>
      <c r="J54" s="8"/>
      <c r="K54" s="8"/>
      <c r="L54" s="8"/>
      <c r="M54" s="8"/>
      <c r="N54" s="8"/>
      <c r="O54" s="8"/>
      <c r="P54" s="8"/>
      <c r="Q54" s="8"/>
      <c r="R54" s="8"/>
      <c r="S54" s="8"/>
      <c r="T54" s="8"/>
      <c r="U54" s="8"/>
      <c r="V54" s="8"/>
    </row>
    <row r="55" spans="2:22" ht="48">
      <c r="B55" s="167">
        <v>13</v>
      </c>
      <c r="C55" s="171" t="s">
        <v>88</v>
      </c>
      <c r="D55" s="172" t="s">
        <v>78</v>
      </c>
      <c r="E55" s="173">
        <v>511</v>
      </c>
      <c r="F55" s="174">
        <v>0</v>
      </c>
      <c r="G55" s="175">
        <f t="shared" si="2"/>
        <v>0</v>
      </c>
      <c r="I55" s="8"/>
      <c r="J55" s="8"/>
      <c r="K55" s="8"/>
      <c r="L55" s="8"/>
      <c r="M55" s="8"/>
      <c r="N55" s="8"/>
      <c r="O55" s="8"/>
      <c r="P55" s="8"/>
      <c r="Q55" s="8"/>
      <c r="R55" s="8"/>
      <c r="S55" s="8"/>
      <c r="T55" s="8"/>
      <c r="U55" s="8"/>
      <c r="V55" s="8"/>
    </row>
    <row r="56" spans="2:22" ht="60">
      <c r="B56" s="167">
        <v>14</v>
      </c>
      <c r="C56" s="171" t="s">
        <v>89</v>
      </c>
      <c r="D56" s="172" t="s">
        <v>78</v>
      </c>
      <c r="E56" s="173">
        <v>716</v>
      </c>
      <c r="F56" s="174">
        <v>0</v>
      </c>
      <c r="G56" s="175">
        <f>E56*F56</f>
        <v>0</v>
      </c>
      <c r="I56" s="8"/>
      <c r="J56" s="8"/>
      <c r="K56" s="8"/>
      <c r="L56" s="8"/>
      <c r="M56" s="8"/>
      <c r="N56" s="8"/>
      <c r="O56" s="8"/>
      <c r="P56" s="8"/>
      <c r="Q56" s="8"/>
      <c r="R56" s="8"/>
      <c r="S56" s="8"/>
      <c r="T56" s="8"/>
      <c r="U56" s="8"/>
      <c r="V56" s="8"/>
    </row>
    <row r="57" spans="2:22" ht="38.25" customHeight="1">
      <c r="B57" s="167">
        <v>15</v>
      </c>
      <c r="C57" s="171" t="s">
        <v>90</v>
      </c>
      <c r="D57" s="277" t="s">
        <v>78</v>
      </c>
      <c r="E57" s="173">
        <v>205</v>
      </c>
      <c r="F57" s="174">
        <v>0</v>
      </c>
      <c r="G57" s="175">
        <f t="shared" si="2"/>
        <v>0</v>
      </c>
      <c r="I57" s="8"/>
      <c r="J57" s="8"/>
      <c r="K57" s="8"/>
      <c r="L57" s="8"/>
      <c r="M57" s="8"/>
      <c r="N57" s="8"/>
      <c r="O57" s="8"/>
      <c r="P57" s="8"/>
      <c r="Q57" s="8"/>
      <c r="R57" s="8"/>
      <c r="S57" s="8"/>
      <c r="T57" s="8"/>
      <c r="U57" s="8"/>
      <c r="V57" s="8"/>
    </row>
    <row r="58" spans="2:22" ht="24">
      <c r="B58" s="167">
        <v>16</v>
      </c>
      <c r="C58" s="171" t="s">
        <v>91</v>
      </c>
      <c r="D58" s="172" t="s">
        <v>74</v>
      </c>
      <c r="E58" s="173">
        <v>16</v>
      </c>
      <c r="F58" s="174">
        <v>0</v>
      </c>
      <c r="G58" s="175">
        <f t="shared" si="2"/>
        <v>0</v>
      </c>
      <c r="I58" s="8"/>
      <c r="J58" s="8"/>
      <c r="K58" s="8"/>
      <c r="L58" s="8"/>
      <c r="M58" s="8"/>
      <c r="N58" s="8"/>
      <c r="O58" s="8"/>
      <c r="P58" s="8"/>
      <c r="Q58" s="8"/>
      <c r="R58" s="8"/>
      <c r="S58" s="8"/>
      <c r="T58" s="8"/>
      <c r="U58" s="8"/>
      <c r="V58" s="8"/>
    </row>
    <row r="59" spans="2:22" s="176" customFormat="1" ht="24">
      <c r="B59" s="167">
        <v>17</v>
      </c>
      <c r="C59" s="171" t="s">
        <v>92</v>
      </c>
      <c r="D59" s="172" t="s">
        <v>74</v>
      </c>
      <c r="E59" s="173">
        <v>599</v>
      </c>
      <c r="F59" s="174">
        <v>0</v>
      </c>
      <c r="G59" s="175">
        <f t="shared" si="2"/>
        <v>0</v>
      </c>
      <c r="H59" s="8"/>
      <c r="I59" s="8"/>
      <c r="J59" s="8"/>
      <c r="K59" s="8"/>
      <c r="L59" s="8"/>
      <c r="M59" s="8"/>
      <c r="N59" s="8"/>
      <c r="O59" s="8"/>
      <c r="P59" s="8"/>
      <c r="Q59" s="8"/>
      <c r="R59" s="8"/>
      <c r="S59" s="8"/>
      <c r="T59" s="8"/>
      <c r="U59" s="8"/>
      <c r="V59" s="8"/>
    </row>
    <row r="60" spans="2:22" s="176" customFormat="1">
      <c r="B60" s="167">
        <v>18</v>
      </c>
      <c r="C60" s="171" t="s">
        <v>93</v>
      </c>
      <c r="D60" s="172" t="s">
        <v>74</v>
      </c>
      <c r="E60" s="173">
        <v>599</v>
      </c>
      <c r="F60" s="174">
        <v>0</v>
      </c>
      <c r="G60" s="175">
        <f t="shared" si="2"/>
        <v>0</v>
      </c>
      <c r="H60" s="8"/>
      <c r="I60" s="8"/>
      <c r="J60" s="8"/>
      <c r="K60" s="8"/>
      <c r="L60" s="8"/>
      <c r="M60" s="8"/>
      <c r="N60" s="8"/>
      <c r="O60" s="8"/>
      <c r="P60" s="8"/>
      <c r="Q60" s="8"/>
      <c r="R60" s="8"/>
      <c r="S60" s="8"/>
      <c r="T60" s="8"/>
      <c r="U60" s="8"/>
      <c r="V60" s="8"/>
    </row>
    <row r="61" spans="2:22" ht="24">
      <c r="B61" s="167">
        <v>19</v>
      </c>
      <c r="C61" s="139" t="s">
        <v>94</v>
      </c>
      <c r="D61" s="145" t="s">
        <v>78</v>
      </c>
      <c r="E61" s="128">
        <v>511</v>
      </c>
      <c r="F61" s="174">
        <v>0</v>
      </c>
      <c r="G61" s="142">
        <f t="shared" si="2"/>
        <v>0</v>
      </c>
      <c r="I61" s="8"/>
      <c r="J61" s="8"/>
      <c r="K61" s="8"/>
      <c r="L61" s="8"/>
      <c r="M61" s="8"/>
      <c r="N61" s="8"/>
      <c r="O61" s="8"/>
      <c r="P61" s="8"/>
      <c r="Q61" s="8"/>
      <c r="R61" s="8"/>
      <c r="S61" s="8"/>
      <c r="T61" s="8"/>
      <c r="U61" s="8"/>
      <c r="V61" s="8"/>
    </row>
    <row r="62" spans="2:22" ht="27" customHeight="1">
      <c r="B62" s="167">
        <v>20</v>
      </c>
      <c r="C62" s="139" t="s">
        <v>95</v>
      </c>
      <c r="D62" s="140" t="s">
        <v>78</v>
      </c>
      <c r="E62" s="128">
        <v>468</v>
      </c>
      <c r="F62" s="174">
        <v>0</v>
      </c>
      <c r="G62" s="142">
        <f t="shared" si="2"/>
        <v>0</v>
      </c>
      <c r="I62" s="8"/>
      <c r="J62" s="8"/>
      <c r="K62" s="8"/>
      <c r="L62" s="8"/>
      <c r="M62" s="8"/>
      <c r="N62" s="8"/>
      <c r="O62" s="8"/>
      <c r="P62" s="8"/>
      <c r="Q62" s="8"/>
      <c r="R62" s="8"/>
      <c r="S62" s="8"/>
      <c r="T62" s="8"/>
      <c r="U62" s="8"/>
      <c r="V62" s="8"/>
    </row>
    <row r="63" spans="2:22" ht="25.5" customHeight="1">
      <c r="B63" s="167">
        <v>21</v>
      </c>
      <c r="C63" s="177" t="s">
        <v>96</v>
      </c>
      <c r="D63" s="140" t="s">
        <v>57</v>
      </c>
      <c r="E63" s="128">
        <v>12</v>
      </c>
      <c r="F63" s="174">
        <v>0</v>
      </c>
      <c r="G63" s="142">
        <f t="shared" si="2"/>
        <v>0</v>
      </c>
      <c r="I63" s="8"/>
      <c r="J63" s="8"/>
      <c r="K63" s="8"/>
      <c r="L63" s="8"/>
      <c r="M63" s="8"/>
      <c r="N63" s="8"/>
      <c r="O63" s="8"/>
      <c r="P63" s="8"/>
      <c r="Q63" s="8"/>
      <c r="R63" s="8"/>
      <c r="S63" s="8"/>
      <c r="T63" s="8"/>
      <c r="U63" s="8"/>
      <c r="V63" s="8"/>
    </row>
    <row r="64" spans="2:22" ht="29.25" customHeight="1">
      <c r="B64" s="167">
        <v>22</v>
      </c>
      <c r="C64" s="181" t="s">
        <v>97</v>
      </c>
      <c r="D64" s="182" t="s">
        <v>74</v>
      </c>
      <c r="E64" s="183">
        <v>3</v>
      </c>
      <c r="F64" s="174">
        <v>0</v>
      </c>
      <c r="G64" s="142">
        <f t="shared" si="2"/>
        <v>0</v>
      </c>
      <c r="I64" s="8"/>
      <c r="J64" s="8"/>
      <c r="K64" s="8"/>
      <c r="L64" s="8"/>
      <c r="M64" s="8"/>
      <c r="N64" s="8"/>
      <c r="O64" s="8"/>
      <c r="P64" s="8"/>
      <c r="Q64" s="8"/>
      <c r="R64" s="8"/>
      <c r="S64" s="8"/>
      <c r="T64" s="8"/>
      <c r="U64" s="8"/>
      <c r="V64" s="8"/>
    </row>
    <row r="65" spans="1:22" ht="30" customHeight="1">
      <c r="B65" s="167">
        <v>23</v>
      </c>
      <c r="C65" s="184" t="s">
        <v>98</v>
      </c>
      <c r="D65" s="182" t="s">
        <v>66</v>
      </c>
      <c r="E65" s="128">
        <v>25</v>
      </c>
      <c r="F65" s="174">
        <v>0</v>
      </c>
      <c r="G65" s="142">
        <f t="shared" si="2"/>
        <v>0</v>
      </c>
      <c r="I65" s="8"/>
      <c r="J65" s="8"/>
      <c r="K65" s="8"/>
      <c r="L65" s="8"/>
      <c r="M65" s="8"/>
      <c r="N65" s="8"/>
      <c r="O65" s="8"/>
      <c r="P65" s="8"/>
      <c r="Q65" s="8"/>
      <c r="R65" s="8"/>
      <c r="S65" s="8"/>
      <c r="T65" s="8"/>
      <c r="U65" s="8"/>
      <c r="V65" s="8"/>
    </row>
    <row r="66" spans="1:22" ht="30" customHeight="1">
      <c r="B66" s="167">
        <v>24</v>
      </c>
      <c r="C66" s="184" t="s">
        <v>99</v>
      </c>
      <c r="D66" s="182" t="s">
        <v>74</v>
      </c>
      <c r="E66" s="183">
        <v>3</v>
      </c>
      <c r="F66" s="174">
        <v>0</v>
      </c>
      <c r="G66" s="142">
        <f t="shared" si="2"/>
        <v>0</v>
      </c>
      <c r="I66" s="8"/>
      <c r="J66" s="8"/>
      <c r="K66" s="8"/>
      <c r="L66" s="8"/>
      <c r="M66" s="8"/>
      <c r="N66" s="8"/>
      <c r="O66" s="8"/>
      <c r="P66" s="8"/>
      <c r="Q66" s="8"/>
      <c r="R66" s="8"/>
      <c r="S66" s="8"/>
      <c r="T66" s="8"/>
      <c r="U66" s="8"/>
      <c r="V66" s="8"/>
    </row>
    <row r="67" spans="1:22" ht="24">
      <c r="B67" s="167">
        <v>25</v>
      </c>
      <c r="C67" s="184" t="s">
        <v>100</v>
      </c>
      <c r="D67" s="182" t="s">
        <v>65</v>
      </c>
      <c r="E67" s="183">
        <v>59</v>
      </c>
      <c r="F67" s="174">
        <v>0</v>
      </c>
      <c r="G67" s="142">
        <f t="shared" si="2"/>
        <v>0</v>
      </c>
      <c r="I67" s="8"/>
      <c r="J67" s="8"/>
      <c r="K67" s="8"/>
      <c r="L67" s="8"/>
      <c r="M67" s="8"/>
      <c r="N67" s="8"/>
      <c r="O67" s="8"/>
      <c r="P67" s="8"/>
      <c r="Q67" s="8"/>
      <c r="R67" s="8"/>
      <c r="S67" s="8"/>
      <c r="T67" s="8"/>
      <c r="U67" s="8"/>
      <c r="V67" s="8"/>
    </row>
    <row r="68" spans="1:22">
      <c r="B68" s="151" t="s">
        <v>45</v>
      </c>
      <c r="C68" s="152" t="s">
        <v>101</v>
      </c>
      <c r="D68" s="185"/>
      <c r="E68" s="154"/>
      <c r="F68" s="155"/>
      <c r="G68" s="156">
        <f>SUM(G42:G67)</f>
        <v>0</v>
      </c>
      <c r="I68" s="8"/>
      <c r="J68" s="8"/>
      <c r="K68" s="8"/>
      <c r="L68" s="8"/>
      <c r="M68" s="8"/>
      <c r="N68" s="8"/>
      <c r="O68" s="8"/>
      <c r="P68" s="8"/>
      <c r="Q68" s="8"/>
      <c r="R68" s="8"/>
      <c r="S68" s="8"/>
      <c r="T68" s="8"/>
      <c r="U68" s="8"/>
      <c r="V68" s="8"/>
    </row>
    <row r="69" spans="1:22">
      <c r="B69" s="125"/>
      <c r="C69" s="126"/>
      <c r="D69" s="127"/>
      <c r="E69" s="128"/>
      <c r="F69" s="129"/>
      <c r="G69" s="130"/>
      <c r="I69" s="8"/>
      <c r="J69" s="8"/>
      <c r="K69" s="8"/>
      <c r="L69" s="8"/>
      <c r="M69" s="8"/>
      <c r="N69" s="8"/>
      <c r="O69" s="8"/>
      <c r="P69" s="8"/>
      <c r="Q69" s="8"/>
      <c r="R69" s="8"/>
      <c r="S69" s="8"/>
      <c r="T69" s="8"/>
      <c r="U69" s="8"/>
      <c r="V69" s="8"/>
    </row>
    <row r="70" spans="1:22" ht="24">
      <c r="B70" s="157" t="s">
        <v>50</v>
      </c>
      <c r="C70" s="158" t="s">
        <v>51</v>
      </c>
      <c r="D70" s="158" t="s">
        <v>52</v>
      </c>
      <c r="E70" s="160" t="s">
        <v>53</v>
      </c>
      <c r="F70" s="161" t="s">
        <v>54</v>
      </c>
      <c r="G70" s="162" t="s">
        <v>55</v>
      </c>
      <c r="I70" s="8"/>
      <c r="J70" s="8"/>
      <c r="K70" s="8"/>
      <c r="L70" s="8"/>
      <c r="M70" s="8"/>
      <c r="N70" s="8"/>
      <c r="O70" s="8"/>
      <c r="P70" s="8"/>
      <c r="Q70" s="8"/>
      <c r="R70" s="8"/>
      <c r="S70" s="8"/>
      <c r="T70" s="8"/>
      <c r="U70" s="8"/>
      <c r="V70" s="8"/>
    </row>
    <row r="71" spans="1:22">
      <c r="B71" s="125"/>
      <c r="C71" s="126"/>
      <c r="D71" s="140"/>
      <c r="E71" s="128"/>
      <c r="F71" s="129"/>
      <c r="G71" s="130"/>
      <c r="I71" s="8"/>
      <c r="J71" s="8"/>
      <c r="K71" s="8"/>
      <c r="L71" s="8"/>
      <c r="M71" s="8"/>
      <c r="N71" s="8"/>
      <c r="O71" s="8"/>
      <c r="P71" s="8"/>
      <c r="Q71" s="8"/>
      <c r="R71" s="8"/>
      <c r="S71" s="8"/>
      <c r="T71" s="8"/>
      <c r="U71" s="8"/>
      <c r="V71" s="8"/>
    </row>
    <row r="72" spans="1:22" s="138" customFormat="1" ht="20.25">
      <c r="B72" s="186" t="s">
        <v>47</v>
      </c>
      <c r="C72" s="187" t="s">
        <v>102</v>
      </c>
      <c r="D72" s="165"/>
      <c r="E72" s="134"/>
      <c r="F72" s="135"/>
      <c r="G72" s="136"/>
      <c r="H72" s="8"/>
      <c r="I72" s="8"/>
      <c r="J72" s="8"/>
      <c r="K72" s="8"/>
      <c r="L72" s="8"/>
      <c r="M72" s="8"/>
      <c r="N72" s="8"/>
      <c r="O72" s="8"/>
      <c r="P72" s="8"/>
      <c r="Q72" s="8"/>
      <c r="R72" s="8"/>
      <c r="S72" s="8"/>
      <c r="T72" s="8"/>
      <c r="U72" s="8"/>
      <c r="V72" s="8"/>
    </row>
    <row r="73" spans="1:22" s="14" customFormat="1" ht="18" customHeight="1">
      <c r="A73" s="9"/>
      <c r="B73" s="10" t="s">
        <v>38</v>
      </c>
      <c r="C73" s="11"/>
      <c r="D73" s="13"/>
      <c r="E73" s="12"/>
      <c r="F73" s="12"/>
      <c r="G73" s="13"/>
      <c r="H73" s="8"/>
      <c r="I73" s="8"/>
      <c r="J73" s="8"/>
      <c r="K73" s="8"/>
      <c r="L73" s="8"/>
      <c r="M73" s="8"/>
      <c r="N73" s="8"/>
      <c r="O73" s="8"/>
      <c r="P73" s="8"/>
      <c r="Q73" s="8"/>
      <c r="R73" s="8"/>
      <c r="S73" s="8"/>
      <c r="T73" s="8"/>
      <c r="U73" s="8"/>
      <c r="V73" s="8"/>
    </row>
    <row r="74" spans="1:22" s="14" customFormat="1" ht="18" customHeight="1">
      <c r="A74" s="15"/>
      <c r="B74" s="16" t="s">
        <v>39</v>
      </c>
      <c r="C74" s="17"/>
      <c r="D74" s="18"/>
      <c r="E74" s="19"/>
      <c r="F74" s="19"/>
      <c r="G74" s="18"/>
      <c r="H74" s="8"/>
      <c r="I74" s="8"/>
      <c r="J74" s="8"/>
      <c r="K74" s="8"/>
      <c r="L74" s="8"/>
      <c r="M74" s="8"/>
      <c r="N74" s="8"/>
      <c r="O74" s="8"/>
      <c r="P74" s="8"/>
      <c r="Q74" s="8"/>
      <c r="R74" s="8"/>
      <c r="S74" s="8"/>
      <c r="T74" s="8"/>
      <c r="U74" s="8"/>
      <c r="V74" s="8"/>
    </row>
    <row r="75" spans="1:22" s="14" customFormat="1" ht="18" customHeight="1">
      <c r="A75" s="9"/>
      <c r="B75" s="10" t="s">
        <v>4</v>
      </c>
      <c r="C75" s="11"/>
      <c r="D75" s="12"/>
      <c r="E75" s="12"/>
      <c r="F75" s="12"/>
      <c r="G75" s="13"/>
      <c r="H75" s="8"/>
      <c r="I75" s="8"/>
      <c r="J75" s="8"/>
      <c r="K75" s="8"/>
      <c r="L75" s="8"/>
      <c r="M75" s="8"/>
      <c r="N75" s="8"/>
      <c r="O75" s="8"/>
      <c r="P75" s="8"/>
      <c r="Q75" s="8"/>
      <c r="R75" s="8"/>
      <c r="S75" s="8"/>
      <c r="T75" s="8"/>
      <c r="U75" s="8"/>
      <c r="V75" s="8"/>
    </row>
    <row r="76" spans="1:22" s="14" customFormat="1" ht="18" customHeight="1">
      <c r="A76" s="15"/>
      <c r="B76" s="16" t="s">
        <v>5</v>
      </c>
      <c r="C76" s="17"/>
      <c r="D76" s="19"/>
      <c r="E76" s="19"/>
      <c r="F76" s="19"/>
      <c r="G76" s="18"/>
      <c r="H76" s="8"/>
      <c r="I76" s="8"/>
      <c r="J76" s="8"/>
      <c r="K76" s="8"/>
      <c r="L76" s="8"/>
      <c r="M76" s="8"/>
      <c r="N76" s="8"/>
      <c r="O76" s="8"/>
      <c r="P76" s="8"/>
      <c r="Q76" s="8"/>
      <c r="R76" s="8"/>
      <c r="S76" s="8"/>
      <c r="T76" s="8"/>
      <c r="U76" s="8"/>
      <c r="V76" s="8"/>
    </row>
    <row r="77" spans="1:22" s="166" customFormat="1" ht="33" customHeight="1">
      <c r="B77" s="2399" t="s">
        <v>103</v>
      </c>
      <c r="C77" s="2400"/>
      <c r="D77" s="2400"/>
      <c r="E77" s="2400"/>
      <c r="F77" s="2400"/>
      <c r="G77" s="2401"/>
      <c r="H77" s="8"/>
      <c r="I77" s="8"/>
      <c r="J77" s="8"/>
      <c r="K77" s="8"/>
      <c r="L77" s="8"/>
      <c r="M77" s="8"/>
      <c r="N77" s="8"/>
      <c r="O77" s="8"/>
      <c r="P77" s="8"/>
      <c r="Q77" s="8"/>
      <c r="R77" s="8"/>
      <c r="S77" s="8"/>
      <c r="T77" s="8"/>
      <c r="U77" s="8"/>
      <c r="V77" s="8"/>
    </row>
    <row r="78" spans="1:22" s="166" customFormat="1" ht="18.75" customHeight="1">
      <c r="B78" s="2399" t="s">
        <v>104</v>
      </c>
      <c r="C78" s="2400"/>
      <c r="D78" s="2400"/>
      <c r="E78" s="2400"/>
      <c r="F78" s="2400"/>
      <c r="G78" s="2401"/>
      <c r="H78" s="8"/>
      <c r="I78" s="8"/>
      <c r="J78" s="8"/>
      <c r="K78" s="8"/>
      <c r="L78" s="8"/>
      <c r="M78" s="8"/>
      <c r="N78" s="8"/>
      <c r="O78" s="8"/>
      <c r="P78" s="8"/>
      <c r="Q78" s="8"/>
      <c r="R78" s="8"/>
      <c r="S78" s="8"/>
      <c r="T78" s="8"/>
      <c r="U78" s="8"/>
      <c r="V78" s="8"/>
    </row>
    <row r="79" spans="1:22" s="166" customFormat="1" ht="18.75" customHeight="1">
      <c r="B79" s="2399" t="s">
        <v>105</v>
      </c>
      <c r="C79" s="2400"/>
      <c r="D79" s="2400"/>
      <c r="E79" s="2400"/>
      <c r="F79" s="2400"/>
      <c r="G79" s="2401"/>
      <c r="H79" s="8"/>
      <c r="I79" s="8"/>
      <c r="J79" s="8"/>
      <c r="K79" s="8"/>
      <c r="L79" s="8"/>
      <c r="M79" s="8"/>
      <c r="N79" s="8"/>
      <c r="O79" s="8"/>
      <c r="P79" s="8"/>
      <c r="Q79" s="8"/>
      <c r="R79" s="8"/>
      <c r="S79" s="8"/>
      <c r="T79" s="8"/>
      <c r="U79" s="8"/>
      <c r="V79" s="8"/>
    </row>
    <row r="80" spans="1:22" ht="30" customHeight="1">
      <c r="B80" s="188">
        <v>1</v>
      </c>
      <c r="C80" s="189" t="s">
        <v>106</v>
      </c>
      <c r="D80" s="190"/>
      <c r="E80" s="128"/>
      <c r="F80" s="129"/>
      <c r="G80" s="130"/>
      <c r="I80" s="8"/>
      <c r="J80" s="8"/>
      <c r="K80" s="8"/>
      <c r="L80" s="8"/>
      <c r="M80" s="8"/>
      <c r="N80" s="8"/>
      <c r="O80" s="8"/>
      <c r="P80" s="8"/>
      <c r="Q80" s="8"/>
      <c r="R80" s="8"/>
      <c r="S80" s="8"/>
      <c r="T80" s="8"/>
      <c r="U80" s="8"/>
      <c r="V80" s="8"/>
    </row>
    <row r="81" spans="2:22" s="179" customFormat="1" ht="18.75" customHeight="1">
      <c r="B81" s="191"/>
      <c r="C81" s="192" t="s">
        <v>107</v>
      </c>
      <c r="D81" s="190" t="s">
        <v>57</v>
      </c>
      <c r="E81" s="128">
        <v>281</v>
      </c>
      <c r="F81" s="141">
        <v>0</v>
      </c>
      <c r="G81" s="142">
        <f t="shared" ref="G81:G84" si="4">E81*F81</f>
        <v>0</v>
      </c>
      <c r="H81" s="8"/>
      <c r="I81" s="8"/>
      <c r="J81" s="8"/>
      <c r="K81" s="8"/>
      <c r="L81" s="8"/>
      <c r="M81" s="8"/>
      <c r="N81" s="8"/>
      <c r="O81" s="8"/>
      <c r="P81" s="8"/>
      <c r="Q81" s="8"/>
      <c r="R81" s="8"/>
      <c r="S81" s="8"/>
      <c r="T81" s="8"/>
      <c r="U81" s="8"/>
      <c r="V81" s="8"/>
    </row>
    <row r="82" spans="2:22" s="179" customFormat="1" ht="24.75" customHeight="1">
      <c r="B82" s="191"/>
      <c r="C82" s="192" t="s">
        <v>108</v>
      </c>
      <c r="D82" s="190" t="s">
        <v>57</v>
      </c>
      <c r="E82" s="128">
        <v>32</v>
      </c>
      <c r="F82" s="141">
        <v>0</v>
      </c>
      <c r="G82" s="142">
        <f t="shared" si="4"/>
        <v>0</v>
      </c>
      <c r="H82" s="8"/>
      <c r="I82" s="8"/>
      <c r="J82" s="8"/>
      <c r="K82" s="8"/>
      <c r="L82" s="8"/>
      <c r="M82" s="8"/>
      <c r="N82" s="8"/>
      <c r="O82" s="8"/>
      <c r="P82" s="8"/>
      <c r="Q82" s="8"/>
      <c r="R82" s="8"/>
      <c r="S82" s="8"/>
      <c r="T82" s="8"/>
      <c r="U82" s="8"/>
      <c r="V82" s="8"/>
    </row>
    <row r="83" spans="2:22" s="179" customFormat="1" ht="19.5" customHeight="1">
      <c r="B83" s="191"/>
      <c r="C83" s="192" t="s">
        <v>109</v>
      </c>
      <c r="D83" s="190" t="s">
        <v>57</v>
      </c>
      <c r="E83" s="128">
        <v>76</v>
      </c>
      <c r="F83" s="141">
        <v>0</v>
      </c>
      <c r="G83" s="142">
        <f t="shared" si="4"/>
        <v>0</v>
      </c>
      <c r="H83" s="8"/>
      <c r="I83" s="8"/>
      <c r="J83" s="8"/>
      <c r="K83" s="8"/>
      <c r="L83" s="8"/>
      <c r="M83" s="8"/>
      <c r="N83" s="8"/>
      <c r="O83" s="8"/>
      <c r="P83" s="8"/>
      <c r="Q83" s="8"/>
      <c r="R83" s="8"/>
      <c r="S83" s="8"/>
      <c r="T83" s="8"/>
      <c r="U83" s="8"/>
      <c r="V83" s="8"/>
    </row>
    <row r="84" spans="2:22" s="179" customFormat="1" ht="27.75" customHeight="1">
      <c r="B84" s="191"/>
      <c r="C84" s="192" t="s">
        <v>110</v>
      </c>
      <c r="D84" s="190" t="s">
        <v>57</v>
      </c>
      <c r="E84" s="128">
        <v>9</v>
      </c>
      <c r="F84" s="141">
        <v>0</v>
      </c>
      <c r="G84" s="142">
        <f t="shared" si="4"/>
        <v>0</v>
      </c>
      <c r="H84" s="8"/>
      <c r="I84" s="8"/>
      <c r="J84" s="8"/>
      <c r="K84" s="8"/>
      <c r="L84" s="8"/>
      <c r="M84" s="8"/>
      <c r="N84" s="8"/>
      <c r="O84" s="8"/>
      <c r="P84" s="8"/>
      <c r="Q84" s="8"/>
      <c r="R84" s="8"/>
      <c r="S84" s="8"/>
      <c r="T84" s="8"/>
      <c r="U84" s="8"/>
      <c r="V84" s="8"/>
    </row>
    <row r="85" spans="2:22" ht="36">
      <c r="B85" s="2404" t="s">
        <v>111</v>
      </c>
      <c r="C85" s="193" t="s">
        <v>112</v>
      </c>
      <c r="D85" s="194"/>
      <c r="E85" s="128"/>
      <c r="F85" s="141"/>
      <c r="G85" s="142"/>
      <c r="I85" s="8"/>
      <c r="J85" s="8"/>
      <c r="K85" s="8"/>
      <c r="L85" s="8"/>
      <c r="M85" s="8"/>
      <c r="N85" s="8"/>
      <c r="O85" s="8"/>
      <c r="P85" s="8"/>
      <c r="Q85" s="8"/>
      <c r="R85" s="8"/>
      <c r="S85" s="8"/>
      <c r="T85" s="8"/>
      <c r="U85" s="8"/>
      <c r="V85" s="8"/>
    </row>
    <row r="86" spans="2:22">
      <c r="B86" s="2405"/>
      <c r="C86" s="195" t="s">
        <v>113</v>
      </c>
      <c r="D86" s="194" t="s">
        <v>57</v>
      </c>
      <c r="E86" s="128">
        <v>313</v>
      </c>
      <c r="F86" s="141">
        <v>0</v>
      </c>
      <c r="G86" s="142">
        <f t="shared" ref="G86:G90" si="5">E86*F86</f>
        <v>0</v>
      </c>
      <c r="I86" s="8"/>
      <c r="J86" s="8"/>
      <c r="K86" s="8"/>
      <c r="L86" s="8"/>
      <c r="M86" s="8"/>
      <c r="N86" s="8"/>
      <c r="O86" s="8"/>
      <c r="P86" s="8"/>
      <c r="Q86" s="8"/>
      <c r="R86" s="8"/>
      <c r="S86" s="8"/>
      <c r="T86" s="8"/>
      <c r="U86" s="8"/>
      <c r="V86" s="8"/>
    </row>
    <row r="87" spans="2:22" ht="36">
      <c r="B87" s="196">
        <v>2</v>
      </c>
      <c r="C87" s="197" t="s">
        <v>114</v>
      </c>
      <c r="D87" s="145" t="s">
        <v>57</v>
      </c>
      <c r="E87" s="128">
        <v>398</v>
      </c>
      <c r="F87" s="141">
        <v>0</v>
      </c>
      <c r="G87" s="142">
        <f t="shared" si="5"/>
        <v>0</v>
      </c>
      <c r="I87" s="8"/>
      <c r="J87" s="8"/>
      <c r="K87" s="8"/>
      <c r="L87" s="8"/>
      <c r="M87" s="8"/>
      <c r="N87" s="8"/>
      <c r="O87" s="8"/>
      <c r="P87" s="8"/>
      <c r="Q87" s="8"/>
      <c r="R87" s="8"/>
      <c r="S87" s="8"/>
      <c r="T87" s="8"/>
      <c r="U87" s="8"/>
      <c r="V87" s="8"/>
    </row>
    <row r="88" spans="2:22" ht="36">
      <c r="B88" s="199" t="s">
        <v>115</v>
      </c>
      <c r="C88" s="197" t="s">
        <v>116</v>
      </c>
      <c r="D88" s="145" t="s">
        <v>57</v>
      </c>
      <c r="E88" s="128">
        <v>398</v>
      </c>
      <c r="F88" s="141">
        <v>0</v>
      </c>
      <c r="G88" s="142">
        <f t="shared" si="5"/>
        <v>0</v>
      </c>
      <c r="I88" s="8"/>
      <c r="J88" s="8"/>
      <c r="K88" s="8"/>
      <c r="L88" s="8"/>
      <c r="M88" s="8"/>
      <c r="N88" s="8"/>
      <c r="O88" s="8"/>
      <c r="P88" s="8"/>
      <c r="Q88" s="8"/>
      <c r="R88" s="8"/>
      <c r="S88" s="8"/>
      <c r="T88" s="8"/>
      <c r="U88" s="8"/>
      <c r="V88" s="8"/>
    </row>
    <row r="89" spans="2:22" ht="24">
      <c r="B89" s="199" t="s">
        <v>117</v>
      </c>
      <c r="C89" s="197" t="s">
        <v>118</v>
      </c>
      <c r="D89" s="145" t="s">
        <v>57</v>
      </c>
      <c r="E89" s="128">
        <v>398</v>
      </c>
      <c r="F89" s="141">
        <v>0</v>
      </c>
      <c r="G89" s="142">
        <f t="shared" si="5"/>
        <v>0</v>
      </c>
      <c r="I89" s="8"/>
      <c r="J89" s="8"/>
      <c r="K89" s="8"/>
      <c r="L89" s="8"/>
      <c r="M89" s="8"/>
      <c r="N89" s="8"/>
      <c r="O89" s="8"/>
      <c r="P89" s="8"/>
      <c r="Q89" s="8"/>
      <c r="R89" s="8"/>
      <c r="S89" s="8"/>
      <c r="T89" s="8"/>
      <c r="U89" s="8"/>
      <c r="V89" s="8"/>
    </row>
    <row r="90" spans="2:22" ht="36">
      <c r="B90" s="199" t="s">
        <v>119</v>
      </c>
      <c r="C90" s="197" t="s">
        <v>120</v>
      </c>
      <c r="D90" s="145" t="s">
        <v>57</v>
      </c>
      <c r="E90" s="198">
        <v>398</v>
      </c>
      <c r="F90" s="141">
        <v>0</v>
      </c>
      <c r="G90" s="142">
        <f t="shared" si="5"/>
        <v>0</v>
      </c>
      <c r="I90" s="8"/>
      <c r="J90" s="8"/>
      <c r="K90" s="8"/>
      <c r="L90" s="8"/>
      <c r="M90" s="8"/>
      <c r="N90" s="8"/>
      <c r="O90" s="8"/>
      <c r="P90" s="8"/>
      <c r="Q90" s="8"/>
      <c r="R90" s="8"/>
      <c r="S90" s="8"/>
      <c r="T90" s="8"/>
      <c r="U90" s="8"/>
      <c r="V90" s="8"/>
    </row>
    <row r="91" spans="2:22" ht="24">
      <c r="B91" s="188">
        <v>3</v>
      </c>
      <c r="C91" s="200" t="s">
        <v>121</v>
      </c>
      <c r="D91" s="127"/>
      <c r="E91" s="128"/>
      <c r="F91" s="129"/>
      <c r="G91" s="130"/>
      <c r="I91" s="8"/>
      <c r="J91" s="8"/>
      <c r="K91" s="8"/>
      <c r="L91" s="8"/>
      <c r="M91" s="8"/>
      <c r="N91" s="8"/>
      <c r="O91" s="8"/>
      <c r="P91" s="8"/>
      <c r="Q91" s="8"/>
      <c r="R91" s="8"/>
      <c r="S91" s="8"/>
      <c r="T91" s="8"/>
      <c r="U91" s="8"/>
      <c r="V91" s="8"/>
    </row>
    <row r="92" spans="2:22">
      <c r="B92" s="201" t="s">
        <v>122</v>
      </c>
      <c r="C92" s="202" t="s">
        <v>123</v>
      </c>
      <c r="D92" s="203"/>
      <c r="E92" s="204"/>
      <c r="F92" s="205"/>
      <c r="G92" s="206"/>
      <c r="I92" s="8"/>
      <c r="J92" s="8"/>
      <c r="K92" s="8"/>
      <c r="L92" s="8"/>
      <c r="M92" s="8"/>
      <c r="N92" s="8"/>
      <c r="O92" s="8"/>
      <c r="P92" s="8"/>
      <c r="Q92" s="8"/>
      <c r="R92" s="8"/>
      <c r="S92" s="8"/>
      <c r="T92" s="8"/>
      <c r="U92" s="8"/>
      <c r="V92" s="8"/>
    </row>
    <row r="93" spans="2:22">
      <c r="B93" s="201"/>
      <c r="C93" s="208" t="s">
        <v>199</v>
      </c>
      <c r="D93" s="209" t="s">
        <v>66</v>
      </c>
      <c r="E93" s="204">
        <v>6</v>
      </c>
      <c r="F93" s="210">
        <v>0</v>
      </c>
      <c r="G93" s="211">
        <f t="shared" ref="G93:G94" si="6">E93*F93</f>
        <v>0</v>
      </c>
      <c r="I93" s="8"/>
      <c r="J93" s="8"/>
      <c r="K93" s="8"/>
      <c r="L93" s="8"/>
      <c r="M93" s="8"/>
      <c r="N93" s="8"/>
      <c r="O93" s="8"/>
      <c r="P93" s="8"/>
      <c r="Q93" s="8"/>
      <c r="R93" s="8"/>
      <c r="S93" s="8"/>
      <c r="T93" s="8"/>
      <c r="U93" s="8"/>
      <c r="V93" s="8"/>
    </row>
    <row r="94" spans="2:22" s="179" customFormat="1" ht="18" customHeight="1">
      <c r="B94" s="207"/>
      <c r="C94" s="208" t="s">
        <v>217</v>
      </c>
      <c r="D94" s="209" t="s">
        <v>66</v>
      </c>
      <c r="E94" s="204">
        <v>1</v>
      </c>
      <c r="F94" s="210">
        <v>0</v>
      </c>
      <c r="G94" s="211">
        <f t="shared" si="6"/>
        <v>0</v>
      </c>
      <c r="H94" s="8"/>
      <c r="I94" s="8"/>
      <c r="J94" s="8"/>
      <c r="K94" s="8"/>
      <c r="L94" s="8"/>
      <c r="M94" s="8"/>
      <c r="N94" s="8"/>
      <c r="O94" s="8"/>
      <c r="P94" s="8"/>
      <c r="Q94" s="8"/>
      <c r="R94" s="8"/>
      <c r="S94" s="8"/>
      <c r="T94" s="8"/>
      <c r="U94" s="8"/>
      <c r="V94" s="8"/>
    </row>
    <row r="95" spans="2:22" s="217" customFormat="1">
      <c r="B95" s="201" t="s">
        <v>126</v>
      </c>
      <c r="C95" s="212" t="s">
        <v>127</v>
      </c>
      <c r="D95" s="213"/>
      <c r="E95" s="214"/>
      <c r="F95" s="215"/>
      <c r="G95" s="216"/>
      <c r="H95" s="8"/>
      <c r="I95" s="8"/>
      <c r="J95" s="8"/>
      <c r="K95" s="8"/>
      <c r="L95" s="8"/>
      <c r="M95" s="8"/>
      <c r="N95" s="8"/>
      <c r="O95" s="8"/>
      <c r="P95" s="8"/>
      <c r="Q95" s="8"/>
      <c r="R95" s="8"/>
      <c r="S95" s="8"/>
      <c r="T95" s="8"/>
      <c r="U95" s="8"/>
      <c r="V95" s="8"/>
    </row>
    <row r="96" spans="2:22" s="217" customFormat="1">
      <c r="B96" s="218"/>
      <c r="C96" s="212" t="s">
        <v>128</v>
      </c>
      <c r="D96" s="213"/>
      <c r="E96" s="214"/>
      <c r="F96" s="215"/>
      <c r="G96" s="216"/>
      <c r="H96" s="8"/>
      <c r="I96" s="8"/>
      <c r="J96" s="8"/>
      <c r="K96" s="8"/>
      <c r="L96" s="8"/>
      <c r="M96" s="8"/>
      <c r="N96" s="8"/>
      <c r="O96" s="8"/>
      <c r="P96" s="8"/>
      <c r="Q96" s="8"/>
      <c r="R96" s="8"/>
      <c r="S96" s="8"/>
      <c r="T96" s="8"/>
      <c r="U96" s="8"/>
      <c r="V96" s="8"/>
    </row>
    <row r="97" spans="2:22" s="217" customFormat="1">
      <c r="B97" s="218"/>
      <c r="C97" s="219" t="s">
        <v>129</v>
      </c>
      <c r="D97" s="213" t="s">
        <v>66</v>
      </c>
      <c r="E97" s="214">
        <v>2</v>
      </c>
      <c r="F97" s="220">
        <v>0</v>
      </c>
      <c r="G97" s="221">
        <f t="shared" ref="G97:G103" si="7">E97*F97</f>
        <v>0</v>
      </c>
      <c r="H97" s="8"/>
      <c r="I97" s="8"/>
      <c r="J97" s="8"/>
      <c r="K97" s="8"/>
      <c r="L97" s="8"/>
      <c r="M97" s="8"/>
      <c r="N97" s="8"/>
      <c r="O97" s="8"/>
      <c r="P97" s="8"/>
      <c r="Q97" s="8"/>
      <c r="R97" s="8"/>
      <c r="S97" s="8"/>
      <c r="T97" s="8"/>
      <c r="U97" s="8"/>
      <c r="V97" s="8"/>
    </row>
    <row r="98" spans="2:22" s="217" customFormat="1" ht="38.25" customHeight="1">
      <c r="B98" s="218"/>
      <c r="C98" s="222" t="s">
        <v>130</v>
      </c>
      <c r="D98" s="213" t="s">
        <v>66</v>
      </c>
      <c r="E98" s="214">
        <v>2</v>
      </c>
      <c r="F98" s="220">
        <v>0</v>
      </c>
      <c r="G98" s="221">
        <f t="shared" si="7"/>
        <v>0</v>
      </c>
      <c r="H98" s="8"/>
      <c r="I98" s="8"/>
      <c r="J98" s="8"/>
      <c r="K98" s="8"/>
      <c r="L98" s="8"/>
      <c r="M98" s="8"/>
      <c r="N98" s="8"/>
      <c r="O98" s="8"/>
      <c r="P98" s="8"/>
      <c r="Q98" s="8"/>
      <c r="R98" s="8"/>
      <c r="S98" s="8"/>
      <c r="T98" s="8"/>
      <c r="U98" s="8"/>
      <c r="V98" s="8"/>
    </row>
    <row r="99" spans="2:22" s="217" customFormat="1">
      <c r="B99" s="218"/>
      <c r="C99" s="222" t="s">
        <v>131</v>
      </c>
      <c r="D99" s="213" t="s">
        <v>66</v>
      </c>
      <c r="E99" s="214">
        <v>2</v>
      </c>
      <c r="F99" s="220">
        <v>0</v>
      </c>
      <c r="G99" s="221">
        <f t="shared" si="7"/>
        <v>0</v>
      </c>
      <c r="H99" s="8"/>
      <c r="I99" s="8"/>
      <c r="J99" s="8"/>
      <c r="K99" s="8"/>
      <c r="L99" s="8"/>
      <c r="M99" s="8"/>
      <c r="N99" s="8"/>
      <c r="O99" s="8"/>
      <c r="P99" s="8"/>
      <c r="Q99" s="8"/>
      <c r="R99" s="8"/>
      <c r="S99" s="8"/>
      <c r="T99" s="8"/>
      <c r="U99" s="8"/>
      <c r="V99" s="8"/>
    </row>
    <row r="100" spans="2:22" s="217" customFormat="1">
      <c r="B100" s="218"/>
      <c r="C100" s="222" t="s">
        <v>132</v>
      </c>
      <c r="D100" s="213" t="s">
        <v>66</v>
      </c>
      <c r="E100" s="214">
        <v>4</v>
      </c>
      <c r="F100" s="220">
        <v>0</v>
      </c>
      <c r="G100" s="221">
        <f t="shared" si="7"/>
        <v>0</v>
      </c>
      <c r="H100" s="8"/>
      <c r="I100" s="8"/>
      <c r="J100" s="8"/>
      <c r="K100" s="8"/>
      <c r="L100" s="8"/>
      <c r="M100" s="8"/>
      <c r="N100" s="8"/>
      <c r="O100" s="8"/>
      <c r="P100" s="8"/>
      <c r="Q100" s="8"/>
      <c r="R100" s="8"/>
      <c r="S100" s="8"/>
      <c r="T100" s="8"/>
      <c r="U100" s="8"/>
      <c r="V100" s="8"/>
    </row>
    <row r="101" spans="2:22" s="217" customFormat="1">
      <c r="B101" s="218"/>
      <c r="C101" s="222" t="s">
        <v>133</v>
      </c>
      <c r="D101" s="213" t="s">
        <v>66</v>
      </c>
      <c r="E101" s="214">
        <v>4</v>
      </c>
      <c r="F101" s="220">
        <v>0</v>
      </c>
      <c r="G101" s="221">
        <f t="shared" si="7"/>
        <v>0</v>
      </c>
      <c r="H101" s="8"/>
      <c r="I101" s="8"/>
      <c r="J101" s="8"/>
      <c r="K101" s="8"/>
      <c r="L101" s="8"/>
      <c r="M101" s="8"/>
      <c r="N101" s="8"/>
      <c r="O101" s="8"/>
      <c r="P101" s="8"/>
      <c r="Q101" s="8"/>
      <c r="R101" s="8"/>
      <c r="S101" s="8"/>
      <c r="T101" s="8"/>
      <c r="U101" s="8"/>
      <c r="V101" s="8"/>
    </row>
    <row r="102" spans="2:22" s="217" customFormat="1">
      <c r="B102" s="218"/>
      <c r="C102" s="222" t="s">
        <v>134</v>
      </c>
      <c r="D102" s="213" t="s">
        <v>66</v>
      </c>
      <c r="E102" s="214">
        <v>2</v>
      </c>
      <c r="F102" s="220">
        <v>0</v>
      </c>
      <c r="G102" s="221">
        <f t="shared" si="7"/>
        <v>0</v>
      </c>
      <c r="H102" s="8"/>
      <c r="I102" s="8"/>
      <c r="J102" s="8"/>
      <c r="K102" s="8"/>
      <c r="L102" s="8"/>
      <c r="M102" s="8"/>
      <c r="N102" s="8"/>
      <c r="O102" s="8"/>
      <c r="P102" s="8"/>
      <c r="Q102" s="8"/>
      <c r="R102" s="8"/>
      <c r="S102" s="8"/>
      <c r="T102" s="8"/>
      <c r="U102" s="8"/>
      <c r="V102" s="8"/>
    </row>
    <row r="103" spans="2:22" s="217" customFormat="1">
      <c r="B103" s="218"/>
      <c r="C103" s="222" t="s">
        <v>135</v>
      </c>
      <c r="D103" s="213" t="s">
        <v>66</v>
      </c>
      <c r="E103" s="214">
        <v>2</v>
      </c>
      <c r="F103" s="220">
        <v>0</v>
      </c>
      <c r="G103" s="221">
        <f t="shared" si="7"/>
        <v>0</v>
      </c>
      <c r="H103" s="8"/>
      <c r="I103" s="8"/>
      <c r="J103" s="8"/>
      <c r="K103" s="8"/>
      <c r="L103" s="8"/>
      <c r="M103" s="8"/>
      <c r="N103" s="8"/>
      <c r="O103" s="8"/>
      <c r="P103" s="8"/>
      <c r="Q103" s="8"/>
      <c r="R103" s="8"/>
      <c r="S103" s="8"/>
      <c r="T103" s="8"/>
      <c r="U103" s="8"/>
      <c r="V103" s="8"/>
    </row>
    <row r="104" spans="2:22" s="217" customFormat="1">
      <c r="B104" s="201" t="s">
        <v>136</v>
      </c>
      <c r="C104" s="223" t="s">
        <v>137</v>
      </c>
      <c r="D104" s="224"/>
      <c r="E104" s="225"/>
      <c r="F104" s="226"/>
      <c r="G104" s="227"/>
      <c r="H104" s="8"/>
      <c r="I104" s="8"/>
      <c r="J104" s="8"/>
      <c r="K104" s="8"/>
      <c r="L104" s="8"/>
      <c r="M104" s="8"/>
      <c r="N104" s="8"/>
      <c r="O104" s="8"/>
      <c r="P104" s="8"/>
      <c r="Q104" s="8"/>
      <c r="R104" s="8"/>
      <c r="S104" s="8"/>
      <c r="T104" s="8"/>
      <c r="U104" s="8"/>
      <c r="V104" s="8"/>
    </row>
    <row r="105" spans="2:22" s="217" customFormat="1">
      <c r="B105" s="218"/>
      <c r="C105" s="223" t="s">
        <v>138</v>
      </c>
      <c r="D105" s="224"/>
      <c r="E105" s="225"/>
      <c r="F105" s="226"/>
      <c r="G105" s="227"/>
      <c r="H105" s="8"/>
      <c r="I105" s="8"/>
      <c r="J105" s="8"/>
      <c r="K105" s="8"/>
      <c r="L105" s="8"/>
      <c r="M105" s="8"/>
      <c r="N105" s="8"/>
      <c r="O105" s="8"/>
      <c r="P105" s="8"/>
      <c r="Q105" s="8"/>
      <c r="R105" s="8"/>
      <c r="S105" s="8"/>
      <c r="T105" s="8"/>
      <c r="U105" s="8"/>
      <c r="V105" s="8"/>
    </row>
    <row r="106" spans="2:22" s="217" customFormat="1">
      <c r="B106" s="218"/>
      <c r="C106" s="228" t="s">
        <v>129</v>
      </c>
      <c r="D106" s="224" t="s">
        <v>66</v>
      </c>
      <c r="E106" s="225">
        <v>1</v>
      </c>
      <c r="F106" s="229">
        <v>0</v>
      </c>
      <c r="G106" s="230">
        <f t="shared" ref="G106:G119" si="8">E106*F106</f>
        <v>0</v>
      </c>
      <c r="H106" s="8"/>
      <c r="I106" s="8"/>
      <c r="J106" s="8"/>
      <c r="K106" s="8"/>
      <c r="L106" s="8"/>
      <c r="M106" s="8"/>
      <c r="N106" s="8"/>
      <c r="O106" s="8"/>
      <c r="P106" s="8"/>
      <c r="Q106" s="8"/>
      <c r="R106" s="8"/>
      <c r="S106" s="8"/>
      <c r="T106" s="8"/>
      <c r="U106" s="8"/>
      <c r="V106" s="8"/>
    </row>
    <row r="107" spans="2:22" s="217" customFormat="1">
      <c r="B107" s="218"/>
      <c r="C107" s="228" t="s">
        <v>139</v>
      </c>
      <c r="D107" s="224" t="s">
        <v>66</v>
      </c>
      <c r="E107" s="225">
        <v>2</v>
      </c>
      <c r="F107" s="229">
        <v>0</v>
      </c>
      <c r="G107" s="230">
        <f t="shared" si="8"/>
        <v>0</v>
      </c>
      <c r="H107" s="8"/>
      <c r="I107" s="8"/>
      <c r="J107" s="8"/>
      <c r="K107" s="8"/>
      <c r="L107" s="8"/>
      <c r="M107" s="8"/>
      <c r="N107" s="8"/>
      <c r="O107" s="8"/>
      <c r="P107" s="8"/>
      <c r="Q107" s="8"/>
      <c r="R107" s="8"/>
      <c r="S107" s="8"/>
      <c r="T107" s="8"/>
      <c r="U107" s="8"/>
      <c r="V107" s="8"/>
    </row>
    <row r="108" spans="2:22" s="217" customFormat="1" ht="12.75" customHeight="1">
      <c r="B108" s="218"/>
      <c r="C108" s="231" t="s">
        <v>140</v>
      </c>
      <c r="D108" s="224" t="s">
        <v>66</v>
      </c>
      <c r="E108" s="225">
        <v>1</v>
      </c>
      <c r="F108" s="229">
        <v>0</v>
      </c>
      <c r="G108" s="230">
        <f t="shared" si="8"/>
        <v>0</v>
      </c>
      <c r="H108" s="8"/>
      <c r="I108" s="8"/>
      <c r="J108" s="8"/>
      <c r="K108" s="8"/>
      <c r="L108" s="8"/>
      <c r="M108" s="8"/>
      <c r="N108" s="8"/>
      <c r="O108" s="8"/>
      <c r="P108" s="8"/>
      <c r="Q108" s="8"/>
      <c r="R108" s="8"/>
      <c r="S108" s="8"/>
      <c r="T108" s="8"/>
      <c r="U108" s="8"/>
      <c r="V108" s="8"/>
    </row>
    <row r="109" spans="2:22" s="217" customFormat="1">
      <c r="B109" s="218"/>
      <c r="C109" s="231" t="s">
        <v>141</v>
      </c>
      <c r="D109" s="224" t="s">
        <v>66</v>
      </c>
      <c r="E109" s="225">
        <v>1</v>
      </c>
      <c r="F109" s="229">
        <v>0</v>
      </c>
      <c r="G109" s="230">
        <f t="shared" si="8"/>
        <v>0</v>
      </c>
      <c r="H109" s="8"/>
      <c r="I109" s="8"/>
      <c r="J109" s="8"/>
      <c r="K109" s="8"/>
      <c r="L109" s="8"/>
      <c r="M109" s="8"/>
      <c r="N109" s="8"/>
      <c r="O109" s="8"/>
      <c r="P109" s="8"/>
      <c r="Q109" s="8"/>
      <c r="R109" s="8"/>
      <c r="S109" s="8"/>
      <c r="T109" s="8"/>
      <c r="U109" s="8"/>
      <c r="V109" s="8"/>
    </row>
    <row r="110" spans="2:22" s="217" customFormat="1">
      <c r="B110" s="218"/>
      <c r="C110" s="231" t="s">
        <v>142</v>
      </c>
      <c r="D110" s="224" t="s">
        <v>66</v>
      </c>
      <c r="E110" s="225">
        <v>1</v>
      </c>
      <c r="F110" s="229">
        <v>0</v>
      </c>
      <c r="G110" s="230">
        <f t="shared" si="8"/>
        <v>0</v>
      </c>
      <c r="H110" s="8"/>
      <c r="I110" s="8"/>
      <c r="J110" s="8"/>
      <c r="K110" s="8"/>
      <c r="L110" s="8"/>
      <c r="M110" s="8"/>
      <c r="N110" s="8"/>
      <c r="O110" s="8"/>
      <c r="P110" s="8"/>
      <c r="Q110" s="8"/>
      <c r="R110" s="8"/>
      <c r="S110" s="8"/>
      <c r="T110" s="8"/>
      <c r="U110" s="8"/>
      <c r="V110" s="8"/>
    </row>
    <row r="111" spans="2:22" s="217" customFormat="1">
      <c r="B111" s="218"/>
      <c r="C111" s="231" t="s">
        <v>143</v>
      </c>
      <c r="D111" s="224" t="s">
        <v>66</v>
      </c>
      <c r="E111" s="225">
        <v>1</v>
      </c>
      <c r="F111" s="229">
        <v>0</v>
      </c>
      <c r="G111" s="230">
        <f t="shared" si="8"/>
        <v>0</v>
      </c>
      <c r="H111" s="8"/>
      <c r="I111" s="8"/>
      <c r="J111" s="8"/>
      <c r="K111" s="8"/>
      <c r="L111" s="8"/>
      <c r="M111" s="8"/>
      <c r="N111" s="8"/>
      <c r="O111" s="8"/>
      <c r="P111" s="8"/>
      <c r="Q111" s="8"/>
      <c r="R111" s="8"/>
      <c r="S111" s="8"/>
      <c r="T111" s="8"/>
      <c r="U111" s="8"/>
      <c r="V111" s="8"/>
    </row>
    <row r="112" spans="2:22" s="217" customFormat="1">
      <c r="B112" s="218"/>
      <c r="C112" s="231" t="s">
        <v>155</v>
      </c>
      <c r="D112" s="224" t="s">
        <v>66</v>
      </c>
      <c r="E112" s="225">
        <v>1</v>
      </c>
      <c r="F112" s="229">
        <v>0</v>
      </c>
      <c r="G112" s="230">
        <f t="shared" si="8"/>
        <v>0</v>
      </c>
      <c r="H112" s="8"/>
      <c r="I112" s="8"/>
      <c r="J112" s="8"/>
      <c r="K112" s="8"/>
      <c r="L112" s="8"/>
      <c r="M112" s="8"/>
      <c r="N112" s="8"/>
      <c r="O112" s="8"/>
      <c r="P112" s="8"/>
      <c r="Q112" s="8"/>
      <c r="R112" s="8"/>
      <c r="S112" s="8"/>
      <c r="T112" s="8"/>
      <c r="U112" s="8"/>
      <c r="V112" s="8"/>
    </row>
    <row r="113" spans="2:22" s="217" customFormat="1">
      <c r="B113" s="218"/>
      <c r="C113" s="231" t="s">
        <v>145</v>
      </c>
      <c r="D113" s="224" t="s">
        <v>66</v>
      </c>
      <c r="E113" s="225">
        <v>1</v>
      </c>
      <c r="F113" s="229">
        <v>0</v>
      </c>
      <c r="G113" s="230">
        <f t="shared" si="8"/>
        <v>0</v>
      </c>
      <c r="H113" s="8"/>
      <c r="I113" s="8"/>
      <c r="J113" s="8"/>
      <c r="K113" s="8"/>
      <c r="L113" s="8"/>
      <c r="M113" s="8"/>
      <c r="N113" s="8"/>
      <c r="O113" s="8"/>
      <c r="P113" s="8"/>
      <c r="Q113" s="8"/>
      <c r="R113" s="8"/>
      <c r="S113" s="8"/>
      <c r="T113" s="8"/>
      <c r="U113" s="8"/>
      <c r="V113" s="8"/>
    </row>
    <row r="114" spans="2:22" s="217" customFormat="1">
      <c r="B114" s="218"/>
      <c r="C114" s="231" t="s">
        <v>146</v>
      </c>
      <c r="D114" s="224" t="s">
        <v>66</v>
      </c>
      <c r="E114" s="225">
        <v>1</v>
      </c>
      <c r="F114" s="229">
        <v>0</v>
      </c>
      <c r="G114" s="230">
        <f t="shared" si="8"/>
        <v>0</v>
      </c>
      <c r="H114" s="8"/>
      <c r="I114" s="8"/>
      <c r="J114" s="8"/>
      <c r="K114" s="8"/>
      <c r="L114" s="8"/>
      <c r="M114" s="8"/>
      <c r="N114" s="8"/>
      <c r="O114" s="8"/>
      <c r="P114" s="8"/>
      <c r="Q114" s="8"/>
      <c r="R114" s="8"/>
      <c r="S114" s="8"/>
      <c r="T114" s="8"/>
      <c r="U114" s="8"/>
      <c r="V114" s="8"/>
    </row>
    <row r="115" spans="2:22" s="217" customFormat="1">
      <c r="B115" s="218"/>
      <c r="C115" s="232" t="s">
        <v>132</v>
      </c>
      <c r="D115" s="224" t="s">
        <v>66</v>
      </c>
      <c r="E115" s="225">
        <v>2</v>
      </c>
      <c r="F115" s="229">
        <v>0</v>
      </c>
      <c r="G115" s="230">
        <f t="shared" si="8"/>
        <v>0</v>
      </c>
      <c r="H115" s="8"/>
      <c r="I115" s="8"/>
      <c r="J115" s="8"/>
      <c r="K115" s="8"/>
      <c r="L115" s="8"/>
      <c r="M115" s="8"/>
      <c r="N115" s="8"/>
      <c r="O115" s="8"/>
      <c r="P115" s="8"/>
      <c r="Q115" s="8"/>
      <c r="R115" s="8"/>
      <c r="S115" s="8"/>
      <c r="T115" s="8"/>
      <c r="U115" s="8"/>
      <c r="V115" s="8"/>
    </row>
    <row r="116" spans="2:22" s="217" customFormat="1">
      <c r="B116" s="218"/>
      <c r="C116" s="232" t="s">
        <v>148</v>
      </c>
      <c r="D116" s="224" t="s">
        <v>66</v>
      </c>
      <c r="E116" s="225">
        <v>2</v>
      </c>
      <c r="F116" s="229">
        <v>0</v>
      </c>
      <c r="G116" s="230">
        <f t="shared" si="8"/>
        <v>0</v>
      </c>
      <c r="H116" s="8"/>
      <c r="I116" s="8"/>
      <c r="J116" s="8"/>
      <c r="K116" s="8"/>
      <c r="L116" s="8"/>
      <c r="M116" s="8"/>
      <c r="N116" s="8"/>
      <c r="O116" s="8"/>
      <c r="P116" s="8"/>
      <c r="Q116" s="8"/>
      <c r="R116" s="8"/>
      <c r="S116" s="8"/>
      <c r="T116" s="8"/>
      <c r="U116" s="8"/>
      <c r="V116" s="8"/>
    </row>
    <row r="117" spans="2:22" s="217" customFormat="1">
      <c r="B117" s="218"/>
      <c r="C117" s="232" t="s">
        <v>149</v>
      </c>
      <c r="D117" s="224" t="s">
        <v>66</v>
      </c>
      <c r="E117" s="225">
        <v>1</v>
      </c>
      <c r="F117" s="229">
        <v>0</v>
      </c>
      <c r="G117" s="230">
        <f t="shared" si="8"/>
        <v>0</v>
      </c>
      <c r="H117" s="8"/>
      <c r="I117" s="8"/>
      <c r="J117" s="8"/>
      <c r="K117" s="8"/>
      <c r="L117" s="8"/>
      <c r="M117" s="8"/>
      <c r="N117" s="8"/>
      <c r="O117" s="8"/>
      <c r="P117" s="8"/>
      <c r="Q117" s="8"/>
      <c r="R117" s="8"/>
      <c r="S117" s="8"/>
      <c r="T117" s="8"/>
      <c r="U117" s="8"/>
      <c r="V117" s="8"/>
    </row>
    <row r="118" spans="2:22" s="217" customFormat="1">
      <c r="B118" s="218"/>
      <c r="C118" s="232" t="s">
        <v>150</v>
      </c>
      <c r="D118" s="224" t="s">
        <v>66</v>
      </c>
      <c r="E118" s="225">
        <v>2</v>
      </c>
      <c r="F118" s="229">
        <v>0</v>
      </c>
      <c r="G118" s="230">
        <f t="shared" si="8"/>
        <v>0</v>
      </c>
      <c r="H118" s="8"/>
      <c r="I118" s="8"/>
      <c r="J118" s="8"/>
      <c r="K118" s="8"/>
      <c r="L118" s="8"/>
      <c r="M118" s="8"/>
      <c r="N118" s="8"/>
      <c r="O118" s="8"/>
      <c r="P118" s="8"/>
      <c r="Q118" s="8"/>
      <c r="R118" s="8"/>
      <c r="S118" s="8"/>
      <c r="T118" s="8"/>
      <c r="U118" s="8"/>
      <c r="V118" s="8"/>
    </row>
    <row r="119" spans="2:22" s="217" customFormat="1">
      <c r="B119" s="218"/>
      <c r="C119" s="233" t="s">
        <v>135</v>
      </c>
      <c r="D119" s="224" t="s">
        <v>66</v>
      </c>
      <c r="E119" s="225">
        <v>3</v>
      </c>
      <c r="F119" s="229">
        <v>0</v>
      </c>
      <c r="G119" s="230">
        <f t="shared" si="8"/>
        <v>0</v>
      </c>
      <c r="H119" s="8"/>
      <c r="I119" s="8"/>
      <c r="J119" s="8"/>
      <c r="K119" s="8"/>
      <c r="L119" s="8"/>
      <c r="M119" s="8"/>
      <c r="N119" s="8"/>
      <c r="O119" s="8"/>
      <c r="P119" s="8"/>
      <c r="Q119" s="8"/>
      <c r="R119" s="8"/>
      <c r="S119" s="8"/>
      <c r="T119" s="8"/>
      <c r="U119" s="8"/>
      <c r="V119" s="8"/>
    </row>
    <row r="120" spans="2:22" s="217" customFormat="1">
      <c r="B120" s="201" t="s">
        <v>151</v>
      </c>
      <c r="C120" s="212" t="s">
        <v>152</v>
      </c>
      <c r="D120" s="213"/>
      <c r="E120" s="214"/>
      <c r="F120" s="215"/>
      <c r="G120" s="216"/>
      <c r="H120" s="8"/>
      <c r="I120" s="8"/>
      <c r="J120" s="8"/>
      <c r="K120" s="8"/>
      <c r="L120" s="8"/>
      <c r="M120" s="8"/>
      <c r="N120" s="8"/>
      <c r="O120" s="8"/>
      <c r="P120" s="8"/>
      <c r="Q120" s="8"/>
      <c r="R120" s="8"/>
      <c r="S120" s="8"/>
      <c r="T120" s="8"/>
      <c r="U120" s="8"/>
      <c r="V120" s="8"/>
    </row>
    <row r="121" spans="2:22" s="217" customFormat="1">
      <c r="B121" s="218"/>
      <c r="C121" s="212" t="s">
        <v>153</v>
      </c>
      <c r="D121" s="213"/>
      <c r="E121" s="214"/>
      <c r="F121" s="215"/>
      <c r="G121" s="216"/>
      <c r="H121" s="8"/>
      <c r="I121" s="8"/>
      <c r="J121" s="8"/>
      <c r="K121" s="8"/>
      <c r="L121" s="8"/>
      <c r="M121" s="8"/>
      <c r="N121" s="8"/>
      <c r="O121" s="8"/>
      <c r="P121" s="8"/>
      <c r="Q121" s="8"/>
      <c r="R121" s="8"/>
      <c r="S121" s="8"/>
      <c r="T121" s="8"/>
      <c r="U121" s="8"/>
      <c r="V121" s="8"/>
    </row>
    <row r="122" spans="2:22" s="217" customFormat="1">
      <c r="B122" s="218"/>
      <c r="C122" s="219" t="s">
        <v>129</v>
      </c>
      <c r="D122" s="213" t="s">
        <v>66</v>
      </c>
      <c r="E122" s="214">
        <v>2</v>
      </c>
      <c r="F122" s="220">
        <v>0</v>
      </c>
      <c r="G122" s="221">
        <f t="shared" ref="G122:G131" si="9">E122*F122</f>
        <v>0</v>
      </c>
      <c r="H122" s="8"/>
      <c r="I122" s="8"/>
      <c r="J122" s="8"/>
      <c r="K122" s="8"/>
      <c r="L122" s="8"/>
      <c r="M122" s="8"/>
      <c r="N122" s="8"/>
      <c r="O122" s="8"/>
      <c r="P122" s="8"/>
      <c r="Q122" s="8"/>
      <c r="R122" s="8"/>
      <c r="S122" s="8"/>
      <c r="T122" s="8"/>
      <c r="U122" s="8"/>
      <c r="V122" s="8"/>
    </row>
    <row r="123" spans="2:22" s="217" customFormat="1" ht="24.75" customHeight="1">
      <c r="B123" s="218"/>
      <c r="C123" s="222" t="s">
        <v>154</v>
      </c>
      <c r="D123" s="213" t="s">
        <v>66</v>
      </c>
      <c r="E123" s="214">
        <v>2</v>
      </c>
      <c r="F123" s="220">
        <v>0</v>
      </c>
      <c r="G123" s="221">
        <f t="shared" si="9"/>
        <v>0</v>
      </c>
      <c r="H123" s="8"/>
      <c r="I123" s="8"/>
      <c r="J123" s="8"/>
      <c r="K123" s="8"/>
      <c r="L123" s="8"/>
      <c r="M123" s="8"/>
      <c r="N123" s="8"/>
      <c r="O123" s="8"/>
      <c r="P123" s="8"/>
      <c r="Q123" s="8"/>
      <c r="R123" s="8"/>
      <c r="S123" s="8"/>
      <c r="T123" s="8"/>
      <c r="U123" s="8"/>
      <c r="V123" s="8"/>
    </row>
    <row r="124" spans="2:22" s="217" customFormat="1">
      <c r="B124" s="218"/>
      <c r="C124" s="222" t="s">
        <v>155</v>
      </c>
      <c r="D124" s="213" t="s">
        <v>66</v>
      </c>
      <c r="E124" s="214">
        <v>2</v>
      </c>
      <c r="F124" s="220">
        <v>0</v>
      </c>
      <c r="G124" s="221">
        <f t="shared" si="9"/>
        <v>0</v>
      </c>
      <c r="H124" s="8"/>
      <c r="I124" s="8"/>
      <c r="J124" s="8"/>
      <c r="K124" s="8"/>
      <c r="L124" s="8"/>
      <c r="M124" s="8"/>
      <c r="N124" s="8"/>
      <c r="O124" s="8"/>
      <c r="P124" s="8"/>
      <c r="Q124" s="8"/>
      <c r="R124" s="8"/>
      <c r="S124" s="8"/>
      <c r="T124" s="8"/>
      <c r="U124" s="8"/>
      <c r="V124" s="8"/>
    </row>
    <row r="125" spans="2:22" s="217" customFormat="1">
      <c r="B125" s="218"/>
      <c r="C125" s="222" t="s">
        <v>156</v>
      </c>
      <c r="D125" s="213" t="s">
        <v>66</v>
      </c>
      <c r="E125" s="214">
        <v>2</v>
      </c>
      <c r="F125" s="220">
        <v>0</v>
      </c>
      <c r="G125" s="221">
        <f t="shared" si="9"/>
        <v>0</v>
      </c>
      <c r="H125" s="8"/>
      <c r="I125" s="8"/>
      <c r="J125" s="8"/>
      <c r="K125" s="8"/>
      <c r="L125" s="8"/>
      <c r="M125" s="8"/>
      <c r="N125" s="8"/>
      <c r="O125" s="8"/>
      <c r="P125" s="8"/>
      <c r="Q125" s="8"/>
      <c r="R125" s="8"/>
      <c r="S125" s="8"/>
      <c r="T125" s="8"/>
      <c r="U125" s="8"/>
      <c r="V125" s="8"/>
    </row>
    <row r="126" spans="2:22" s="217" customFormat="1">
      <c r="B126" s="218"/>
      <c r="C126" s="222" t="s">
        <v>157</v>
      </c>
      <c r="D126" s="213" t="s">
        <v>66</v>
      </c>
      <c r="E126" s="214">
        <v>2</v>
      </c>
      <c r="F126" s="220">
        <v>0</v>
      </c>
      <c r="G126" s="221">
        <f t="shared" si="9"/>
        <v>0</v>
      </c>
      <c r="H126" s="8"/>
      <c r="I126" s="8"/>
      <c r="J126" s="8"/>
      <c r="K126" s="8"/>
      <c r="L126" s="8"/>
      <c r="M126" s="8"/>
      <c r="N126" s="8"/>
      <c r="O126" s="8"/>
      <c r="P126" s="8"/>
      <c r="Q126" s="8"/>
      <c r="R126" s="8"/>
      <c r="S126" s="8"/>
      <c r="T126" s="8"/>
      <c r="U126" s="8"/>
      <c r="V126" s="8"/>
    </row>
    <row r="127" spans="2:22" s="217" customFormat="1">
      <c r="B127" s="218"/>
      <c r="C127" s="234" t="s">
        <v>158</v>
      </c>
      <c r="D127" s="213" t="s">
        <v>66</v>
      </c>
      <c r="E127" s="214">
        <v>2</v>
      </c>
      <c r="F127" s="220">
        <v>0</v>
      </c>
      <c r="G127" s="221">
        <f t="shared" si="9"/>
        <v>0</v>
      </c>
      <c r="H127" s="8"/>
      <c r="I127" s="8"/>
      <c r="J127" s="8"/>
      <c r="K127" s="8"/>
      <c r="L127" s="8"/>
      <c r="M127" s="8"/>
      <c r="N127" s="8"/>
      <c r="O127" s="8"/>
      <c r="P127" s="8"/>
      <c r="Q127" s="8"/>
      <c r="R127" s="8"/>
      <c r="S127" s="8"/>
      <c r="T127" s="8"/>
      <c r="U127" s="8"/>
      <c r="V127" s="8"/>
    </row>
    <row r="128" spans="2:22" s="217" customFormat="1">
      <c r="B128" s="218"/>
      <c r="C128" s="234" t="s">
        <v>132</v>
      </c>
      <c r="D128" s="213" t="s">
        <v>66</v>
      </c>
      <c r="E128" s="214">
        <v>4</v>
      </c>
      <c r="F128" s="220">
        <v>0</v>
      </c>
      <c r="G128" s="221">
        <f t="shared" si="9"/>
        <v>0</v>
      </c>
      <c r="H128" s="8"/>
      <c r="I128" s="8"/>
      <c r="J128" s="8"/>
      <c r="K128" s="8"/>
      <c r="L128" s="8"/>
      <c r="M128" s="8"/>
      <c r="N128" s="8"/>
      <c r="O128" s="8"/>
      <c r="P128" s="8"/>
      <c r="Q128" s="8"/>
      <c r="R128" s="8"/>
      <c r="S128" s="8"/>
      <c r="T128" s="8"/>
      <c r="U128" s="8"/>
      <c r="V128" s="8"/>
    </row>
    <row r="129" spans="2:22" s="217" customFormat="1">
      <c r="B129" s="218"/>
      <c r="C129" s="234" t="s">
        <v>148</v>
      </c>
      <c r="D129" s="213" t="s">
        <v>66</v>
      </c>
      <c r="E129" s="214">
        <v>4</v>
      </c>
      <c r="F129" s="220">
        <v>0</v>
      </c>
      <c r="G129" s="221">
        <f t="shared" si="9"/>
        <v>0</v>
      </c>
      <c r="H129" s="8"/>
      <c r="I129" s="8"/>
      <c r="J129" s="8"/>
      <c r="K129" s="8"/>
      <c r="L129" s="8"/>
      <c r="M129" s="8"/>
      <c r="N129" s="8"/>
      <c r="O129" s="8"/>
      <c r="P129" s="8"/>
      <c r="Q129" s="8"/>
      <c r="R129" s="8"/>
      <c r="S129" s="8"/>
      <c r="T129" s="8"/>
      <c r="U129" s="8"/>
      <c r="V129" s="8"/>
    </row>
    <row r="130" spans="2:22" s="217" customFormat="1">
      <c r="B130" s="218"/>
      <c r="C130" s="234" t="s">
        <v>150</v>
      </c>
      <c r="D130" s="213" t="s">
        <v>66</v>
      </c>
      <c r="E130" s="214">
        <v>2</v>
      </c>
      <c r="F130" s="220">
        <v>0</v>
      </c>
      <c r="G130" s="221">
        <f t="shared" si="9"/>
        <v>0</v>
      </c>
      <c r="H130" s="8"/>
      <c r="I130" s="8"/>
      <c r="J130" s="8"/>
      <c r="K130" s="8"/>
      <c r="L130" s="8"/>
      <c r="M130" s="8"/>
      <c r="N130" s="8"/>
      <c r="O130" s="8"/>
      <c r="P130" s="8"/>
      <c r="Q130" s="8"/>
      <c r="R130" s="8"/>
      <c r="S130" s="8"/>
      <c r="T130" s="8"/>
      <c r="U130" s="8"/>
      <c r="V130" s="8"/>
    </row>
    <row r="131" spans="2:22" s="217" customFormat="1">
      <c r="B131" s="218"/>
      <c r="C131" s="235" t="s">
        <v>135</v>
      </c>
      <c r="D131" s="213" t="s">
        <v>66</v>
      </c>
      <c r="E131" s="214">
        <v>2</v>
      </c>
      <c r="F131" s="220">
        <v>0</v>
      </c>
      <c r="G131" s="221">
        <f t="shared" si="9"/>
        <v>0</v>
      </c>
      <c r="H131" s="8"/>
      <c r="I131" s="8"/>
      <c r="J131" s="8"/>
      <c r="K131" s="8"/>
      <c r="L131" s="8"/>
      <c r="M131" s="8"/>
      <c r="N131" s="8"/>
      <c r="O131" s="8"/>
      <c r="P131" s="8"/>
      <c r="Q131" s="8"/>
      <c r="R131" s="8"/>
      <c r="S131" s="8"/>
      <c r="T131" s="8"/>
      <c r="U131" s="8"/>
      <c r="V131" s="8"/>
    </row>
    <row r="132" spans="2:22" s="217" customFormat="1">
      <c r="B132" s="201" t="s">
        <v>159</v>
      </c>
      <c r="C132" s="223" t="s">
        <v>160</v>
      </c>
      <c r="D132" s="224"/>
      <c r="E132" s="225"/>
      <c r="F132" s="226"/>
      <c r="G132" s="227"/>
      <c r="H132" s="8"/>
      <c r="I132" s="8"/>
      <c r="J132" s="8"/>
      <c r="K132" s="8"/>
      <c r="L132" s="8"/>
      <c r="M132" s="8"/>
      <c r="N132" s="8"/>
      <c r="O132" s="8"/>
      <c r="P132" s="8"/>
      <c r="Q132" s="8"/>
      <c r="R132" s="8"/>
      <c r="S132" s="8"/>
      <c r="T132" s="8"/>
      <c r="U132" s="8"/>
      <c r="V132" s="8"/>
    </row>
    <row r="133" spans="2:22" s="217" customFormat="1">
      <c r="B133" s="218"/>
      <c r="C133" s="223" t="s">
        <v>218</v>
      </c>
      <c r="D133" s="224"/>
      <c r="E133" s="225"/>
      <c r="F133" s="226"/>
      <c r="G133" s="227"/>
      <c r="H133" s="8"/>
      <c r="I133" s="8"/>
      <c r="J133" s="8"/>
      <c r="K133" s="8"/>
      <c r="L133" s="8"/>
      <c r="M133" s="8"/>
      <c r="N133" s="8"/>
      <c r="O133" s="8"/>
      <c r="P133" s="8"/>
      <c r="Q133" s="8"/>
      <c r="R133" s="8"/>
      <c r="S133" s="8"/>
      <c r="T133" s="8"/>
      <c r="U133" s="8"/>
      <c r="V133" s="8"/>
    </row>
    <row r="134" spans="2:22" s="217" customFormat="1" ht="24">
      <c r="B134" s="218"/>
      <c r="C134" s="228" t="s">
        <v>2072</v>
      </c>
      <c r="D134" s="224" t="s">
        <v>66</v>
      </c>
      <c r="E134" s="225">
        <v>1</v>
      </c>
      <c r="F134" s="229">
        <v>0</v>
      </c>
      <c r="G134" s="230">
        <f>E134*F134</f>
        <v>0</v>
      </c>
      <c r="H134" s="8"/>
      <c r="I134" s="8"/>
      <c r="J134" s="8"/>
      <c r="K134" s="8"/>
      <c r="L134" s="8"/>
      <c r="M134" s="8"/>
      <c r="N134" s="8"/>
      <c r="O134" s="8"/>
      <c r="P134" s="8"/>
      <c r="Q134" s="8"/>
      <c r="R134" s="8"/>
      <c r="S134" s="8"/>
      <c r="T134" s="8"/>
      <c r="U134" s="8"/>
      <c r="V134" s="8"/>
    </row>
    <row r="135" spans="2:22" s="217" customFormat="1">
      <c r="B135" s="218"/>
      <c r="C135" s="272" t="s">
        <v>184</v>
      </c>
      <c r="D135" s="224" t="s">
        <v>66</v>
      </c>
      <c r="E135" s="225">
        <v>2</v>
      </c>
      <c r="F135" s="229">
        <v>0</v>
      </c>
      <c r="G135" s="230">
        <f t="shared" ref="G135:G139" si="10">E135*F135</f>
        <v>0</v>
      </c>
      <c r="H135" s="8"/>
      <c r="I135" s="8"/>
      <c r="J135" s="8"/>
      <c r="K135" s="8"/>
      <c r="L135" s="8"/>
      <c r="M135" s="8"/>
      <c r="N135" s="8"/>
      <c r="O135" s="8"/>
      <c r="P135" s="8"/>
      <c r="Q135" s="8"/>
      <c r="R135" s="8"/>
      <c r="S135" s="8"/>
      <c r="T135" s="8"/>
      <c r="U135" s="8"/>
      <c r="V135" s="8"/>
    </row>
    <row r="136" spans="2:22" s="217" customFormat="1">
      <c r="B136" s="218"/>
      <c r="C136" s="232" t="s">
        <v>166</v>
      </c>
      <c r="D136" s="224" t="s">
        <v>66</v>
      </c>
      <c r="E136" s="225">
        <v>1</v>
      </c>
      <c r="F136" s="229">
        <v>0</v>
      </c>
      <c r="G136" s="230">
        <f t="shared" si="10"/>
        <v>0</v>
      </c>
      <c r="H136" s="8"/>
      <c r="I136" s="8"/>
      <c r="J136" s="8"/>
      <c r="K136" s="8"/>
      <c r="L136" s="8"/>
      <c r="M136" s="8"/>
      <c r="N136" s="8"/>
      <c r="O136" s="8"/>
      <c r="P136" s="8"/>
      <c r="Q136" s="8"/>
      <c r="R136" s="8"/>
      <c r="S136" s="8"/>
      <c r="T136" s="8"/>
      <c r="U136" s="8"/>
      <c r="V136" s="8"/>
    </row>
    <row r="137" spans="2:22" s="217" customFormat="1">
      <c r="B137" s="218"/>
      <c r="C137" s="232" t="s">
        <v>167</v>
      </c>
      <c r="D137" s="224" t="s">
        <v>66</v>
      </c>
      <c r="E137" s="225">
        <v>1</v>
      </c>
      <c r="F137" s="229">
        <v>0</v>
      </c>
      <c r="G137" s="230">
        <f t="shared" si="10"/>
        <v>0</v>
      </c>
      <c r="H137" s="8"/>
      <c r="I137" s="8"/>
      <c r="J137" s="8"/>
      <c r="K137" s="8"/>
      <c r="L137" s="8"/>
      <c r="M137" s="8"/>
      <c r="N137" s="8"/>
      <c r="O137" s="8"/>
      <c r="P137" s="8"/>
      <c r="Q137" s="8"/>
      <c r="R137" s="8"/>
      <c r="S137" s="8"/>
      <c r="T137" s="8"/>
      <c r="U137" s="8"/>
      <c r="V137" s="8"/>
    </row>
    <row r="138" spans="2:22" s="217" customFormat="1">
      <c r="B138" s="218"/>
      <c r="C138" s="232" t="s">
        <v>150</v>
      </c>
      <c r="D138" s="224" t="s">
        <v>66</v>
      </c>
      <c r="E138" s="225">
        <v>1</v>
      </c>
      <c r="F138" s="229">
        <v>0</v>
      </c>
      <c r="G138" s="230">
        <f t="shared" si="10"/>
        <v>0</v>
      </c>
      <c r="H138" s="8"/>
      <c r="I138" s="8"/>
      <c r="J138" s="8"/>
      <c r="K138" s="8"/>
      <c r="L138" s="8"/>
      <c r="M138" s="8"/>
      <c r="N138" s="8"/>
      <c r="O138" s="8"/>
      <c r="P138" s="8"/>
      <c r="Q138" s="8"/>
      <c r="R138" s="8"/>
      <c r="S138" s="8"/>
      <c r="T138" s="8"/>
      <c r="U138" s="8"/>
      <c r="V138" s="8"/>
    </row>
    <row r="139" spans="2:22" s="217" customFormat="1">
      <c r="B139" s="218"/>
      <c r="C139" s="233" t="s">
        <v>135</v>
      </c>
      <c r="D139" s="224" t="s">
        <v>66</v>
      </c>
      <c r="E139" s="225">
        <v>1</v>
      </c>
      <c r="F139" s="229">
        <v>0</v>
      </c>
      <c r="G139" s="230">
        <f t="shared" si="10"/>
        <v>0</v>
      </c>
      <c r="H139" s="8"/>
      <c r="I139" s="8"/>
      <c r="J139" s="8"/>
      <c r="K139" s="8"/>
      <c r="L139" s="8"/>
      <c r="M139" s="8"/>
      <c r="N139" s="8"/>
      <c r="O139" s="8"/>
      <c r="P139" s="8"/>
      <c r="Q139" s="8"/>
      <c r="R139" s="8"/>
      <c r="S139" s="8"/>
      <c r="T139" s="8"/>
      <c r="U139" s="8"/>
      <c r="V139" s="8"/>
    </row>
    <row r="140" spans="2:22" s="217" customFormat="1">
      <c r="B140" s="218"/>
      <c r="C140" s="223" t="s">
        <v>220</v>
      </c>
      <c r="D140" s="224"/>
      <c r="E140" s="225"/>
      <c r="F140" s="226"/>
      <c r="G140" s="227"/>
      <c r="H140" s="8"/>
      <c r="I140" s="8"/>
      <c r="J140" s="8"/>
      <c r="K140" s="8"/>
      <c r="L140" s="8"/>
      <c r="M140" s="8"/>
      <c r="N140" s="8"/>
      <c r="O140" s="8"/>
      <c r="P140" s="8"/>
      <c r="Q140" s="8"/>
      <c r="R140" s="8"/>
      <c r="S140" s="8"/>
      <c r="T140" s="8"/>
      <c r="U140" s="8"/>
      <c r="V140" s="8"/>
    </row>
    <row r="141" spans="2:22" s="217" customFormat="1" ht="24">
      <c r="B141" s="218"/>
      <c r="C141" s="228" t="s">
        <v>2071</v>
      </c>
      <c r="D141" s="224" t="s">
        <v>66</v>
      </c>
      <c r="E141" s="225">
        <v>1</v>
      </c>
      <c r="F141" s="229">
        <v>0</v>
      </c>
      <c r="G141" s="230">
        <f>E141*F141</f>
        <v>0</v>
      </c>
      <c r="H141" s="8"/>
      <c r="I141" s="8"/>
      <c r="J141" s="8"/>
      <c r="K141" s="8"/>
      <c r="L141" s="8"/>
      <c r="M141" s="8"/>
      <c r="N141" s="8"/>
      <c r="O141" s="8"/>
      <c r="P141" s="8"/>
      <c r="Q141" s="8"/>
      <c r="R141" s="8"/>
      <c r="S141" s="8"/>
      <c r="T141" s="8"/>
      <c r="U141" s="8"/>
      <c r="V141" s="8"/>
    </row>
    <row r="142" spans="2:22" s="217" customFormat="1">
      <c r="B142" s="218"/>
      <c r="C142" s="272" t="s">
        <v>184</v>
      </c>
      <c r="D142" s="224" t="s">
        <v>66</v>
      </c>
      <c r="E142" s="225">
        <v>1</v>
      </c>
      <c r="F142" s="229">
        <v>0</v>
      </c>
      <c r="G142" s="230">
        <f t="shared" ref="G142:G147" si="11">E142*F142</f>
        <v>0</v>
      </c>
      <c r="H142" s="8"/>
      <c r="I142" s="8"/>
      <c r="J142" s="8"/>
      <c r="K142" s="8"/>
      <c r="L142" s="8"/>
      <c r="M142" s="8"/>
      <c r="N142" s="8"/>
      <c r="O142" s="8"/>
      <c r="P142" s="8"/>
      <c r="Q142" s="8"/>
      <c r="R142" s="8"/>
      <c r="S142" s="8"/>
      <c r="T142" s="8"/>
      <c r="U142" s="8"/>
      <c r="V142" s="8"/>
    </row>
    <row r="143" spans="2:22" s="217" customFormat="1">
      <c r="B143" s="218"/>
      <c r="C143" s="232" t="s">
        <v>132</v>
      </c>
      <c r="D143" s="224" t="s">
        <v>66</v>
      </c>
      <c r="E143" s="225">
        <v>1</v>
      </c>
      <c r="F143" s="229">
        <v>0</v>
      </c>
      <c r="G143" s="230">
        <f t="shared" si="11"/>
        <v>0</v>
      </c>
      <c r="H143" s="8"/>
      <c r="I143" s="8"/>
      <c r="J143" s="8"/>
      <c r="K143" s="8"/>
      <c r="L143" s="8"/>
      <c r="M143" s="8"/>
      <c r="N143" s="8"/>
      <c r="O143" s="8"/>
      <c r="P143" s="8"/>
      <c r="Q143" s="8"/>
      <c r="R143" s="8"/>
      <c r="S143" s="8"/>
      <c r="T143" s="8"/>
      <c r="U143" s="8"/>
      <c r="V143" s="8"/>
    </row>
    <row r="144" spans="2:22" s="217" customFormat="1">
      <c r="B144" s="218"/>
      <c r="C144" s="232" t="s">
        <v>148</v>
      </c>
      <c r="D144" s="224" t="s">
        <v>66</v>
      </c>
      <c r="E144" s="225">
        <v>1</v>
      </c>
      <c r="F144" s="229">
        <v>0</v>
      </c>
      <c r="G144" s="230">
        <f t="shared" si="11"/>
        <v>0</v>
      </c>
      <c r="H144" s="8"/>
      <c r="I144" s="8"/>
      <c r="J144" s="8"/>
      <c r="K144" s="8"/>
      <c r="L144" s="8"/>
      <c r="M144" s="8"/>
      <c r="N144" s="8"/>
      <c r="O144" s="8"/>
      <c r="P144" s="8"/>
      <c r="Q144" s="8"/>
      <c r="R144" s="8"/>
      <c r="S144" s="8"/>
      <c r="T144" s="8"/>
      <c r="U144" s="8"/>
      <c r="V144" s="8"/>
    </row>
    <row r="145" spans="2:22" s="217" customFormat="1">
      <c r="B145" s="218"/>
      <c r="C145" s="232" t="s">
        <v>222</v>
      </c>
      <c r="D145" s="224" t="s">
        <v>66</v>
      </c>
      <c r="E145" s="225">
        <v>1</v>
      </c>
      <c r="F145" s="229">
        <v>0</v>
      </c>
      <c r="G145" s="230">
        <f t="shared" si="11"/>
        <v>0</v>
      </c>
      <c r="H145" s="8"/>
      <c r="I145" s="8"/>
      <c r="J145" s="8"/>
      <c r="K145" s="8"/>
      <c r="L145" s="8"/>
      <c r="M145" s="8"/>
      <c r="N145" s="8"/>
      <c r="O145" s="8"/>
      <c r="P145" s="8"/>
      <c r="Q145" s="8"/>
      <c r="R145" s="8"/>
      <c r="S145" s="8"/>
      <c r="T145" s="8"/>
      <c r="U145" s="8"/>
      <c r="V145" s="8"/>
    </row>
    <row r="146" spans="2:22" s="217" customFormat="1">
      <c r="B146" s="218"/>
      <c r="C146" s="232" t="s">
        <v>150</v>
      </c>
      <c r="D146" s="224" t="s">
        <v>66</v>
      </c>
      <c r="E146" s="225">
        <v>1</v>
      </c>
      <c r="F146" s="229">
        <v>0</v>
      </c>
      <c r="G146" s="230">
        <f t="shared" si="11"/>
        <v>0</v>
      </c>
      <c r="H146" s="8"/>
      <c r="I146" s="8"/>
      <c r="J146" s="8"/>
      <c r="K146" s="8"/>
      <c r="L146" s="8"/>
      <c r="M146" s="8"/>
      <c r="N146" s="8"/>
      <c r="O146" s="8"/>
      <c r="P146" s="8"/>
      <c r="Q146" s="8"/>
      <c r="R146" s="8"/>
      <c r="S146" s="8"/>
      <c r="T146" s="8"/>
      <c r="U146" s="8"/>
      <c r="V146" s="8"/>
    </row>
    <row r="147" spans="2:22" s="217" customFormat="1">
      <c r="B147" s="218"/>
      <c r="C147" s="233" t="s">
        <v>135</v>
      </c>
      <c r="D147" s="224" t="s">
        <v>66</v>
      </c>
      <c r="E147" s="225">
        <v>1</v>
      </c>
      <c r="F147" s="229">
        <v>0</v>
      </c>
      <c r="G147" s="230">
        <f t="shared" si="11"/>
        <v>0</v>
      </c>
      <c r="H147" s="8"/>
      <c r="I147" s="8"/>
      <c r="J147" s="8"/>
      <c r="K147" s="8"/>
      <c r="L147" s="8"/>
      <c r="M147" s="8"/>
      <c r="N147" s="8"/>
      <c r="O147" s="8"/>
      <c r="P147" s="8"/>
      <c r="Q147" s="8"/>
      <c r="R147" s="8"/>
      <c r="S147" s="8"/>
      <c r="T147" s="8"/>
      <c r="U147" s="8"/>
      <c r="V147" s="8"/>
    </row>
    <row r="148" spans="2:22" s="217" customFormat="1">
      <c r="B148" s="201" t="s">
        <v>168</v>
      </c>
      <c r="C148" s="238" t="s">
        <v>169</v>
      </c>
      <c r="D148" s="239"/>
      <c r="E148" s="240"/>
      <c r="F148" s="241"/>
      <c r="G148" s="242"/>
      <c r="H148" s="8"/>
      <c r="I148" s="8"/>
      <c r="J148" s="8"/>
      <c r="K148" s="8"/>
      <c r="L148" s="8"/>
      <c r="M148" s="8"/>
      <c r="N148" s="8"/>
      <c r="O148" s="8"/>
      <c r="P148" s="8"/>
      <c r="Q148" s="8"/>
      <c r="R148" s="8"/>
      <c r="S148" s="8"/>
      <c r="T148" s="8"/>
      <c r="U148" s="8"/>
      <c r="V148" s="8"/>
    </row>
    <row r="149" spans="2:22" s="217" customFormat="1">
      <c r="B149" s="218"/>
      <c r="C149" s="238" t="s">
        <v>170</v>
      </c>
      <c r="D149" s="239"/>
      <c r="E149" s="240"/>
      <c r="F149" s="241"/>
      <c r="G149" s="242"/>
      <c r="H149" s="8"/>
      <c r="I149" s="8"/>
      <c r="J149" s="8"/>
      <c r="K149" s="8"/>
      <c r="L149" s="8"/>
      <c r="M149" s="8"/>
      <c r="N149" s="8"/>
      <c r="O149" s="8"/>
      <c r="P149" s="8"/>
      <c r="Q149" s="8"/>
      <c r="R149" s="8"/>
      <c r="S149" s="8"/>
      <c r="T149" s="8"/>
      <c r="U149" s="8"/>
      <c r="V149" s="8"/>
    </row>
    <row r="150" spans="2:22" s="217" customFormat="1" ht="36">
      <c r="B150" s="218"/>
      <c r="C150" s="243" t="s">
        <v>2063</v>
      </c>
      <c r="D150" s="239" t="s">
        <v>66</v>
      </c>
      <c r="E150" s="240">
        <v>18</v>
      </c>
      <c r="F150" s="244">
        <v>0</v>
      </c>
      <c r="G150" s="245">
        <f t="shared" ref="G150:G152" si="12">E150*F150</f>
        <v>0</v>
      </c>
      <c r="H150" s="8"/>
      <c r="I150" s="8"/>
      <c r="J150" s="8"/>
      <c r="K150" s="8"/>
      <c r="L150" s="8"/>
      <c r="M150" s="8"/>
      <c r="N150" s="8"/>
      <c r="O150" s="8"/>
      <c r="P150" s="8"/>
      <c r="Q150" s="8"/>
      <c r="R150" s="8"/>
      <c r="S150" s="8"/>
      <c r="T150" s="8"/>
      <c r="U150" s="8"/>
      <c r="V150" s="8"/>
    </row>
    <row r="151" spans="2:22" s="217" customFormat="1">
      <c r="B151" s="218"/>
      <c r="C151" s="246" t="s">
        <v>171</v>
      </c>
      <c r="D151" s="239" t="s">
        <v>66</v>
      </c>
      <c r="E151" s="240">
        <v>18</v>
      </c>
      <c r="F151" s="244">
        <v>0</v>
      </c>
      <c r="G151" s="245">
        <f t="shared" si="12"/>
        <v>0</v>
      </c>
      <c r="H151" s="8"/>
      <c r="I151" s="8"/>
      <c r="J151" s="8"/>
      <c r="K151" s="8"/>
      <c r="L151" s="8"/>
      <c r="M151" s="8"/>
      <c r="N151" s="8"/>
      <c r="O151" s="8"/>
      <c r="P151" s="8"/>
      <c r="Q151" s="8"/>
      <c r="R151" s="8"/>
      <c r="S151" s="8"/>
      <c r="T151" s="8"/>
      <c r="U151" s="8"/>
      <c r="V151" s="8"/>
    </row>
    <row r="152" spans="2:22" s="217" customFormat="1">
      <c r="B152" s="218"/>
      <c r="C152" s="247" t="s">
        <v>135</v>
      </c>
      <c r="D152" s="239" t="s">
        <v>66</v>
      </c>
      <c r="E152" s="240">
        <v>18</v>
      </c>
      <c r="F152" s="244">
        <v>0</v>
      </c>
      <c r="G152" s="245">
        <f t="shared" si="12"/>
        <v>0</v>
      </c>
      <c r="H152" s="8"/>
      <c r="I152" s="8"/>
      <c r="J152" s="8"/>
      <c r="K152" s="8"/>
      <c r="L152" s="8"/>
      <c r="M152" s="8"/>
      <c r="N152" s="8"/>
      <c r="O152" s="8"/>
      <c r="P152" s="8"/>
      <c r="Q152" s="8"/>
      <c r="R152" s="8"/>
      <c r="S152" s="8"/>
      <c r="T152" s="8"/>
      <c r="U152" s="8"/>
      <c r="V152" s="8"/>
    </row>
    <row r="153" spans="2:22">
      <c r="B153" s="201" t="s">
        <v>172</v>
      </c>
      <c r="C153" s="248" t="s">
        <v>173</v>
      </c>
      <c r="D153" s="249"/>
      <c r="E153" s="250"/>
      <c r="F153" s="251"/>
      <c r="G153" s="252"/>
      <c r="I153" s="8"/>
      <c r="J153" s="8"/>
      <c r="K153" s="8"/>
      <c r="L153" s="8"/>
      <c r="M153" s="8"/>
      <c r="N153" s="8"/>
      <c r="O153" s="8"/>
      <c r="P153" s="8"/>
      <c r="Q153" s="8"/>
      <c r="R153" s="8"/>
      <c r="S153" s="8"/>
      <c r="T153" s="8"/>
      <c r="U153" s="8"/>
      <c r="V153" s="8"/>
    </row>
    <row r="154" spans="2:22" s="217" customFormat="1" ht="63" customHeight="1">
      <c r="B154" s="218"/>
      <c r="C154" s="253" t="s">
        <v>174</v>
      </c>
      <c r="D154" s="254" t="s">
        <v>66</v>
      </c>
      <c r="E154" s="255">
        <v>1</v>
      </c>
      <c r="F154" s="256">
        <v>0</v>
      </c>
      <c r="G154" s="257">
        <f t="shared" ref="G154" si="13">E154*F154</f>
        <v>0</v>
      </c>
      <c r="H154" s="8"/>
      <c r="I154" s="8"/>
      <c r="J154" s="8"/>
      <c r="K154" s="8"/>
      <c r="L154" s="8"/>
      <c r="M154" s="8"/>
      <c r="N154" s="8"/>
      <c r="O154" s="8"/>
      <c r="P154" s="8"/>
      <c r="Q154" s="8"/>
      <c r="R154" s="8"/>
      <c r="S154" s="8"/>
      <c r="T154" s="8"/>
      <c r="U154" s="8"/>
      <c r="V154" s="8"/>
    </row>
    <row r="155" spans="2:22" s="179" customFormat="1" ht="16.5" customHeight="1">
      <c r="B155" s="258" t="s">
        <v>47</v>
      </c>
      <c r="C155" s="259" t="s">
        <v>175</v>
      </c>
      <c r="D155" s="260"/>
      <c r="E155" s="261"/>
      <c r="F155" s="262"/>
      <c r="G155" s="263">
        <f>SUM(G80:G154)</f>
        <v>0</v>
      </c>
      <c r="H155" s="8"/>
      <c r="I155" s="8"/>
      <c r="J155" s="8"/>
      <c r="K155" s="8"/>
      <c r="L155" s="8"/>
      <c r="M155" s="8"/>
      <c r="N155" s="8"/>
      <c r="O155" s="8"/>
      <c r="P155" s="8"/>
      <c r="Q155" s="8"/>
      <c r="R155" s="8"/>
      <c r="S155" s="8"/>
      <c r="T155" s="8"/>
      <c r="U155" s="8"/>
      <c r="V155" s="8"/>
    </row>
    <row r="156" spans="2:22">
      <c r="H156" s="143"/>
    </row>
    <row r="157" spans="2:22">
      <c r="H157" s="143"/>
    </row>
  </sheetData>
  <mergeCells count="6">
    <mergeCell ref="B85:B86"/>
    <mergeCell ref="B41:G41"/>
    <mergeCell ref="B50:B51"/>
    <mergeCell ref="B77:G77"/>
    <mergeCell ref="B78:G78"/>
    <mergeCell ref="B79:G79"/>
  </mergeCells>
  <pageMargins left="0.7" right="0.7" top="0.75" bottom="0.75" header="0.3" footer="0.3"/>
  <pageSetup paperSize="9" scale="88" orientation="portrait" r:id="rId1"/>
  <headerFooter alignWithMargins="0">
    <oddFooter>&amp;C&amp;8&amp;P/&amp;N</oddFooter>
  </headerFooter>
  <rowBreaks count="5" manualBreakCount="5">
    <brk id="18" max="16383" man="1"/>
    <brk id="37" max="16383" man="1"/>
    <brk id="54" min="1" max="6" man="1"/>
    <brk id="69" max="16383" man="1"/>
    <brk id="103" min="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72</vt:i4>
      </vt:variant>
      <vt:variant>
        <vt:lpstr>Imenovani obsegi</vt:lpstr>
      </vt:variant>
      <vt:variant>
        <vt:i4>49</vt:i4>
      </vt:variant>
    </vt:vector>
  </HeadingPairs>
  <TitlesOfParts>
    <vt:vector size="121" baseType="lpstr">
      <vt:lpstr>REKAPITULACIJA SKLOP 1</vt:lpstr>
      <vt:lpstr>REKAPITULACIJA BELTINCI</vt:lpstr>
      <vt:lpstr>Beltinci_RT-1</vt:lpstr>
      <vt:lpstr>Beltinci_SB-1.21</vt:lpstr>
      <vt:lpstr>Beltinci_SB-2.1</vt:lpstr>
      <vt:lpstr>Beltinci_SB-2.20</vt:lpstr>
      <vt:lpstr>Beltinci_SB-4.2</vt:lpstr>
      <vt:lpstr>Beltinci_SB-6.1</vt:lpstr>
      <vt:lpstr>Beltinci_SB-6.2</vt:lpstr>
      <vt:lpstr>Beltinci_SB-6.4</vt:lpstr>
      <vt:lpstr>Beltinci_SB-6.13</vt:lpstr>
      <vt:lpstr>REKAPITULACIJA M.SOBOTA</vt:lpstr>
      <vt:lpstr>M.Sobota_VMS-V1-1</vt:lpstr>
      <vt:lpstr>M.Sobota_VMS-V1-3</vt:lpstr>
      <vt:lpstr>M.Sobota_VMS-V1-2</vt:lpstr>
      <vt:lpstr>M.Sobota_VMP-1</vt:lpstr>
      <vt:lpstr>M.Sobota_VPP</vt:lpstr>
      <vt:lpstr>M.Sobota_VMS-V7</vt:lpstr>
      <vt:lpstr>M.Sobota_VMS-V1-1.1</vt:lpstr>
      <vt:lpstr>M.Sobota_SMS-2</vt:lpstr>
      <vt:lpstr>REKAPITULACIJA PUCONCI</vt:lpstr>
      <vt:lpstr>Puconci_VPL</vt:lpstr>
      <vt:lpstr>Puconci_VPUS</vt:lpstr>
      <vt:lpstr>Puconci_VPV</vt:lpstr>
      <vt:lpstr>Puconci_RT-4</vt:lpstr>
      <vt:lpstr>Puconci_VH Vaneča</vt:lpstr>
      <vt:lpstr>Puconci_ČRP Mačkovci</vt:lpstr>
      <vt:lpstr>Puconci_Mačkovci_Marof_Prosečka</vt:lpstr>
      <vt:lpstr>Puconci_ČRP Bodonci</vt:lpstr>
      <vt:lpstr>Puconci_ČRP Bokrači</vt:lpstr>
      <vt:lpstr>Puconci_ČRP Kuštanovci (spodaj)</vt:lpstr>
      <vt:lpstr>Puconci_ČRP Pečarovci</vt:lpstr>
      <vt:lpstr>Puconci_ČRP Poznanovci</vt:lpstr>
      <vt:lpstr>Puconci_ČRP Šalamenci</vt:lpstr>
      <vt:lpstr>Puconci_ČRP Vaneča (dom borcev)</vt:lpstr>
      <vt:lpstr>Puconci_ČRP Zenkovci</vt:lpstr>
      <vt:lpstr>Puconci_SP-6</vt:lpstr>
      <vt:lpstr>REKAPITULACIJA TI</vt:lpstr>
      <vt:lpstr>Tišina_VTK</vt:lpstr>
      <vt:lpstr>Tišina_ČRP_KRAJNA</vt:lpstr>
      <vt:lpstr>Tišina_MČ_V1</vt:lpstr>
      <vt:lpstr>Tišina_MČ_V2</vt:lpstr>
      <vt:lpstr>Tišina_MČ_V3</vt:lpstr>
      <vt:lpstr>Tišina_MČ_V4</vt:lpstr>
      <vt:lpstr>Tišina_MČ_V5</vt:lpstr>
      <vt:lpstr>Tišina_GR-TR_V0</vt:lpstr>
      <vt:lpstr>Tišina_GR_V1</vt:lpstr>
      <vt:lpstr>Tišina_GR_V2</vt:lpstr>
      <vt:lpstr>Tišina_GR_V3</vt:lpstr>
      <vt:lpstr>Tišina_GR_TR-regionalka</vt:lpstr>
      <vt:lpstr>Tišina_TR_V4</vt:lpstr>
      <vt:lpstr>Tišina_TR_V5</vt:lpstr>
      <vt:lpstr>Tišina_TI_V1</vt:lpstr>
      <vt:lpstr>Tišina_TI_V2</vt:lpstr>
      <vt:lpstr>Tišina_TI_V3</vt:lpstr>
      <vt:lpstr>Tišina_TI_V4</vt:lpstr>
      <vt:lpstr>Tišina_PET_V1</vt:lpstr>
      <vt:lpstr>Tišina_PET_V2</vt:lpstr>
      <vt:lpstr>Tišina_PET_V3</vt:lpstr>
      <vt:lpstr>Tišina_PET_V4</vt:lpstr>
      <vt:lpstr>Tišina_PET_V5</vt:lpstr>
      <vt:lpstr>Tišina_MP_V1</vt:lpstr>
      <vt:lpstr>Tišina_SO_V1</vt:lpstr>
      <vt:lpstr>Tišina_SO_V2</vt:lpstr>
      <vt:lpstr>Tišina_SO_V3</vt:lpstr>
      <vt:lpstr>Tišina_GED_V1</vt:lpstr>
      <vt:lpstr>Tišina_GED_V3</vt:lpstr>
      <vt:lpstr>Tišina_RA_V1</vt:lpstr>
      <vt:lpstr>Tišina_RA_V2</vt:lpstr>
      <vt:lpstr>Tišina_BO-VAN_V1</vt:lpstr>
      <vt:lpstr>Tišina_BO-VAN_V2</vt:lpstr>
      <vt:lpstr>Tišina_BO-VAN_V3</vt:lpstr>
      <vt:lpstr>'Beltinci_SB-1.21'!Področje_tiskanja</vt:lpstr>
      <vt:lpstr>'Beltinci_SB-2.1'!Področje_tiskanja</vt:lpstr>
      <vt:lpstr>'Beltinci_SB-2.20'!Področje_tiskanja</vt:lpstr>
      <vt:lpstr>'Beltinci_SB-4.2'!Področje_tiskanja</vt:lpstr>
      <vt:lpstr>'Beltinci_SB-6.1'!Področje_tiskanja</vt:lpstr>
      <vt:lpstr>'Beltinci_SB-6.13'!Področje_tiskanja</vt:lpstr>
      <vt:lpstr>'Beltinci_SB-6.2'!Področje_tiskanja</vt:lpstr>
      <vt:lpstr>'Beltinci_SB-6.4'!Področje_tiskanja</vt:lpstr>
      <vt:lpstr>'M.Sobota_SMS-2'!Področje_tiskanja</vt:lpstr>
      <vt:lpstr>M.Sobota_VPP!Področje_tiskanja</vt:lpstr>
      <vt:lpstr>Puconci_VPUS!Področje_tiskanja</vt:lpstr>
      <vt:lpstr>'REKAPITULACIJA M.SOBOTA'!Področje_tiskanja</vt:lpstr>
      <vt:lpstr>'REKAPITULACIJA SKLOP 1'!Področje_tiskanja</vt:lpstr>
      <vt:lpstr>'REKAPITULACIJA TI'!Področje_tiskanja</vt:lpstr>
      <vt:lpstr>'Tišina_BO-VAN_V1'!Področje_tiskanja</vt:lpstr>
      <vt:lpstr>'Tišina_BO-VAN_V2'!Področje_tiskanja</vt:lpstr>
      <vt:lpstr>'Tišina_BO-VAN_V3'!Področje_tiskanja</vt:lpstr>
      <vt:lpstr>Tišina_ČRP_KRAJNA!Področje_tiskanja</vt:lpstr>
      <vt:lpstr>Tišina_GED_V1!Področje_tiskanja</vt:lpstr>
      <vt:lpstr>Tišina_GED_V3!Področje_tiskanja</vt:lpstr>
      <vt:lpstr>'Tišina_GR_TR-regionalka'!Področje_tiskanja</vt:lpstr>
      <vt:lpstr>Tišina_GR_V1!Področje_tiskanja</vt:lpstr>
      <vt:lpstr>Tišina_GR_V2!Področje_tiskanja</vt:lpstr>
      <vt:lpstr>Tišina_GR_V3!Področje_tiskanja</vt:lpstr>
      <vt:lpstr>'Tišina_GR-TR_V0'!Področje_tiskanja</vt:lpstr>
      <vt:lpstr>Tišina_MČ_V1!Področje_tiskanja</vt:lpstr>
      <vt:lpstr>Tišina_MČ_V2!Področje_tiskanja</vt:lpstr>
      <vt:lpstr>Tišina_MČ_V3!Področje_tiskanja</vt:lpstr>
      <vt:lpstr>Tišina_MČ_V4!Področje_tiskanja</vt:lpstr>
      <vt:lpstr>Tišina_MČ_V5!Področje_tiskanja</vt:lpstr>
      <vt:lpstr>Tišina_MP_V1!Področje_tiskanja</vt:lpstr>
      <vt:lpstr>Tišina_PET_V1!Področje_tiskanja</vt:lpstr>
      <vt:lpstr>Tišina_PET_V2!Področje_tiskanja</vt:lpstr>
      <vt:lpstr>Tišina_PET_V3!Področje_tiskanja</vt:lpstr>
      <vt:lpstr>Tišina_PET_V4!Področje_tiskanja</vt:lpstr>
      <vt:lpstr>Tišina_PET_V5!Področje_tiskanja</vt:lpstr>
      <vt:lpstr>Tišina_RA_V1!Področje_tiskanja</vt:lpstr>
      <vt:lpstr>Tišina_RA_V2!Področje_tiskanja</vt:lpstr>
      <vt:lpstr>Tišina_SO_V1!Področje_tiskanja</vt:lpstr>
      <vt:lpstr>Tišina_SO_V2!Področje_tiskanja</vt:lpstr>
      <vt:lpstr>Tišina_SO_V3!Področje_tiskanja</vt:lpstr>
      <vt:lpstr>Tišina_TI_V1!Področje_tiskanja</vt:lpstr>
      <vt:lpstr>Tišina_TI_V2!Področje_tiskanja</vt:lpstr>
      <vt:lpstr>Tišina_TI_V3!Področje_tiskanja</vt:lpstr>
      <vt:lpstr>Tišina_TI_V4!Področje_tiskanja</vt:lpstr>
      <vt:lpstr>Tišina_TR_V4!Področje_tiskanja</vt:lpstr>
      <vt:lpstr>Tišina_TR_V5!Področje_tiskanja</vt:lpstr>
      <vt:lpstr>Tišina_VTK!Področje_tiskanja</vt:lpstr>
      <vt:lpstr>Puconci_VPUS!Tiskanje_naslovov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 Ozmec</dc:creator>
  <cp:lastModifiedBy>user</cp:lastModifiedBy>
  <cp:lastPrinted>2020-05-12T11:59:16Z</cp:lastPrinted>
  <dcterms:created xsi:type="dcterms:W3CDTF">2019-11-25T08:29:17Z</dcterms:created>
  <dcterms:modified xsi:type="dcterms:W3CDTF">2020-05-12T16:26:59Z</dcterms:modified>
</cp:coreProperties>
</file>