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ŠPORT\2020\VREDNOTENJE PO JR 2020\"/>
    </mc:Choice>
  </mc:AlternateContent>
  <xr:revisionPtr revIDLastSave="0" documentId="13_ncr:1_{EEE32ED8-F821-48DD-862B-C3C224732591}" xr6:coauthVersionLast="45" xr6:coauthVersionMax="45" xr10:uidLastSave="{00000000-0000-0000-0000-000000000000}"/>
  <bookViews>
    <workbookView xWindow="3885" yWindow="3885" windowWidth="21600" windowHeight="11385" tabRatio="599" firstSheet="3" activeTab="7" xr2:uid="{00000000-000D-0000-FFFF-FFFF00000000}"/>
  </bookViews>
  <sheets>
    <sheet name="PREDLOGA" sheetId="1" r:id="rId1"/>
    <sheet name="JKO" sheetId="2" r:id="rId2"/>
    <sheet name="SKKO" sheetId="3" r:id="rId3"/>
    <sheet name="KNO" sheetId="4" r:id="rId4"/>
    <sheet name="ŠD POHORJE" sheetId="6" r:id="rId5"/>
    <sheet name="OŠ" sheetId="11" r:id="rId6"/>
    <sheet name="ŠD OPLOTNICA" sheetId="33" r:id="rId7"/>
    <sheet name="ZBIR PROGRAMOV" sheetId="23" r:id="rId8"/>
    <sheet name="KADER 2020" sheetId="27" r:id="rId9"/>
    <sheet name="PD OPLOTNICA" sheetId="35" r:id="rId10"/>
  </sheets>
  <definedNames>
    <definedName name="_xlnm.Print_Area" localSheetId="1">JKO!$A$1:$AA$71</definedName>
    <definedName name="_xlnm.Print_Area" localSheetId="8">'KADER 2020'!$D$1:$K$17</definedName>
    <definedName name="_xlnm.Print_Area" localSheetId="3">KNO!$A$1:$AM$58</definedName>
    <definedName name="_xlnm.Print_Area" localSheetId="5">OŠ!$C$1:$X$17</definedName>
    <definedName name="_xlnm.Print_Area" localSheetId="9">'PD OPLOTNICA'!$C$1:$S$50</definedName>
    <definedName name="_xlnm.Print_Area" localSheetId="2">SKKO!$A$1:$AB$61</definedName>
    <definedName name="_xlnm.Print_Area" localSheetId="6">'ŠD OPLOTNICA'!$A$1:$U$26</definedName>
    <definedName name="_xlnm.Print_Area" localSheetId="4">'ŠD POHORJE'!$C$1:$T$27</definedName>
    <definedName name="_xlnm.Print_Area" localSheetId="7">'ZBIR PROGRAMOV'!$A$1:$T$65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23" l="1"/>
  <c r="Q11" i="4"/>
  <c r="Q10" i="4"/>
  <c r="Q9" i="4"/>
  <c r="Q30" i="4"/>
  <c r="AA20" i="3" l="1"/>
  <c r="AB20" i="3" s="1"/>
  <c r="Z24" i="3"/>
  <c r="AA21" i="3" s="1"/>
  <c r="AB21" i="3" s="1"/>
  <c r="O21" i="3" s="1"/>
  <c r="O20" i="3" l="1"/>
  <c r="AA22" i="3"/>
  <c r="AB22" i="3" s="1"/>
  <c r="O22" i="3" s="1"/>
  <c r="AA23" i="3"/>
  <c r="AB23" i="3" s="1"/>
  <c r="AB24" i="3" s="1"/>
  <c r="U20" i="2"/>
  <c r="U19" i="2"/>
  <c r="U18" i="2"/>
  <c r="U17" i="2"/>
  <c r="O22" i="4" l="1"/>
  <c r="O20" i="4"/>
  <c r="Q20" i="4" s="1"/>
  <c r="N20" i="4"/>
  <c r="P20" i="4" s="1"/>
  <c r="J8" i="2"/>
  <c r="J7" i="2"/>
  <c r="H57" i="23" l="1"/>
  <c r="P57" i="23" s="1"/>
  <c r="J50" i="23"/>
  <c r="J45" i="23"/>
  <c r="J40" i="23"/>
  <c r="J35" i="23"/>
  <c r="J30" i="23"/>
  <c r="J25" i="23"/>
  <c r="J20" i="23"/>
  <c r="I50" i="23"/>
  <c r="I45" i="23"/>
  <c r="I40" i="23"/>
  <c r="I35" i="23"/>
  <c r="I30" i="23"/>
  <c r="I25" i="23"/>
  <c r="I20" i="23"/>
  <c r="G50" i="23"/>
  <c r="G45" i="23"/>
  <c r="G40" i="23"/>
  <c r="G35" i="23"/>
  <c r="G30" i="23"/>
  <c r="G25" i="23"/>
  <c r="G20" i="23"/>
  <c r="F50" i="23"/>
  <c r="F45" i="23"/>
  <c r="F40" i="23"/>
  <c r="F35" i="23"/>
  <c r="F30" i="23"/>
  <c r="F25" i="23"/>
  <c r="F20" i="23"/>
  <c r="D50" i="23"/>
  <c r="D45" i="23"/>
  <c r="D40" i="23"/>
  <c r="D35" i="23"/>
  <c r="D30" i="23"/>
  <c r="D25" i="23"/>
  <c r="D20" i="23"/>
  <c r="L55" i="23"/>
  <c r="L65" i="23" s="1"/>
  <c r="O54" i="23"/>
  <c r="N54" i="23"/>
  <c r="M54" i="23"/>
  <c r="L54" i="23"/>
  <c r="O53" i="23"/>
  <c r="N53" i="23"/>
  <c r="M53" i="23"/>
  <c r="L53" i="23"/>
  <c r="O52" i="23"/>
  <c r="N52" i="23"/>
  <c r="M52" i="23"/>
  <c r="L52" i="23"/>
  <c r="O51" i="23"/>
  <c r="N51" i="23"/>
  <c r="M51" i="23"/>
  <c r="L51" i="23"/>
  <c r="J54" i="23"/>
  <c r="I54" i="23"/>
  <c r="J53" i="23"/>
  <c r="I53" i="23"/>
  <c r="J52" i="23"/>
  <c r="K52" i="23" s="1"/>
  <c r="I52" i="23"/>
  <c r="J51" i="23"/>
  <c r="I51" i="23"/>
  <c r="G54" i="23"/>
  <c r="F54" i="23"/>
  <c r="E54" i="23"/>
  <c r="G53" i="23"/>
  <c r="F53" i="23"/>
  <c r="E53" i="23"/>
  <c r="G52" i="23"/>
  <c r="F52" i="23"/>
  <c r="E52" i="23"/>
  <c r="G51" i="23"/>
  <c r="F51" i="23"/>
  <c r="E51" i="23"/>
  <c r="D54" i="23"/>
  <c r="D53" i="23"/>
  <c r="D52" i="23"/>
  <c r="D51" i="23"/>
  <c r="K51" i="23" l="1"/>
  <c r="K54" i="23"/>
  <c r="K53" i="23"/>
  <c r="R20" i="2"/>
  <c r="O20" i="2" l="1"/>
  <c r="O19" i="2"/>
  <c r="O18" i="2"/>
  <c r="O17" i="2"/>
  <c r="H10" i="2"/>
  <c r="I48" i="35"/>
  <c r="O9" i="6"/>
  <c r="N9" i="6"/>
  <c r="M49" i="2"/>
  <c r="M48" i="2"/>
  <c r="M47" i="2"/>
  <c r="P30" i="4"/>
  <c r="R30" i="4" s="1"/>
  <c r="Q22" i="4"/>
  <c r="P22" i="4"/>
  <c r="P9" i="4"/>
  <c r="H23" i="4"/>
  <c r="H44" i="4" s="1"/>
  <c r="J22" i="4"/>
  <c r="L22" i="4" s="1"/>
  <c r="M22" i="4" s="1"/>
  <c r="R22" i="4" l="1"/>
  <c r="S22" i="4" s="1"/>
  <c r="R9" i="4"/>
  <c r="H32" i="4"/>
  <c r="J30" i="4"/>
  <c r="L30" i="4" s="1"/>
  <c r="L11" i="4"/>
  <c r="H12" i="4"/>
  <c r="J10" i="4"/>
  <c r="P11" i="4" l="1"/>
  <c r="M30" i="4"/>
  <c r="S30" i="4" s="1"/>
  <c r="S32" i="4" s="1"/>
  <c r="M11" i="4"/>
  <c r="L32" i="4"/>
  <c r="R11" i="4" l="1"/>
  <c r="S11" i="4" s="1"/>
  <c r="T22" i="4"/>
  <c r="U22" i="4" s="1"/>
  <c r="S20" i="2" l="1"/>
  <c r="J20" i="2"/>
  <c r="L20" i="2" s="1"/>
  <c r="M20" i="2" s="1"/>
  <c r="P20" i="2" l="1"/>
  <c r="Q20" i="2" l="1"/>
  <c r="T20" i="2" s="1"/>
  <c r="H31" i="35"/>
  <c r="I18" i="6"/>
  <c r="H32" i="35"/>
  <c r="H35" i="35" s="1"/>
  <c r="G12" i="35"/>
  <c r="M11" i="35"/>
  <c r="I11" i="35"/>
  <c r="K11" i="35" s="1"/>
  <c r="L11" i="35" s="1"/>
  <c r="M10" i="35"/>
  <c r="I10" i="35"/>
  <c r="K10" i="35" s="1"/>
  <c r="L10" i="35" s="1"/>
  <c r="M9" i="35"/>
  <c r="I9" i="35"/>
  <c r="K9" i="35" s="1"/>
  <c r="L9" i="35" s="1"/>
  <c r="M8" i="35"/>
  <c r="I8" i="35"/>
  <c r="K8" i="35" s="1"/>
  <c r="H22" i="2"/>
  <c r="M46" i="2"/>
  <c r="M50" i="2" s="1"/>
  <c r="K40" i="2"/>
  <c r="H40" i="2"/>
  <c r="J38" i="2"/>
  <c r="L38" i="2" s="1"/>
  <c r="R22" i="2"/>
  <c r="S19" i="2"/>
  <c r="R19" i="2"/>
  <c r="S17" i="2"/>
  <c r="S22" i="2" s="1"/>
  <c r="L8" i="2"/>
  <c r="V6" i="2" s="1"/>
  <c r="E8" i="2"/>
  <c r="E18" i="2"/>
  <c r="L7" i="2"/>
  <c r="E6" i="2"/>
  <c r="M38" i="2" l="1"/>
  <c r="N38" i="2"/>
  <c r="O38" i="2" s="1"/>
  <c r="O6" i="2"/>
  <c r="M7" i="2"/>
  <c r="P7" i="2" s="1"/>
  <c r="M8" i="2"/>
  <c r="N11" i="35"/>
  <c r="N10" i="35"/>
  <c r="K12" i="35"/>
  <c r="L8" i="35"/>
  <c r="N8" i="35" s="1"/>
  <c r="H37" i="35"/>
  <c r="H40" i="35" s="1"/>
  <c r="N9" i="35"/>
  <c r="P38" i="2"/>
  <c r="R40" i="2" s="1"/>
  <c r="L40" i="2"/>
  <c r="N12" i="35" l="1"/>
  <c r="L10" i="4" l="1"/>
  <c r="J9" i="4"/>
  <c r="P10" i="4" l="1"/>
  <c r="M10" i="4"/>
  <c r="J21" i="4"/>
  <c r="L21" i="4" s="1"/>
  <c r="J20" i="4"/>
  <c r="O21" i="4" l="1"/>
  <c r="Q21" i="4" s="1"/>
  <c r="N21" i="4"/>
  <c r="R10" i="4"/>
  <c r="S10" i="4" s="1"/>
  <c r="H25" i="3"/>
  <c r="P21" i="4" l="1"/>
  <c r="R21" i="4" s="1"/>
  <c r="H49" i="3"/>
  <c r="I49" i="3" s="1"/>
  <c r="I43" i="4" l="1"/>
  <c r="L20" i="4"/>
  <c r="M21" i="4"/>
  <c r="S21" i="4" s="1"/>
  <c r="N58" i="23"/>
  <c r="H49" i="23"/>
  <c r="H48" i="23"/>
  <c r="H47" i="23"/>
  <c r="K47" i="23" s="1"/>
  <c r="H46" i="23"/>
  <c r="K46" i="23" s="1"/>
  <c r="E50" i="23"/>
  <c r="I18" i="33"/>
  <c r="I17" i="33"/>
  <c r="I21" i="33" s="1"/>
  <c r="I23" i="33" s="1"/>
  <c r="K12" i="33"/>
  <c r="H12" i="33"/>
  <c r="J10" i="33"/>
  <c r="L10" i="33" s="1"/>
  <c r="N45" i="23" l="1"/>
  <c r="N35" i="23"/>
  <c r="N30" i="23"/>
  <c r="N50" i="23"/>
  <c r="N25" i="23"/>
  <c r="N40" i="23"/>
  <c r="N20" i="23"/>
  <c r="W20" i="4"/>
  <c r="AI5" i="4"/>
  <c r="L23" i="4"/>
  <c r="T21" i="4"/>
  <c r="U21" i="4" s="1"/>
  <c r="I25" i="33"/>
  <c r="O10" i="33"/>
  <c r="Q10" i="33" s="1"/>
  <c r="L12" i="33"/>
  <c r="N10" i="33"/>
  <c r="P10" i="33" s="1"/>
  <c r="E30" i="23"/>
  <c r="E55" i="23" s="1"/>
  <c r="E65" i="23" s="1"/>
  <c r="I56" i="2"/>
  <c r="X20" i="4" l="1"/>
  <c r="Y20" i="4"/>
  <c r="W21" i="4"/>
  <c r="R10" i="33"/>
  <c r="S10" i="33" s="1"/>
  <c r="S12" i="33" s="1"/>
  <c r="H11" i="3"/>
  <c r="H48" i="3" s="1"/>
  <c r="Y21" i="4" l="1"/>
  <c r="X21" i="4"/>
  <c r="L44" i="3"/>
  <c r="J9" i="6" l="1"/>
  <c r="D58" i="23" l="1"/>
  <c r="J23" i="3" l="1"/>
  <c r="J22" i="3"/>
  <c r="J21" i="3"/>
  <c r="J20" i="3"/>
  <c r="J18" i="2" l="1"/>
  <c r="L18" i="2" s="1"/>
  <c r="M18" i="2" s="1"/>
  <c r="L20" i="3"/>
  <c r="P20" i="3" s="1"/>
  <c r="E8" i="3"/>
  <c r="M20" i="3" l="1"/>
  <c r="P18" i="2" l="1"/>
  <c r="Q18" i="2" s="1"/>
  <c r="I19" i="6"/>
  <c r="I44" i="4"/>
  <c r="I47" i="4" s="1"/>
  <c r="I49" i="4" s="1"/>
  <c r="T18" i="2" l="1"/>
  <c r="I22" i="6"/>
  <c r="I24" i="6" s="1"/>
  <c r="I51" i="4"/>
  <c r="I52" i="3"/>
  <c r="I54" i="3" l="1"/>
  <c r="I56" i="3" s="1"/>
  <c r="I26" i="6"/>
  <c r="P8" i="11" l="1"/>
  <c r="K16" i="11"/>
  <c r="H41" i="23"/>
  <c r="H44" i="23" l="1"/>
  <c r="H43" i="23"/>
  <c r="H42" i="23"/>
  <c r="K39" i="23"/>
  <c r="H37" i="23"/>
  <c r="H36" i="23"/>
  <c r="L23" i="3" l="1"/>
  <c r="M23" i="3" l="1"/>
  <c r="O23" i="3"/>
  <c r="P23" i="3" s="1"/>
  <c r="H34" i="23"/>
  <c r="K34" i="23" s="1"/>
  <c r="H33" i="23"/>
  <c r="K33" i="23" s="1"/>
  <c r="H32" i="23"/>
  <c r="H31" i="23"/>
  <c r="K31" i="23" s="1"/>
  <c r="K11" i="6"/>
  <c r="H29" i="23"/>
  <c r="H28" i="23"/>
  <c r="H27" i="23"/>
  <c r="H26" i="23"/>
  <c r="H24" i="23"/>
  <c r="H23" i="23"/>
  <c r="H22" i="23"/>
  <c r="H21" i="23"/>
  <c r="H19" i="23"/>
  <c r="H18" i="23"/>
  <c r="H17" i="23"/>
  <c r="H16" i="23"/>
  <c r="H51" i="23" s="1"/>
  <c r="H54" i="23" l="1"/>
  <c r="H53" i="23"/>
  <c r="K32" i="23"/>
  <c r="H52" i="23"/>
  <c r="M16" i="11"/>
  <c r="N16" i="11" s="1"/>
  <c r="L8" i="11" l="1"/>
  <c r="N8" i="11" s="1"/>
  <c r="N4" i="6"/>
  <c r="O4" i="6"/>
  <c r="C3" i="6"/>
  <c r="O8" i="11" l="1"/>
  <c r="N10" i="11"/>
  <c r="Q8" i="11"/>
  <c r="Q10" i="11" s="1"/>
  <c r="M58" i="23" l="1"/>
  <c r="O58" i="23"/>
  <c r="O50" i="23" s="1"/>
  <c r="L9" i="4"/>
  <c r="M20" i="4"/>
  <c r="L21" i="3"/>
  <c r="P21" i="3" s="1"/>
  <c r="J9" i="3"/>
  <c r="L9" i="3" s="1"/>
  <c r="J8" i="3"/>
  <c r="L8" i="3" s="1"/>
  <c r="I57" i="2"/>
  <c r="J17" i="2"/>
  <c r="J6" i="2"/>
  <c r="L6" i="2" s="1"/>
  <c r="S9" i="4" l="1"/>
  <c r="M9" i="3"/>
  <c r="Z4" i="3"/>
  <c r="M50" i="23"/>
  <c r="M30" i="23"/>
  <c r="M45" i="23"/>
  <c r="M25" i="23"/>
  <c r="M40" i="23"/>
  <c r="M35" i="23"/>
  <c r="L10" i="2"/>
  <c r="M20" i="23"/>
  <c r="M55" i="23" s="1"/>
  <c r="M65" i="23" s="1"/>
  <c r="L12" i="4"/>
  <c r="M21" i="3"/>
  <c r="M8" i="3"/>
  <c r="P8" i="3" s="1"/>
  <c r="L11" i="3"/>
  <c r="M9" i="4"/>
  <c r="S12" i="4" s="1"/>
  <c r="L17" i="2"/>
  <c r="M17" i="2" s="1"/>
  <c r="O45" i="23"/>
  <c r="O40" i="23"/>
  <c r="O35" i="23"/>
  <c r="O30" i="23"/>
  <c r="O25" i="23"/>
  <c r="O20" i="23"/>
  <c r="O8" i="3"/>
  <c r="M6" i="2"/>
  <c r="P6" i="2" l="1"/>
  <c r="AI4" i="4"/>
  <c r="U11" i="4"/>
  <c r="U10" i="4"/>
  <c r="U9" i="4"/>
  <c r="O55" i="23"/>
  <c r="O65" i="23" s="1"/>
  <c r="R20" i="4"/>
  <c r="P17" i="2"/>
  <c r="P9" i="3"/>
  <c r="P11" i="3" s="1"/>
  <c r="O44" i="1"/>
  <c r="P44" i="1" s="1"/>
  <c r="O43" i="1"/>
  <c r="P43" i="1" s="1"/>
  <c r="H37" i="3"/>
  <c r="AI7" i="4" l="1"/>
  <c r="AJ4" i="4"/>
  <c r="W9" i="4"/>
  <c r="V9" i="4"/>
  <c r="W11" i="4"/>
  <c r="V11" i="4"/>
  <c r="W10" i="4"/>
  <c r="V10" i="4"/>
  <c r="S20" i="4"/>
  <c r="T20" i="4" s="1"/>
  <c r="U20" i="4" s="1"/>
  <c r="U23" i="4" s="1"/>
  <c r="R11" i="3"/>
  <c r="Q17" i="2"/>
  <c r="T17" i="2" s="1"/>
  <c r="J19" i="2"/>
  <c r="L19" i="2" s="1"/>
  <c r="AK4" i="4" l="1"/>
  <c r="AL4" i="4"/>
  <c r="AJ6" i="4"/>
  <c r="AJ5" i="4"/>
  <c r="M19" i="2"/>
  <c r="L22" i="2"/>
  <c r="V7" i="2" s="1"/>
  <c r="V8" i="2" s="1"/>
  <c r="H11" i="6"/>
  <c r="AK5" i="4" l="1"/>
  <c r="AL5" i="4"/>
  <c r="AK6" i="4"/>
  <c r="AL6" i="4"/>
  <c r="AL7" i="4" s="1"/>
  <c r="W7" i="2"/>
  <c r="T7" i="2" s="1"/>
  <c r="W6" i="2"/>
  <c r="T6" i="2" s="1"/>
  <c r="O8" i="2" s="1"/>
  <c r="P8" i="2" s="1"/>
  <c r="P10" i="2" s="1"/>
  <c r="AK7" i="4"/>
  <c r="V17" i="2"/>
  <c r="V20" i="2"/>
  <c r="V18" i="2"/>
  <c r="V19" i="2"/>
  <c r="P19" i="2"/>
  <c r="Q19" i="2" s="1"/>
  <c r="T19" i="2" s="1"/>
  <c r="T22" i="2" s="1"/>
  <c r="L22" i="3"/>
  <c r="P22" i="3" s="1"/>
  <c r="I60" i="2"/>
  <c r="I62" i="2" s="1"/>
  <c r="L25" i="3" l="1"/>
  <c r="Z5" i="3" s="1"/>
  <c r="M22" i="3"/>
  <c r="I64" i="2"/>
  <c r="F58" i="23"/>
  <c r="F55" i="23" l="1"/>
  <c r="F65" i="23" s="1"/>
  <c r="K43" i="23" l="1"/>
  <c r="K42" i="23"/>
  <c r="K41" i="23"/>
  <c r="K38" i="23"/>
  <c r="K37" i="23"/>
  <c r="K36" i="23"/>
  <c r="K29" i="23"/>
  <c r="K28" i="23"/>
  <c r="K27" i="23"/>
  <c r="K26" i="23"/>
  <c r="N55" i="23" l="1"/>
  <c r="N65" i="23" s="1"/>
  <c r="K24" i="1"/>
  <c r="I19" i="1"/>
  <c r="K19" i="1" s="1"/>
  <c r="I18" i="1"/>
  <c r="K18" i="1" s="1"/>
  <c r="O18" i="1" s="1"/>
  <c r="I17" i="1"/>
  <c r="K17" i="1" s="1"/>
  <c r="I29" i="1"/>
  <c r="K29" i="1" s="1"/>
  <c r="C18" i="1"/>
  <c r="C17" i="1"/>
  <c r="C16" i="1"/>
  <c r="I35" i="1"/>
  <c r="K35" i="1" s="1"/>
  <c r="H73" i="1"/>
  <c r="I54" i="1"/>
  <c r="K54" i="1" s="1"/>
  <c r="O54" i="1" s="1"/>
  <c r="I53" i="1"/>
  <c r="K53" i="1" s="1"/>
  <c r="I10" i="1"/>
  <c r="K10" i="1" s="1"/>
  <c r="I9" i="1"/>
  <c r="K9" i="1" s="1"/>
  <c r="L9" i="1" s="1"/>
  <c r="I8" i="1"/>
  <c r="K8" i="1" s="1"/>
  <c r="L17" i="1" l="1"/>
  <c r="O17" i="1"/>
  <c r="L19" i="1"/>
  <c r="O19" i="1"/>
  <c r="P19" i="1" s="1"/>
  <c r="L18" i="1"/>
  <c r="P18" i="1" s="1"/>
  <c r="O10" i="1"/>
  <c r="L10" i="1"/>
  <c r="L53" i="1"/>
  <c r="O53" i="1"/>
  <c r="O8" i="1"/>
  <c r="L8" i="1"/>
  <c r="O9" i="1"/>
  <c r="P9" i="1" s="1"/>
  <c r="L54" i="1"/>
  <c r="P54" i="1" s="1"/>
  <c r="Q23" i="3" l="1"/>
  <c r="T23" i="3" s="1"/>
  <c r="T22" i="3"/>
  <c r="Q21" i="3"/>
  <c r="T21" i="3" s="1"/>
  <c r="Q22" i="3"/>
  <c r="Q20" i="3"/>
  <c r="T20" i="3" s="1"/>
  <c r="P17" i="1"/>
  <c r="P53" i="1"/>
  <c r="P8" i="1"/>
  <c r="P10" i="1"/>
  <c r="T25" i="3" l="1"/>
  <c r="L9" i="6" l="1"/>
  <c r="L11" i="6" l="1"/>
  <c r="Q9" i="6"/>
  <c r="P9" i="6"/>
  <c r="K44" i="23" l="1"/>
  <c r="R9" i="6"/>
  <c r="S9" i="6" l="1"/>
  <c r="S11" i="6" s="1"/>
  <c r="J35" i="3"/>
  <c r="L35" i="3" s="1"/>
  <c r="M35" i="3" s="1"/>
  <c r="P35" i="3" s="1"/>
  <c r="P37" i="3" s="1"/>
  <c r="L37" i="3" l="1"/>
  <c r="Z6" i="3" s="1"/>
  <c r="Z7" i="3" l="1"/>
  <c r="AA6" i="3" s="1"/>
  <c r="AB6" i="3" s="1"/>
  <c r="I58" i="23"/>
  <c r="J58" i="23"/>
  <c r="G58" i="23"/>
  <c r="AA5" i="3" l="1"/>
  <c r="AB5" i="3" s="1"/>
  <c r="AA4" i="3"/>
  <c r="AB4" i="3" s="1"/>
  <c r="H50" i="23"/>
  <c r="J55" i="23"/>
  <c r="J65" i="23" s="1"/>
  <c r="I55" i="23" l="1"/>
  <c r="G55" i="23"/>
  <c r="K50" i="23"/>
  <c r="P50" i="23" s="1"/>
  <c r="S50" i="23" s="1"/>
  <c r="H30" i="23"/>
  <c r="H40" i="23"/>
  <c r="K40" i="23" s="1"/>
  <c r="P40" i="23" s="1"/>
  <c r="S40" i="23" s="1"/>
  <c r="H45" i="23"/>
  <c r="H35" i="23"/>
  <c r="K35" i="23" s="1"/>
  <c r="P35" i="23" s="1"/>
  <c r="S35" i="23" s="1"/>
  <c r="H25" i="23"/>
  <c r="D55" i="23"/>
  <c r="D65" i="23" s="1"/>
  <c r="I65" i="23" l="1"/>
  <c r="K55" i="23"/>
  <c r="H55" i="23"/>
  <c r="G65" i="23"/>
  <c r="H20" i="23"/>
  <c r="K20" i="23" s="1"/>
  <c r="P20" i="23" s="1"/>
  <c r="S20" i="23" s="1"/>
  <c r="K45" i="23"/>
  <c r="P45" i="23" s="1"/>
  <c r="S45" i="23" s="1"/>
  <c r="K25" i="23"/>
  <c r="P25" i="23" s="1"/>
  <c r="S25" i="23" s="1"/>
  <c r="K30" i="23"/>
  <c r="P30" i="23" s="1"/>
  <c r="S30" i="23" s="1"/>
  <c r="P55" i="23" l="1"/>
  <c r="P65" i="23" s="1"/>
  <c r="M10" i="11"/>
  <c r="K23" i="3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Uporabnik sistema Windows</author>
    <author>HP</author>
    <author>druzbene_dejavnosti2</author>
  </authors>
  <commentList>
    <comment ref="E17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Uporabnik sistema Windows:</t>
        </r>
        <r>
          <rPr>
            <sz val="9"/>
            <color indexed="81"/>
            <rFont val="Tahoma"/>
            <family val="2"/>
            <charset val="238"/>
          </rPr>
          <t xml:space="preserve">
180notr,35 zunaj</t>
        </r>
      </text>
    </comment>
    <comment ref="R20" authorId="1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HP:</t>
        </r>
        <r>
          <rPr>
            <sz val="9"/>
            <color indexed="81"/>
            <rFont val="Tahoma"/>
            <family val="2"/>
            <charset val="238"/>
          </rPr>
          <t xml:space="preserve">
+2x 165 razlika med MLR in PR v LPŠ 2019</t>
        </r>
      </text>
    </comment>
    <comment ref="R26" authorId="2" shapeId="0" xr:uid="{CC886C81-4D11-4DD9-85D5-781B762892B9}">
      <text>
        <r>
          <rPr>
            <b/>
            <sz val="9"/>
            <color indexed="81"/>
            <rFont val="Segoe UI"/>
            <charset val="1"/>
          </rPr>
          <t>druzbene_dejavnosti2:</t>
        </r>
        <r>
          <rPr>
            <sz val="9"/>
            <color indexed="81"/>
            <rFont val="Segoe UI"/>
            <charset val="1"/>
          </rPr>
          <t xml:space="preserve">
Rezultat na DP se izključuje z rezultatom doseženim za mladinski razred. Kjer se dobi 235 točk (več kot za DP 100 točk)</t>
        </r>
      </text>
    </comment>
    <comment ref="P32" authorId="1" shapeId="0" xr:uid="{00000000-0006-0000-0100-000003000000}">
      <text>
        <r>
          <rPr>
            <b/>
            <sz val="9"/>
            <color indexed="81"/>
            <rFont val="Tahoma"/>
            <family val="2"/>
            <charset val="238"/>
          </rPr>
          <t>HP:</t>
        </r>
        <r>
          <rPr>
            <sz val="9"/>
            <color indexed="81"/>
            <rFont val="Tahoma"/>
            <family val="2"/>
            <charset val="238"/>
          </rPr>
          <t xml:space="preserve">
manj kot 6 udeležencev</t>
        </r>
      </text>
    </comment>
    <comment ref="Q32" authorId="1" shapeId="0" xr:uid="{00000000-0006-0000-0100-000004000000}">
      <text>
        <r>
          <rPr>
            <b/>
            <sz val="9"/>
            <color indexed="81"/>
            <rFont val="Tahoma"/>
            <family val="2"/>
            <charset val="238"/>
          </rPr>
          <t>HP:</t>
        </r>
        <r>
          <rPr>
            <sz val="9"/>
            <color indexed="81"/>
            <rFont val="Tahoma"/>
            <family val="2"/>
            <charset val="238"/>
          </rPr>
          <t xml:space="preserve">
manj kot 6 udeležencev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Uporabnik sistema Windows</author>
    <author>HP</author>
  </authors>
  <commentList>
    <comment ref="E9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38"/>
          </rPr>
          <t>Uporabnik sistema Windows:</t>
        </r>
        <r>
          <rPr>
            <sz val="9"/>
            <color indexed="81"/>
            <rFont val="Tahoma"/>
            <family val="2"/>
            <charset val="238"/>
          </rPr>
          <t xml:space="preserve">
telovadnivca + zunaj</t>
        </r>
      </text>
    </comment>
    <comment ref="K10" authorId="1" shapeId="0" xr:uid="{00000000-0006-0000-0300-000002000000}">
      <text>
        <r>
          <rPr>
            <b/>
            <sz val="9"/>
            <color indexed="81"/>
            <rFont val="Tahoma"/>
            <family val="2"/>
            <charset val="238"/>
          </rPr>
          <t>HP:</t>
        </r>
        <r>
          <rPr>
            <sz val="9"/>
            <color indexed="81"/>
            <rFont val="Tahoma"/>
            <family val="2"/>
            <charset val="238"/>
          </rPr>
          <t xml:space="preserve">
80 urni program znotraj pripravljalne skupine)</t>
        </r>
      </text>
    </comment>
  </commentList>
</comments>
</file>

<file path=xl/sharedStrings.xml><?xml version="1.0" encoding="utf-8"?>
<sst xmlns="http://schemas.openxmlformats.org/spreadsheetml/2006/main" count="1182" uniqueCount="369">
  <si>
    <t>program</t>
  </si>
  <si>
    <t>št.</t>
  </si>
  <si>
    <t>vel.</t>
  </si>
  <si>
    <t>koef.</t>
  </si>
  <si>
    <t>TSK</t>
  </si>
  <si>
    <t>OBJEKT</t>
  </si>
  <si>
    <t>udl.</t>
  </si>
  <si>
    <t>skup.</t>
  </si>
  <si>
    <t>ur</t>
  </si>
  <si>
    <t>faktor</t>
  </si>
  <si>
    <t>TO</t>
  </si>
  <si>
    <t>TOČKE</t>
  </si>
  <si>
    <t>SKUPAJ</t>
  </si>
  <si>
    <t>vad.sk.</t>
  </si>
  <si>
    <t>SHOTOKAN KARATE KLUB OPLOTNICA</t>
  </si>
  <si>
    <t>predšolski</t>
  </si>
  <si>
    <t>JUDO KLUB OPLOTNICA</t>
  </si>
  <si>
    <t>TSK+TO</t>
  </si>
  <si>
    <t>nogomet</t>
  </si>
  <si>
    <t>zunanji</t>
  </si>
  <si>
    <t>notranji</t>
  </si>
  <si>
    <t>TO zun.</t>
  </si>
  <si>
    <t>TO not.</t>
  </si>
  <si>
    <t>Prop.grad.</t>
  </si>
  <si>
    <t>T</t>
  </si>
  <si>
    <t>ŠPORTNO DRUŠTVO POHORJE</t>
  </si>
  <si>
    <t>tradicija</t>
  </si>
  <si>
    <t>skupaj</t>
  </si>
  <si>
    <t>%</t>
  </si>
  <si>
    <t>ŠT. UDEL.</t>
  </si>
  <si>
    <t>NIVO</t>
  </si>
  <si>
    <t>NAZIV</t>
  </si>
  <si>
    <t>€</t>
  </si>
  <si>
    <t>ŠT. TOČK</t>
  </si>
  <si>
    <t>Izvajalec</t>
  </si>
  <si>
    <t>naučimo se plavati</t>
  </si>
  <si>
    <t>državno</t>
  </si>
  <si>
    <t>VTP</t>
  </si>
  <si>
    <t>šolska športna tekmovanja</t>
  </si>
  <si>
    <t>spl.program</t>
  </si>
  <si>
    <t>šoloobv.,mladina</t>
  </si>
  <si>
    <t>pripr.prog.</t>
  </si>
  <si>
    <t>6-9 let</t>
  </si>
  <si>
    <t>10-11 l2t</t>
  </si>
  <si>
    <t>12-13 let</t>
  </si>
  <si>
    <t>14-15 let</t>
  </si>
  <si>
    <t>16-17 let</t>
  </si>
  <si>
    <t>18-19 let</t>
  </si>
  <si>
    <t>1. raven</t>
  </si>
  <si>
    <t>2.raven</t>
  </si>
  <si>
    <t>st.usp.</t>
  </si>
  <si>
    <t>Ime</t>
  </si>
  <si>
    <t>Priimek</t>
  </si>
  <si>
    <t>STROKOVNI KADER</t>
  </si>
  <si>
    <t>20+</t>
  </si>
  <si>
    <t>št. Reg šp.</t>
  </si>
  <si>
    <t>0,5/člana</t>
  </si>
  <si>
    <t>2/šport.</t>
  </si>
  <si>
    <t>netekm.vadb.sk.</t>
  </si>
  <si>
    <t>tekm. Vadbena sk.</t>
  </si>
  <si>
    <t>št. Članov s plačano član.</t>
  </si>
  <si>
    <t>10 let</t>
  </si>
  <si>
    <t>11-19 let</t>
  </si>
  <si>
    <t>20-29 let</t>
  </si>
  <si>
    <t>30-39 let</t>
  </si>
  <si>
    <t>nad 40 let</t>
  </si>
  <si>
    <t>člani s plačano čl.</t>
  </si>
  <si>
    <t>točk</t>
  </si>
  <si>
    <t>Reg. Športniki</t>
  </si>
  <si>
    <t>let</t>
  </si>
  <si>
    <t>Končno št. Točk</t>
  </si>
  <si>
    <t>Netekm. vad.sk.</t>
  </si>
  <si>
    <t>Tekm. vad.sk.</t>
  </si>
  <si>
    <t>1.1. Prostočasna športna vzgoja otrok in mladine</t>
  </si>
  <si>
    <t>1.3. Športna rekracija</t>
  </si>
  <si>
    <t>1.2. Športna vzgoja otrok in mladine, usmerjene v kakovostni in vrhunski šport</t>
  </si>
  <si>
    <t>4. Organiziranost</t>
  </si>
  <si>
    <t>5. Športna prireditev</t>
  </si>
  <si>
    <t>3. Razvojne dekavmnosti v športu</t>
  </si>
  <si>
    <t>Ime in priimek</t>
  </si>
  <si>
    <t>spopol.</t>
  </si>
  <si>
    <t>spopolnjevanje, licenc</t>
  </si>
  <si>
    <t xml:space="preserve">licenc. </t>
  </si>
  <si>
    <t>usposabljanja 2. stopnja</t>
  </si>
  <si>
    <t>usposabljanja 3. stopnja</t>
  </si>
  <si>
    <t>uspos.2.st.</t>
  </si>
  <si>
    <t>usp.3.st.</t>
  </si>
  <si>
    <t>ciciban planinec,mladi planinec</t>
  </si>
  <si>
    <t>ciciban pl.predšolski</t>
  </si>
  <si>
    <t>ciciban pl.šoloobv.</t>
  </si>
  <si>
    <t>mladi planinec</t>
  </si>
  <si>
    <t xml:space="preserve">planinski tabor </t>
  </si>
  <si>
    <t>pl.tabor 5 dni</t>
  </si>
  <si>
    <t>dni</t>
  </si>
  <si>
    <t>točke prog.</t>
  </si>
  <si>
    <t>končne točke</t>
  </si>
  <si>
    <t>medob.,regijsko</t>
  </si>
  <si>
    <t>število tekmovanj</t>
  </si>
  <si>
    <t>medob.reg.</t>
  </si>
  <si>
    <t>TOČKE SKUPAJ</t>
  </si>
  <si>
    <t>Kategorizacija:</t>
  </si>
  <si>
    <t>1.1.1</t>
  </si>
  <si>
    <t>1.1.2</t>
  </si>
  <si>
    <t>1.1.3</t>
  </si>
  <si>
    <t>1.1.4</t>
  </si>
  <si>
    <t>št. prog.</t>
  </si>
  <si>
    <t>št.udel.</t>
  </si>
  <si>
    <t>št. točk</t>
  </si>
  <si>
    <t>1.2</t>
  </si>
  <si>
    <t>2</t>
  </si>
  <si>
    <t>3</t>
  </si>
  <si>
    <t>5</t>
  </si>
  <si>
    <t>4</t>
  </si>
  <si>
    <t>Programi</t>
  </si>
  <si>
    <t>1.3</t>
  </si>
  <si>
    <t>Ciciban planinec - predšolski</t>
  </si>
  <si>
    <t>Ciciban planinec - šoloobvezni</t>
  </si>
  <si>
    <t>Mladi planinec</t>
  </si>
  <si>
    <t>Planinski tabor</t>
  </si>
  <si>
    <t>50 točk</t>
  </si>
  <si>
    <t>1.1 Prostočasna športna vzgoja otrok in mladine</t>
  </si>
  <si>
    <t>1.3 Športna rekreacija</t>
  </si>
  <si>
    <t>državni</t>
  </si>
  <si>
    <t>1.2 Športna vzgoja otrok in mladine, usmerjene v kakovostni in vrhunski šport</t>
  </si>
  <si>
    <t>da</t>
  </si>
  <si>
    <t>Pokal Oplotnice</t>
  </si>
  <si>
    <t>Skupaj:</t>
  </si>
  <si>
    <t>(vred.ure)</t>
  </si>
  <si>
    <t>prop.grad./udel.</t>
  </si>
  <si>
    <t>Prijav.prog.</t>
  </si>
  <si>
    <t>Prij.</t>
  </si>
  <si>
    <t>prog.</t>
  </si>
  <si>
    <t>1 do 4</t>
  </si>
  <si>
    <t>1.1.1  Ciciban planinec, mladi planinec</t>
  </si>
  <si>
    <t>1.1.2 Planinski tabor</t>
  </si>
  <si>
    <t>1.1.3 Šolska športna tekmovanja</t>
  </si>
  <si>
    <t>1</t>
  </si>
  <si>
    <t xml:space="preserve">Lipuš </t>
  </si>
  <si>
    <t>2. stopnja</t>
  </si>
  <si>
    <t>pripravljalni 9-10 let</t>
  </si>
  <si>
    <t>1.stopnja</t>
  </si>
  <si>
    <t>Barbre</t>
  </si>
  <si>
    <t>cena</t>
  </si>
  <si>
    <t xml:space="preserve">Jernej </t>
  </si>
  <si>
    <t>Blatnik</t>
  </si>
  <si>
    <t>3. stopnja</t>
  </si>
  <si>
    <t>Filip Leščak</t>
  </si>
  <si>
    <t>ciciban planinec - šoloobvezni i</t>
  </si>
  <si>
    <t>Brečko</t>
  </si>
  <si>
    <t>različne šp. panoge</t>
  </si>
  <si>
    <t>5 do 7</t>
  </si>
  <si>
    <t>OSNOVNA ŠOLA POHORSKEGA BATALJONA</t>
  </si>
  <si>
    <t>OŠ POHORSKEGA BATALJONA</t>
  </si>
  <si>
    <t>Kantužer</t>
  </si>
  <si>
    <t>Matic</t>
  </si>
  <si>
    <t>Jarni</t>
  </si>
  <si>
    <t>KLUB NOGOMETA OPLOTNICA</t>
  </si>
  <si>
    <t>SHOTOKAN KARATE KLUB</t>
  </si>
  <si>
    <t>1.1.4Celoletni programi vadbe</t>
  </si>
  <si>
    <t>1.1.4  Celoletni programi vadbe</t>
  </si>
  <si>
    <t>REKREACIJA-karate</t>
  </si>
  <si>
    <t>točke</t>
  </si>
  <si>
    <t>1.ŠPORTNI PROGRAMI</t>
  </si>
  <si>
    <t>2.ŠPORTNI OBJEKTI IN POVRŠINE ZA ŠPORT V NARAVI</t>
  </si>
  <si>
    <t>3. RAZVOJNE DEJAVNOSTI V ŠPORTU</t>
  </si>
  <si>
    <t>4. ORGANIZIRANOST V ŠPORTU</t>
  </si>
  <si>
    <t>5. ŠPORTNE PRIREDITVE</t>
  </si>
  <si>
    <t>CENA</t>
  </si>
  <si>
    <t>10-11 let</t>
  </si>
  <si>
    <t>KATEG.</t>
  </si>
  <si>
    <t>DP</t>
  </si>
  <si>
    <t>Član NŠZ</t>
  </si>
  <si>
    <t>Status društva v jav.in.</t>
  </si>
  <si>
    <t>Anja</t>
  </si>
  <si>
    <t>Cena</t>
  </si>
  <si>
    <t>16-17</t>
  </si>
  <si>
    <t>Rok</t>
  </si>
  <si>
    <t xml:space="preserve">Jernej Blatnik </t>
  </si>
  <si>
    <t>1.1 Prostočasna športna vzgoja otrok in mladine (4602,59)</t>
  </si>
  <si>
    <t>1.2 Športna vzgoja otrok in mladine, usmerjene v kakovostni in vrhunski šport (6099,91)</t>
  </si>
  <si>
    <t>1.3 Športna rekreacija (1071,29)</t>
  </si>
  <si>
    <t>3. Razvojne dejavnosti v športu (245,45)</t>
  </si>
  <si>
    <t>4. Organiziranost (615,11)</t>
  </si>
  <si>
    <t>5. Športna prireditev (0)</t>
  </si>
  <si>
    <t>občinski</t>
  </si>
  <si>
    <t>1.1 Prostočasna športna vzgoja otrok in mladine - 6500</t>
  </si>
  <si>
    <t>Športna rekreacija (1500)</t>
  </si>
  <si>
    <t>ne</t>
  </si>
  <si>
    <t>1.2 Športna vzgoja otrok, usmerjenih v kakovostni in vrhunski šport (6500)</t>
  </si>
  <si>
    <t>3. Razvojne dejavmnosti v športu (1200)</t>
  </si>
  <si>
    <t>4. Organiziranost (800)</t>
  </si>
  <si>
    <t>PŠVZG</t>
  </si>
  <si>
    <t>ŠR</t>
  </si>
  <si>
    <t>URNIK</t>
  </si>
  <si>
    <t>PD OPLOTNICA</t>
  </si>
  <si>
    <t>ANEJ</t>
  </si>
  <si>
    <t>ŠRAML</t>
  </si>
  <si>
    <t>TEKM.ŠP.</t>
  </si>
  <si>
    <t>DA</t>
  </si>
  <si>
    <t>NE</t>
  </si>
  <si>
    <t>MATIC</t>
  </si>
  <si>
    <t>JARNI</t>
  </si>
  <si>
    <t>kompet.</t>
  </si>
  <si>
    <t>1.ST.</t>
  </si>
  <si>
    <t>PETER</t>
  </si>
  <si>
    <t>2.ST.</t>
  </si>
  <si>
    <t xml:space="preserve">FILIP </t>
  </si>
  <si>
    <t>LEŠČAK</t>
  </si>
  <si>
    <t>3.ST.</t>
  </si>
  <si>
    <t>SEBASTJAN</t>
  </si>
  <si>
    <t>KANTUŽER</t>
  </si>
  <si>
    <t>ANJA</t>
  </si>
  <si>
    <t>JERNEJ</t>
  </si>
  <si>
    <t>ROK</t>
  </si>
  <si>
    <t>BARBRE</t>
  </si>
  <si>
    <t>ŠD POHORJE</t>
  </si>
  <si>
    <t>JK OPLOTNICA</t>
  </si>
  <si>
    <t>KN OPLOTNICA</t>
  </si>
  <si>
    <t>SKK OPLOTNICA</t>
  </si>
  <si>
    <t>1.1 Prostočasna športna vzgoja otrok in mladine  (8000)</t>
  </si>
  <si>
    <t>1.2. Športna vzgoja otrok in mladine, usmerjene v kakovostni in vrhunski šport (14500)</t>
  </si>
  <si>
    <t>4. Organiziranost (2000)</t>
  </si>
  <si>
    <t>5. Športna prireditev (1500)</t>
  </si>
  <si>
    <t>DODATNE TOČKE</t>
  </si>
  <si>
    <t>TOČKE PROGRAM</t>
  </si>
  <si>
    <t>(TSK+TO)</t>
  </si>
  <si>
    <t>OGRIZEK URH</t>
  </si>
  <si>
    <t>KAT.</t>
  </si>
  <si>
    <t>ALEN VUČINA</t>
  </si>
  <si>
    <t>8 do 12</t>
  </si>
  <si>
    <t>TOČKE SKUPAJ (TSK+TO)</t>
  </si>
  <si>
    <t>VALENČAK MIHAEL</t>
  </si>
  <si>
    <t>KAT</t>
  </si>
  <si>
    <t>MLR</t>
  </si>
  <si>
    <t>ZBIR VREDNOTENJA PROGRAMOV IZBRANIH IZVAJALCEV LPŠ 2019</t>
  </si>
  <si>
    <t>KOSTANJŠEK ŽAN</t>
  </si>
  <si>
    <t>Sebastian Kantužer</t>
  </si>
  <si>
    <t>uspos.1.st.</t>
  </si>
  <si>
    <t>usp.2.st.</t>
  </si>
  <si>
    <t>1.m</t>
  </si>
  <si>
    <t>Hmelak</t>
  </si>
  <si>
    <t>Tibor (19)</t>
  </si>
  <si>
    <t>dečki</t>
  </si>
  <si>
    <t>2.m</t>
  </si>
  <si>
    <t xml:space="preserve">Jelenko </t>
  </si>
  <si>
    <t>Benjamin (11)</t>
  </si>
  <si>
    <t>Pokal Občine Oplotnica</t>
  </si>
  <si>
    <t>Larisa</t>
  </si>
  <si>
    <t>Črešnar</t>
  </si>
  <si>
    <t>ŠPORTNO DRUŠTVO OPLOTNICA</t>
  </si>
  <si>
    <t>1/člana</t>
  </si>
  <si>
    <t>mali nogomet</t>
  </si>
  <si>
    <t>2.stopnja</t>
  </si>
  <si>
    <t>točke programa</t>
  </si>
  <si>
    <t>LARISA</t>
  </si>
  <si>
    <t>ČREŠNAR</t>
  </si>
  <si>
    <t>1. ST</t>
  </si>
  <si>
    <t>LIPUŽ*</t>
  </si>
  <si>
    <t>BLATNIK*</t>
  </si>
  <si>
    <t>2.ST</t>
  </si>
  <si>
    <t>ŠD OPLOTNICA</t>
  </si>
  <si>
    <t>*Nov Zšpo-1</t>
  </si>
  <si>
    <t>URNIK - OBJEKT</t>
  </si>
  <si>
    <t>1.1.4 Celoletni programi vadbe</t>
  </si>
  <si>
    <t>1. Športni Programi (15000)</t>
  </si>
  <si>
    <t xml:space="preserve">1.1. Prostočasna športna vzgoja otrok in mladine </t>
  </si>
  <si>
    <t>Šraml</t>
  </si>
  <si>
    <t>Enej</t>
  </si>
  <si>
    <t>OMUKVŠ</t>
  </si>
  <si>
    <t>vrednotene ure prog.</t>
  </si>
  <si>
    <t xml:space="preserve">David </t>
  </si>
  <si>
    <t>Volčič</t>
  </si>
  <si>
    <t>1 mesto</t>
  </si>
  <si>
    <t>DR</t>
  </si>
  <si>
    <t>NIKA PIŠOTEK</t>
  </si>
  <si>
    <t>3.mesto</t>
  </si>
  <si>
    <t>ZUPANČIČ KLEMEN</t>
  </si>
  <si>
    <t>3 mesto</t>
  </si>
  <si>
    <t>LESKOVAR JAKA</t>
  </si>
  <si>
    <t>3. mesto</t>
  </si>
  <si>
    <t>ANDREJA TOMAŽIČ</t>
  </si>
  <si>
    <t>2.msto</t>
  </si>
  <si>
    <t>zmanjšan program</t>
  </si>
  <si>
    <t>zmanjšan</t>
  </si>
  <si>
    <t>medn.telm.</t>
  </si>
  <si>
    <t>1.m. DP</t>
  </si>
  <si>
    <t>1. stopnja nova</t>
  </si>
  <si>
    <t>šoloobvezni-pripravljalni</t>
  </si>
  <si>
    <t>1.stopnja stara</t>
  </si>
  <si>
    <t>izobrazba</t>
  </si>
  <si>
    <t>Aleksander</t>
  </si>
  <si>
    <t>Soršak</t>
  </si>
  <si>
    <t>šoloobvezno-splošni</t>
  </si>
  <si>
    <t>2. stopnj nova</t>
  </si>
  <si>
    <t>Peter</t>
  </si>
  <si>
    <t>Vučina</t>
  </si>
  <si>
    <t>2.nova</t>
  </si>
  <si>
    <t xml:space="preserve">Filip </t>
  </si>
  <si>
    <t>leščak</t>
  </si>
  <si>
    <t>18-23 let</t>
  </si>
  <si>
    <t>REKREACIJA-judo</t>
  </si>
  <si>
    <t>Peter Vučina</t>
  </si>
  <si>
    <t>Sandi Soršak</t>
  </si>
  <si>
    <t>David Volčič</t>
  </si>
  <si>
    <t>PLANINSKO DRUŠTVO OPLOTNICA</t>
  </si>
  <si>
    <t>1.Športni programi</t>
  </si>
  <si>
    <t>1.1 Prostočasna športna vzgoja otrok in mladine (2300)</t>
  </si>
  <si>
    <t>1.1.1 Ciciban planinec, mladi planinec</t>
  </si>
  <si>
    <t xml:space="preserve">Anton </t>
  </si>
  <si>
    <t>ciciban planinec - predšolski 1.sk.</t>
  </si>
  <si>
    <t>Stanka</t>
  </si>
  <si>
    <t>Čoh</t>
  </si>
  <si>
    <t>3.stopnja</t>
  </si>
  <si>
    <t>ciciban planinec-šoloobvezni</t>
  </si>
  <si>
    <t xml:space="preserve">2.Površine za šport v naravi </t>
  </si>
  <si>
    <t>3. Razvojne dekavmnosti v športu (200 €)</t>
  </si>
  <si>
    <t>Stanka Čoh</t>
  </si>
  <si>
    <t>licenciranje</t>
  </si>
  <si>
    <t>4. Organiziranost (0€)</t>
  </si>
  <si>
    <t>v javnem interesu</t>
  </si>
  <si>
    <t>JESENSKI POHOD NA PESEK</t>
  </si>
  <si>
    <t xml:space="preserve">Martina </t>
  </si>
  <si>
    <t>Smogavec</t>
  </si>
  <si>
    <t>4. Organiziranost (480)</t>
  </si>
  <si>
    <t>Športna rekreacija (2000)</t>
  </si>
  <si>
    <t>1.st. nova</t>
  </si>
  <si>
    <t>Jernej</t>
  </si>
  <si>
    <t>šoloobvezni -splošni in priprvaljalni</t>
  </si>
  <si>
    <t>šR</t>
  </si>
  <si>
    <t>pripravljalni - U11</t>
  </si>
  <si>
    <t>zmanjšan prog.</t>
  </si>
  <si>
    <t>12-13 let nogomet</t>
  </si>
  <si>
    <t>REKREACIJA-nogomet</t>
  </si>
  <si>
    <t>1. stopnja stara</t>
  </si>
  <si>
    <t>Cencel</t>
  </si>
  <si>
    <t>Hilari</t>
  </si>
  <si>
    <t>delež</t>
  </si>
  <si>
    <t>TO zun</t>
  </si>
  <si>
    <t>Nogometni turnir</t>
  </si>
  <si>
    <t>Vrednost točke 2019</t>
  </si>
  <si>
    <t>objekt po urniku max.</t>
  </si>
  <si>
    <t>LPŠ 2020</t>
  </si>
  <si>
    <t>HILARI</t>
  </si>
  <si>
    <t>CENCEL</t>
  </si>
  <si>
    <t>VUČINA*</t>
  </si>
  <si>
    <t>ANTON</t>
  </si>
  <si>
    <t>BREČKO</t>
  </si>
  <si>
    <t>STANKA</t>
  </si>
  <si>
    <t>ČOH</t>
  </si>
  <si>
    <t>Vrednost točke LPŠ 2020</t>
  </si>
  <si>
    <t>Delež dodeljenih sredstev LPŠ 2020</t>
  </si>
  <si>
    <t>delž 2020/2019</t>
  </si>
  <si>
    <t>objekt 222 ur</t>
  </si>
  <si>
    <t>vrednotene ure</t>
  </si>
  <si>
    <t>ŠOMUKVŠ</t>
  </si>
  <si>
    <t>214ur</t>
  </si>
  <si>
    <t>ALEKSANDER</t>
  </si>
  <si>
    <t>SORŠAK</t>
  </si>
  <si>
    <t>IZOB.</t>
  </si>
  <si>
    <t>ur objekta</t>
  </si>
  <si>
    <t>VSEBINA</t>
  </si>
  <si>
    <t>vrednoten prog.</t>
  </si>
  <si>
    <t>dodelj.ure</t>
  </si>
  <si>
    <t>66 ur telovadnica</t>
  </si>
  <si>
    <t>42 ur zunanje igrišče</t>
  </si>
  <si>
    <t>zun.ig.32</t>
  </si>
  <si>
    <t>telovadnica 25</t>
  </si>
  <si>
    <t>18-19 let nogomet</t>
  </si>
  <si>
    <t>18-19 let futsal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</si>
</sst>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8" formatCode="#,##0.00\ &quot;€&quot;;[Red]\-#,##0.00\ &quot;€&quot;"/>
    <numFmt numFmtId="164" formatCode="0.0"/>
    <numFmt numFmtId="165" formatCode="#,##0_ ;[Red]\-#,##0\ "/>
  </numFmts>
  <fonts count="3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trike/>
      <sz val="10"/>
      <color indexed="8"/>
      <name val="Calibri"/>
      <family val="2"/>
      <charset val="238"/>
    </font>
    <font>
      <strike/>
      <sz val="10"/>
      <name val="Arial CE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rgb="FFFF0000"/>
      <name val="Arial CE"/>
      <charset val="238"/>
    </font>
    <font>
      <sz val="10"/>
      <color rgb="FFFF0000"/>
      <name val="Calibri"/>
      <family val="2"/>
      <charset val="238"/>
    </font>
    <font>
      <sz val="10"/>
      <color rgb="FFFF0000"/>
      <name val="Arial CE"/>
      <charset val="238"/>
    </font>
    <font>
      <b/>
      <sz val="10"/>
      <color indexed="8"/>
      <name val="Calibri"/>
      <family val="2"/>
      <charset val="238"/>
    </font>
    <font>
      <b/>
      <sz val="10"/>
      <color rgb="FFFF0000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trike/>
      <sz val="12"/>
      <color theme="1"/>
      <name val="Arial"/>
      <family val="2"/>
      <charset val="238"/>
    </font>
    <font>
      <strike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trike/>
      <sz val="12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27"/>
      </patternFill>
    </fill>
    <fill>
      <patternFill patternType="solid">
        <fgColor indexed="42"/>
        <bgColor indexed="27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6"/>
      </patternFill>
    </fill>
    <fill>
      <patternFill patternType="solid">
        <fgColor indexed="44"/>
        <bgColor indexed="26"/>
      </patternFill>
    </fill>
    <fill>
      <patternFill patternType="solid">
        <fgColor indexed="47"/>
        <bgColor indexed="27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</fills>
  <borders count="8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5" fillId="0" borderId="0"/>
    <xf numFmtId="9" fontId="7" fillId="0" borderId="0" applyFont="0" applyFill="0" applyBorder="0" applyAlignment="0" applyProtection="0"/>
  </cellStyleXfs>
  <cellXfs count="763">
    <xf numFmtId="0" fontId="0" fillId="0" borderId="0" xfId="0"/>
    <xf numFmtId="0" fontId="0" fillId="0" borderId="0" xfId="0" applyFill="1"/>
    <xf numFmtId="0" fontId="0" fillId="0" borderId="0" xfId="0" applyBorder="1" applyAlignment="1"/>
    <xf numFmtId="0" fontId="4" fillId="2" borderId="1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4" borderId="2" xfId="1" applyFont="1" applyFill="1" applyBorder="1" applyAlignment="1">
      <alignment horizontal="center"/>
    </xf>
    <xf numFmtId="0" fontId="4" fillId="4" borderId="3" xfId="1" applyFont="1" applyFill="1" applyBorder="1" applyAlignment="1">
      <alignment horizontal="center"/>
    </xf>
    <xf numFmtId="0" fontId="4" fillId="4" borderId="4" xfId="1" applyFont="1" applyFill="1" applyBorder="1" applyAlignment="1">
      <alignment horizontal="center" wrapText="1"/>
    </xf>
    <xf numFmtId="2" fontId="5" fillId="0" borderId="10" xfId="2" applyNumberFormat="1" applyBorder="1" applyAlignment="1">
      <alignment horizontal="center"/>
    </xf>
    <xf numFmtId="2" fontId="5" fillId="11" borderId="10" xfId="2" applyNumberFormat="1" applyFill="1" applyBorder="1"/>
    <xf numFmtId="2" fontId="0" fillId="0" borderId="0" xfId="0" applyNumberFormat="1"/>
    <xf numFmtId="2" fontId="5" fillId="0" borderId="0" xfId="2" applyNumberFormat="1" applyFill="1" applyBorder="1"/>
    <xf numFmtId="1" fontId="0" fillId="0" borderId="0" xfId="0" applyNumberFormat="1"/>
    <xf numFmtId="0" fontId="0" fillId="0" borderId="0" xfId="0" applyFill="1" applyBorder="1"/>
    <xf numFmtId="1" fontId="3" fillId="10" borderId="14" xfId="1" applyNumberFormat="1" applyFont="1" applyFill="1" applyBorder="1" applyAlignment="1">
      <alignment horizontal="center"/>
    </xf>
    <xf numFmtId="0" fontId="0" fillId="0" borderId="18" xfId="0" applyBorder="1"/>
    <xf numFmtId="0" fontId="4" fillId="2" borderId="2" xfId="1" applyFont="1" applyFill="1" applyBorder="1" applyAlignment="1">
      <alignment horizontal="center"/>
    </xf>
    <xf numFmtId="0" fontId="4" fillId="4" borderId="4" xfId="1" applyFont="1" applyFill="1" applyBorder="1" applyAlignment="1">
      <alignment horizontal="center"/>
    </xf>
    <xf numFmtId="0" fontId="4" fillId="3" borderId="3" xfId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" xfId="0" applyBorder="1"/>
    <xf numFmtId="2" fontId="5" fillId="0" borderId="7" xfId="2" applyNumberFormat="1" applyBorder="1" applyAlignment="1">
      <alignment horizontal="center"/>
    </xf>
    <xf numFmtId="2" fontId="5" fillId="11" borderId="7" xfId="2" applyNumberFormat="1" applyFill="1" applyBorder="1"/>
    <xf numFmtId="0" fontId="4" fillId="2" borderId="24" xfId="1" applyFont="1" applyFill="1" applyBorder="1" applyAlignment="1">
      <alignment horizontal="center"/>
    </xf>
    <xf numFmtId="0" fontId="4" fillId="3" borderId="25" xfId="1" applyFont="1" applyFill="1" applyBorder="1" applyAlignment="1">
      <alignment horizontal="center"/>
    </xf>
    <xf numFmtId="0" fontId="4" fillId="4" borderId="26" xfId="1" applyFont="1" applyFill="1" applyBorder="1" applyAlignment="1">
      <alignment horizontal="center"/>
    </xf>
    <xf numFmtId="0" fontId="4" fillId="4" borderId="20" xfId="1" applyFont="1" applyFill="1" applyBorder="1" applyAlignment="1">
      <alignment horizontal="center"/>
    </xf>
    <xf numFmtId="0" fontId="4" fillId="4" borderId="12" xfId="1" applyFont="1" applyFill="1" applyBorder="1" applyAlignment="1">
      <alignment horizontal="center"/>
    </xf>
    <xf numFmtId="0" fontId="4" fillId="3" borderId="24" xfId="1" applyFont="1" applyFill="1" applyBorder="1" applyAlignment="1">
      <alignment horizontal="center"/>
    </xf>
    <xf numFmtId="0" fontId="4" fillId="7" borderId="25" xfId="1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1" fontId="3" fillId="10" borderId="28" xfId="1" applyNumberFormat="1" applyFont="1" applyFill="1" applyBorder="1" applyAlignment="1">
      <alignment horizontal="center"/>
    </xf>
    <xf numFmtId="0" fontId="4" fillId="3" borderId="20" xfId="1" applyFont="1" applyFill="1" applyBorder="1" applyAlignment="1">
      <alignment horizontal="center"/>
    </xf>
    <xf numFmtId="0" fontId="4" fillId="3" borderId="29" xfId="1" applyFont="1" applyFill="1" applyBorder="1" applyAlignment="1">
      <alignment horizontal="center"/>
    </xf>
    <xf numFmtId="0" fontId="4" fillId="7" borderId="21" xfId="1" applyFont="1" applyFill="1" applyBorder="1" applyAlignment="1">
      <alignment horizontal="center"/>
    </xf>
    <xf numFmtId="0" fontId="1" fillId="0" borderId="0" xfId="0" applyFont="1"/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Fill="1" applyBorder="1" applyAlignment="1">
      <alignment vertical="center"/>
    </xf>
    <xf numFmtId="0" fontId="6" fillId="0" borderId="0" xfId="0" applyFont="1" applyAlignment="1"/>
    <xf numFmtId="2" fontId="5" fillId="11" borderId="7" xfId="2" applyNumberForma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2" fontId="5" fillId="10" borderId="36" xfId="2" applyNumberFormat="1" applyFill="1" applyBorder="1" applyAlignment="1">
      <alignment horizontal="center"/>
    </xf>
    <xf numFmtId="0" fontId="4" fillId="4" borderId="3" xfId="1" applyFont="1" applyFill="1" applyBorder="1" applyAlignment="1">
      <alignment horizontal="center" wrapText="1"/>
    </xf>
    <xf numFmtId="0" fontId="0" fillId="9" borderId="7" xfId="0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20" xfId="1" applyFont="1" applyFill="1" applyBorder="1" applyAlignment="1">
      <alignment horizontal="center"/>
    </xf>
    <xf numFmtId="2" fontId="5" fillId="0" borderId="19" xfId="2" applyNumberFormat="1" applyBorder="1" applyAlignment="1">
      <alignment horizontal="center"/>
    </xf>
    <xf numFmtId="0" fontId="4" fillId="3" borderId="12" xfId="1" applyFont="1" applyFill="1" applyBorder="1" applyAlignment="1">
      <alignment horizontal="center"/>
    </xf>
    <xf numFmtId="0" fontId="0" fillId="12" borderId="7" xfId="0" applyFill="1" applyBorder="1" applyAlignment="1"/>
    <xf numFmtId="0" fontId="0" fillId="0" borderId="30" xfId="0" applyBorder="1" applyAlignment="1">
      <alignment horizontal="center"/>
    </xf>
    <xf numFmtId="0" fontId="0" fillId="8" borderId="17" xfId="0" applyFill="1" applyBorder="1" applyAlignment="1">
      <alignment horizontal="center"/>
    </xf>
    <xf numFmtId="2" fontId="5" fillId="0" borderId="30" xfId="2" applyNumberFormat="1" applyBorder="1" applyAlignment="1">
      <alignment horizontal="center"/>
    </xf>
    <xf numFmtId="0" fontId="0" fillId="9" borderId="17" xfId="0" applyFill="1" applyBorder="1" applyAlignment="1">
      <alignment horizontal="center"/>
    </xf>
    <xf numFmtId="2" fontId="5" fillId="11" borderId="30" xfId="2" applyNumberFormat="1" applyFill="1" applyBorder="1"/>
    <xf numFmtId="1" fontId="5" fillId="0" borderId="37" xfId="2" applyNumberFormat="1" applyBorder="1" applyAlignment="1">
      <alignment horizontal="center"/>
    </xf>
    <xf numFmtId="0" fontId="4" fillId="3" borderId="39" xfId="1" applyFont="1" applyFill="1" applyBorder="1" applyAlignment="1">
      <alignment horizontal="center"/>
    </xf>
    <xf numFmtId="0" fontId="4" fillId="4" borderId="40" xfId="1" applyFont="1" applyFill="1" applyBorder="1" applyAlignment="1">
      <alignment horizontal="center"/>
    </xf>
    <xf numFmtId="0" fontId="0" fillId="0" borderId="12" xfId="0" applyBorder="1"/>
    <xf numFmtId="164" fontId="5" fillId="0" borderId="27" xfId="2" applyNumberFormat="1" applyBorder="1" applyAlignment="1">
      <alignment horizontal="center"/>
    </xf>
    <xf numFmtId="2" fontId="0" fillId="0" borderId="0" xfId="0" applyNumberFormat="1" applyFill="1" applyBorder="1"/>
    <xf numFmtId="0" fontId="0" fillId="0" borderId="42" xfId="0" applyBorder="1" applyAlignment="1">
      <alignment horizontal="center"/>
    </xf>
    <xf numFmtId="0" fontId="4" fillId="6" borderId="44" xfId="1" applyFont="1" applyFill="1" applyBorder="1" applyAlignment="1">
      <alignment horizontal="center" vertical="center" wrapText="1"/>
    </xf>
    <xf numFmtId="2" fontId="0" fillId="0" borderId="10" xfId="0" applyNumberFormat="1" applyBorder="1"/>
    <xf numFmtId="9" fontId="0" fillId="0" borderId="0" xfId="0" applyNumberFormat="1"/>
    <xf numFmtId="9" fontId="0" fillId="0" borderId="0" xfId="3" applyFont="1"/>
    <xf numFmtId="164" fontId="5" fillId="0" borderId="23" xfId="2" applyNumberFormat="1" applyBorder="1" applyAlignment="1">
      <alignment horizontal="center"/>
    </xf>
    <xf numFmtId="0" fontId="0" fillId="0" borderId="11" xfId="0" applyBorder="1"/>
    <xf numFmtId="0" fontId="4" fillId="4" borderId="34" xfId="1" applyFont="1" applyFill="1" applyBorder="1" applyAlignment="1">
      <alignment horizontal="center"/>
    </xf>
    <xf numFmtId="0" fontId="4" fillId="4" borderId="30" xfId="1" applyFont="1" applyFill="1" applyBorder="1" applyAlignment="1">
      <alignment horizontal="center"/>
    </xf>
    <xf numFmtId="2" fontId="5" fillId="10" borderId="46" xfId="2" applyNumberFormat="1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0" borderId="0" xfId="0" applyAlignment="1"/>
    <xf numFmtId="0" fontId="0" fillId="0" borderId="49" xfId="0" applyBorder="1"/>
    <xf numFmtId="0" fontId="0" fillId="0" borderId="37" xfId="0" applyBorder="1"/>
    <xf numFmtId="0" fontId="0" fillId="0" borderId="48" xfId="0" applyBorder="1"/>
    <xf numFmtId="0" fontId="0" fillId="0" borderId="16" xfId="0" applyBorder="1"/>
    <xf numFmtId="0" fontId="0" fillId="0" borderId="20" xfId="0" applyBorder="1" applyAlignment="1">
      <alignment horizontal="center"/>
    </xf>
    <xf numFmtId="0" fontId="0" fillId="12" borderId="10" xfId="0" applyFill="1" applyBorder="1" applyAlignment="1"/>
    <xf numFmtId="164" fontId="5" fillId="0" borderId="13" xfId="2" applyNumberFormat="1" applyBorder="1" applyAlignment="1">
      <alignment horizontal="center"/>
    </xf>
    <xf numFmtId="164" fontId="5" fillId="0" borderId="9" xfId="2" applyNumberFormat="1" applyBorder="1" applyAlignment="1">
      <alignment horizontal="center"/>
    </xf>
    <xf numFmtId="0" fontId="0" fillId="0" borderId="7" xfId="0" applyFill="1" applyBorder="1" applyAlignment="1">
      <alignment horizontal="center"/>
    </xf>
    <xf numFmtId="1" fontId="0" fillId="0" borderId="0" xfId="0" applyNumberFormat="1" applyFill="1" applyBorder="1"/>
    <xf numFmtId="0" fontId="10" fillId="0" borderId="0" xfId="0" applyFont="1"/>
    <xf numFmtId="0" fontId="0" fillId="0" borderId="15" xfId="0" applyBorder="1"/>
    <xf numFmtId="0" fontId="11" fillId="0" borderId="0" xfId="0" applyFont="1"/>
    <xf numFmtId="0" fontId="1" fillId="0" borderId="0" xfId="0" applyFont="1" applyAlignment="1"/>
    <xf numFmtId="6" fontId="0" fillId="0" borderId="0" xfId="0" applyNumberFormat="1"/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 wrapText="1"/>
    </xf>
    <xf numFmtId="2" fontId="5" fillId="0" borderId="0" xfId="2" applyNumberFormat="1" applyFill="1" applyBorder="1" applyAlignment="1">
      <alignment horizontal="center"/>
    </xf>
    <xf numFmtId="164" fontId="5" fillId="0" borderId="0" xfId="2" applyNumberFormat="1" applyFill="1" applyBorder="1" applyAlignment="1">
      <alignment horizontal="center"/>
    </xf>
    <xf numFmtId="1" fontId="3" fillId="0" borderId="0" xfId="1" applyNumberFormat="1" applyFont="1" applyFill="1" applyBorder="1" applyAlignment="1">
      <alignment horizontal="center"/>
    </xf>
    <xf numFmtId="49" fontId="0" fillId="0" borderId="7" xfId="0" applyNumberFormat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Fill="1" applyBorder="1" applyAlignment="1"/>
    <xf numFmtId="0" fontId="0" fillId="0" borderId="11" xfId="0" applyFill="1" applyBorder="1"/>
    <xf numFmtId="0" fontId="1" fillId="0" borderId="11" xfId="0" applyFont="1" applyFill="1" applyBorder="1" applyAlignment="1"/>
    <xf numFmtId="9" fontId="1" fillId="0" borderId="11" xfId="0" applyNumberFormat="1" applyFont="1" applyFill="1" applyBorder="1" applyAlignment="1"/>
    <xf numFmtId="0" fontId="0" fillId="0" borderId="11" xfId="0" applyFill="1" applyBorder="1" applyAlignment="1"/>
    <xf numFmtId="0" fontId="1" fillId="0" borderId="0" xfId="0" applyFont="1" applyBorder="1"/>
    <xf numFmtId="0" fontId="4" fillId="0" borderId="0" xfId="1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50" xfId="0" applyBorder="1"/>
    <xf numFmtId="0" fontId="0" fillId="0" borderId="18" xfId="0" applyFill="1" applyBorder="1" applyAlignment="1">
      <alignment horizontal="center"/>
    </xf>
    <xf numFmtId="0" fontId="0" fillId="0" borderId="18" xfId="0" applyFill="1" applyBorder="1" applyAlignment="1"/>
    <xf numFmtId="2" fontId="5" fillId="0" borderId="18" xfId="2" applyNumberFormat="1" applyFill="1" applyBorder="1" applyAlignment="1">
      <alignment horizontal="center"/>
    </xf>
    <xf numFmtId="9" fontId="0" fillId="0" borderId="11" xfId="3" applyFont="1" applyBorder="1"/>
    <xf numFmtId="0" fontId="10" fillId="0" borderId="11" xfId="0" applyFont="1" applyBorder="1"/>
    <xf numFmtId="0" fontId="11" fillId="0" borderId="3" xfId="0" applyFont="1" applyBorder="1"/>
    <xf numFmtId="0" fontId="11" fillId="0" borderId="20" xfId="0" applyFont="1" applyBorder="1"/>
    <xf numFmtId="2" fontId="11" fillId="0" borderId="7" xfId="0" applyNumberFormat="1" applyFont="1" applyBorder="1"/>
    <xf numFmtId="0" fontId="0" fillId="0" borderId="36" xfId="0" applyFill="1" applyBorder="1" applyAlignment="1">
      <alignment horizontal="center"/>
    </xf>
    <xf numFmtId="0" fontId="4" fillId="4" borderId="35" xfId="1" applyFont="1" applyFill="1" applyBorder="1" applyAlignment="1">
      <alignment horizontal="center"/>
    </xf>
    <xf numFmtId="0" fontId="4" fillId="2" borderId="43" xfId="1" applyFont="1" applyFill="1" applyBorder="1" applyAlignment="1">
      <alignment horizontal="center"/>
    </xf>
    <xf numFmtId="0" fontId="4" fillId="2" borderId="31" xfId="1" applyFont="1" applyFill="1" applyBorder="1" applyAlignment="1">
      <alignment horizontal="center"/>
    </xf>
    <xf numFmtId="2" fontId="5" fillId="10" borderId="7" xfId="2" applyNumberFormat="1" applyFill="1" applyBorder="1" applyAlignment="1">
      <alignment horizontal="center"/>
    </xf>
    <xf numFmtId="2" fontId="5" fillId="0" borderId="7" xfId="2" applyNumberFormat="1" applyFill="1" applyBorder="1" applyAlignment="1">
      <alignment horizontal="center"/>
    </xf>
    <xf numFmtId="9" fontId="0" fillId="0" borderId="18" xfId="3" applyFont="1" applyBorder="1"/>
    <xf numFmtId="0" fontId="1" fillId="0" borderId="49" xfId="0" applyFont="1" applyBorder="1"/>
    <xf numFmtId="0" fontId="1" fillId="0" borderId="37" xfId="0" applyFont="1" applyBorder="1"/>
    <xf numFmtId="0" fontId="1" fillId="0" borderId="50" xfId="0" applyFont="1" applyBorder="1" applyAlignment="1">
      <alignment horizontal="center"/>
    </xf>
    <xf numFmtId="0" fontId="4" fillId="0" borderId="0" xfId="1" applyFont="1" applyFill="1" applyBorder="1" applyAlignment="1">
      <alignment vertical="center" wrapText="1"/>
    </xf>
    <xf numFmtId="0" fontId="1" fillId="0" borderId="48" xfId="0" applyFont="1" applyBorder="1"/>
    <xf numFmtId="0" fontId="0" fillId="0" borderId="7" xfId="0" applyFill="1" applyBorder="1" applyAlignment="1"/>
    <xf numFmtId="2" fontId="5" fillId="0" borderId="36" xfId="2" applyNumberFormat="1" applyFill="1" applyBorder="1" applyAlignment="1">
      <alignment horizontal="center"/>
    </xf>
    <xf numFmtId="164" fontId="5" fillId="0" borderId="27" xfId="2" applyNumberFormat="1" applyFill="1" applyBorder="1" applyAlignment="1">
      <alignment horizontal="center"/>
    </xf>
    <xf numFmtId="164" fontId="5" fillId="0" borderId="23" xfId="2" applyNumberFormat="1" applyFill="1" applyBorder="1" applyAlignment="1">
      <alignment horizontal="center"/>
    </xf>
    <xf numFmtId="0" fontId="0" fillId="0" borderId="10" xfId="0" applyFill="1" applyBorder="1" applyAlignment="1"/>
    <xf numFmtId="2" fontId="5" fillId="0" borderId="10" xfId="2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64" fontId="5" fillId="0" borderId="13" xfId="2" applyNumberFormat="1" applyFill="1" applyBorder="1" applyAlignment="1">
      <alignment horizontal="center"/>
    </xf>
    <xf numFmtId="164" fontId="5" fillId="0" borderId="9" xfId="2" applyNumberFormat="1" applyFill="1" applyBorder="1" applyAlignment="1">
      <alignment horizontal="center"/>
    </xf>
    <xf numFmtId="0" fontId="0" fillId="0" borderId="20" xfId="0" applyFill="1" applyBorder="1" applyAlignment="1"/>
    <xf numFmtId="2" fontId="5" fillId="0" borderId="20" xfId="2" applyNumberFormat="1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164" fontId="5" fillId="0" borderId="32" xfId="2" applyNumberFormat="1" applyFill="1" applyBorder="1" applyAlignment="1">
      <alignment horizontal="center"/>
    </xf>
    <xf numFmtId="164" fontId="5" fillId="0" borderId="12" xfId="2" applyNumberFormat="1" applyFill="1" applyBorder="1" applyAlignment="1">
      <alignment horizontal="center"/>
    </xf>
    <xf numFmtId="0" fontId="0" fillId="0" borderId="8" xfId="0" applyFill="1" applyBorder="1"/>
    <xf numFmtId="164" fontId="5" fillId="0" borderId="7" xfId="2" applyNumberFormat="1" applyFill="1" applyBorder="1" applyAlignment="1">
      <alignment horizontal="center"/>
    </xf>
    <xf numFmtId="0" fontId="0" fillId="0" borderId="46" xfId="0" applyFill="1" applyBorder="1" applyAlignment="1">
      <alignment horizontal="center"/>
    </xf>
    <xf numFmtId="0" fontId="0" fillId="0" borderId="47" xfId="0" applyFill="1" applyBorder="1"/>
    <xf numFmtId="0" fontId="0" fillId="0" borderId="19" xfId="0" applyFill="1" applyBorder="1"/>
    <xf numFmtId="0" fontId="0" fillId="0" borderId="57" xfId="0" applyFill="1" applyBorder="1"/>
    <xf numFmtId="2" fontId="0" fillId="0" borderId="19" xfId="0" applyNumberFormat="1" applyFill="1" applyBorder="1"/>
    <xf numFmtId="0" fontId="10" fillId="0" borderId="3" xfId="0" applyFont="1" applyBorder="1"/>
    <xf numFmtId="0" fontId="10" fillId="0" borderId="20" xfId="0" applyFont="1" applyBorder="1"/>
    <xf numFmtId="2" fontId="13" fillId="0" borderId="7" xfId="2" applyNumberFormat="1" applyFont="1" applyFill="1" applyBorder="1"/>
    <xf numFmtId="2" fontId="13" fillId="0" borderId="10" xfId="2" applyNumberFormat="1" applyFont="1" applyFill="1" applyBorder="1"/>
    <xf numFmtId="2" fontId="13" fillId="0" borderId="20" xfId="2" applyNumberFormat="1" applyFont="1" applyFill="1" applyBorder="1"/>
    <xf numFmtId="1" fontId="14" fillId="0" borderId="28" xfId="1" applyNumberFormat="1" applyFont="1" applyFill="1" applyBorder="1" applyAlignment="1">
      <alignment horizontal="center"/>
    </xf>
    <xf numFmtId="1" fontId="14" fillId="0" borderId="14" xfId="1" applyNumberFormat="1" applyFont="1" applyFill="1" applyBorder="1" applyAlignment="1">
      <alignment horizontal="center"/>
    </xf>
    <xf numFmtId="1" fontId="14" fillId="0" borderId="33" xfId="1" applyNumberFormat="1" applyFont="1" applyFill="1" applyBorder="1" applyAlignment="1">
      <alignment horizontal="center"/>
    </xf>
    <xf numFmtId="0" fontId="11" fillId="0" borderId="18" xfId="0" applyFont="1" applyBorder="1"/>
    <xf numFmtId="0" fontId="1" fillId="0" borderId="18" xfId="0" applyFont="1" applyBorder="1"/>
    <xf numFmtId="2" fontId="10" fillId="0" borderId="7" xfId="0" applyNumberFormat="1" applyFont="1" applyFill="1" applyBorder="1"/>
    <xf numFmtId="2" fontId="10" fillId="0" borderId="10" xfId="0" applyNumberFormat="1" applyFont="1" applyFill="1" applyBorder="1"/>
    <xf numFmtId="2" fontId="10" fillId="0" borderId="20" xfId="0" applyNumberFormat="1" applyFont="1" applyFill="1" applyBorder="1"/>
    <xf numFmtId="2" fontId="10" fillId="0" borderId="7" xfId="0" applyNumberFormat="1" applyFont="1" applyBorder="1"/>
    <xf numFmtId="2" fontId="10" fillId="0" borderId="10" xfId="0" applyNumberFormat="1" applyFont="1" applyBorder="1"/>
    <xf numFmtId="2" fontId="10" fillId="0" borderId="20" xfId="0" applyNumberFormat="1" applyFont="1" applyBorder="1"/>
    <xf numFmtId="2" fontId="5" fillId="13" borderId="36" xfId="2" applyNumberFormat="1" applyFill="1" applyBorder="1" applyAlignment="1">
      <alignment horizontal="center"/>
    </xf>
    <xf numFmtId="2" fontId="5" fillId="13" borderId="46" xfId="2" applyNumberFormat="1" applyFill="1" applyBorder="1" applyAlignment="1">
      <alignment horizontal="center"/>
    </xf>
    <xf numFmtId="2" fontId="5" fillId="13" borderId="35" xfId="2" applyNumberFormat="1" applyFill="1" applyBorder="1" applyAlignment="1">
      <alignment horizontal="center"/>
    </xf>
    <xf numFmtId="2" fontId="5" fillId="13" borderId="7" xfId="2" applyNumberFormat="1" applyFill="1" applyBorder="1" applyAlignment="1">
      <alignment horizontal="center"/>
    </xf>
    <xf numFmtId="2" fontId="5" fillId="13" borderId="10" xfId="2" applyNumberFormat="1" applyFill="1" applyBorder="1" applyAlignment="1">
      <alignment horizontal="center"/>
    </xf>
    <xf numFmtId="0" fontId="0" fillId="13" borderId="19" xfId="0" applyFill="1" applyBorder="1"/>
    <xf numFmtId="0" fontId="0" fillId="13" borderId="11" xfId="0" applyFill="1" applyBorder="1"/>
    <xf numFmtId="2" fontId="0" fillId="0" borderId="0" xfId="0" applyNumberFormat="1" applyAlignment="1"/>
    <xf numFmtId="0" fontId="0" fillId="0" borderId="0" xfId="0" applyFont="1" applyFill="1" applyBorder="1" applyAlignment="1">
      <alignment horizontal="center"/>
    </xf>
    <xf numFmtId="0" fontId="0" fillId="15" borderId="58" xfId="0" applyFill="1" applyBorder="1"/>
    <xf numFmtId="0" fontId="0" fillId="8" borderId="8" xfId="0" applyFill="1" applyBorder="1"/>
    <xf numFmtId="0" fontId="0" fillId="19" borderId="8" xfId="0" applyFill="1" applyBorder="1"/>
    <xf numFmtId="0" fontId="0" fillId="16" borderId="8" xfId="0" applyFill="1" applyBorder="1"/>
    <xf numFmtId="0" fontId="0" fillId="14" borderId="47" xfId="0" applyFill="1" applyBorder="1"/>
    <xf numFmtId="49" fontId="1" fillId="0" borderId="41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49" fontId="0" fillId="0" borderId="41" xfId="0" applyNumberFormat="1" applyFont="1" applyBorder="1" applyAlignment="1">
      <alignment horizontal="center"/>
    </xf>
    <xf numFmtId="0" fontId="1" fillId="15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1" fontId="8" fillId="0" borderId="0" xfId="2" applyNumberFormat="1" applyFont="1" applyFill="1" applyBorder="1" applyAlignment="1">
      <alignment horizontal="center"/>
    </xf>
    <xf numFmtId="1" fontId="9" fillId="0" borderId="0" xfId="1" applyNumberFormat="1" applyFont="1" applyFill="1" applyBorder="1" applyAlignment="1">
      <alignment horizontal="center"/>
    </xf>
    <xf numFmtId="1" fontId="5" fillId="0" borderId="0" xfId="2" applyNumberFormat="1" applyFill="1" applyBorder="1" applyAlignment="1">
      <alignment horizontal="center"/>
    </xf>
    <xf numFmtId="0" fontId="2" fillId="0" borderId="0" xfId="0" applyFont="1" applyFill="1" applyBorder="1" applyAlignment="1"/>
    <xf numFmtId="0" fontId="4" fillId="0" borderId="0" xfId="1" applyFont="1" applyFill="1" applyBorder="1" applyAlignment="1"/>
    <xf numFmtId="2" fontId="11" fillId="0" borderId="0" xfId="0" applyNumberFormat="1" applyFont="1" applyBorder="1"/>
    <xf numFmtId="1" fontId="5" fillId="0" borderId="0" xfId="3" applyNumberFormat="1" applyFont="1" applyFill="1" applyBorder="1" applyAlignment="1">
      <alignment horizontal="center"/>
    </xf>
    <xf numFmtId="0" fontId="4" fillId="5" borderId="34" xfId="1" applyFont="1" applyFill="1" applyBorder="1" applyAlignment="1">
      <alignment horizontal="center" vertical="center" wrapText="1"/>
    </xf>
    <xf numFmtId="0" fontId="4" fillId="5" borderId="35" xfId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1" fontId="0" fillId="0" borderId="11" xfId="0" applyNumberFormat="1" applyFill="1" applyBorder="1" applyAlignment="1"/>
    <xf numFmtId="0" fontId="1" fillId="21" borderId="0" xfId="0" applyFont="1" applyFill="1" applyAlignment="1">
      <alignment horizontal="center"/>
    </xf>
    <xf numFmtId="2" fontId="15" fillId="21" borderId="0" xfId="2" applyNumberFormat="1" applyFont="1" applyFill="1" applyBorder="1" applyAlignment="1">
      <alignment horizontal="center"/>
    </xf>
    <xf numFmtId="1" fontId="1" fillId="21" borderId="0" xfId="0" applyNumberFormat="1" applyFont="1" applyFill="1" applyAlignment="1">
      <alignment horizontal="center"/>
    </xf>
    <xf numFmtId="0" fontId="10" fillId="0" borderId="11" xfId="0" applyFont="1" applyFill="1" applyBorder="1"/>
    <xf numFmtId="0" fontId="10" fillId="0" borderId="50" xfId="0" applyFont="1" applyBorder="1"/>
    <xf numFmtId="2" fontId="16" fillId="0" borderId="18" xfId="2" applyNumberFormat="1" applyFont="1" applyFill="1" applyBorder="1" applyAlignment="1">
      <alignment horizontal="center"/>
    </xf>
    <xf numFmtId="4" fontId="1" fillId="14" borderId="19" xfId="0" applyNumberFormat="1" applyFont="1" applyFill="1" applyBorder="1" applyAlignment="1">
      <alignment horizontal="center"/>
    </xf>
    <xf numFmtId="4" fontId="1" fillId="14" borderId="47" xfId="0" applyNumberFormat="1" applyFont="1" applyFill="1" applyBorder="1" applyAlignment="1">
      <alignment horizontal="center"/>
    </xf>
    <xf numFmtId="4" fontId="1" fillId="14" borderId="57" xfId="0" applyNumberFormat="1" applyFont="1" applyFill="1" applyBorder="1" applyAlignment="1">
      <alignment horizontal="center"/>
    </xf>
    <xf numFmtId="1" fontId="4" fillId="21" borderId="0" xfId="1" applyNumberFormat="1" applyFont="1" applyFill="1" applyBorder="1" applyAlignment="1">
      <alignment horizontal="center"/>
    </xf>
    <xf numFmtId="164" fontId="10" fillId="0" borderId="11" xfId="0" applyNumberFormat="1" applyFont="1" applyFill="1" applyBorder="1" applyAlignment="1"/>
    <xf numFmtId="2" fontId="5" fillId="11" borderId="19" xfId="2" applyNumberFormat="1" applyFill="1" applyBorder="1" applyAlignment="1">
      <alignment horizontal="center"/>
    </xf>
    <xf numFmtId="0" fontId="0" fillId="12" borderId="10" xfId="0" applyFill="1" applyBorder="1" applyAlignment="1">
      <alignment horizontal="center"/>
    </xf>
    <xf numFmtId="2" fontId="5" fillId="0" borderId="10" xfId="2" applyNumberFormat="1" applyFont="1" applyBorder="1" applyAlignment="1">
      <alignment horizontal="center"/>
    </xf>
    <xf numFmtId="0" fontId="4" fillId="3" borderId="41" xfId="1" applyFont="1" applyFill="1" applyBorder="1" applyAlignment="1">
      <alignment horizontal="center"/>
    </xf>
    <xf numFmtId="0" fontId="4" fillId="4" borderId="41" xfId="1" applyFont="1" applyFill="1" applyBorder="1" applyAlignment="1">
      <alignment horizontal="center"/>
    </xf>
    <xf numFmtId="0" fontId="4" fillId="3" borderId="61" xfId="1" applyFont="1" applyFill="1" applyBorder="1" applyAlignment="1">
      <alignment horizontal="center"/>
    </xf>
    <xf numFmtId="0" fontId="4" fillId="7" borderId="62" xfId="1" applyFont="1" applyFill="1" applyBorder="1" applyAlignment="1">
      <alignment horizontal="center"/>
    </xf>
    <xf numFmtId="1" fontId="3" fillId="10" borderId="38" xfId="1" applyNumberFormat="1" applyFont="1" applyFill="1" applyBorder="1" applyAlignment="1">
      <alignment horizontal="center"/>
    </xf>
    <xf numFmtId="4" fontId="0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2" fontId="5" fillId="10" borderId="57" xfId="2" applyNumberFormat="1" applyFill="1" applyBorder="1" applyAlignment="1">
      <alignment horizontal="center"/>
    </xf>
    <xf numFmtId="4" fontId="0" fillId="15" borderId="55" xfId="0" applyNumberFormat="1" applyFill="1" applyBorder="1" applyAlignment="1">
      <alignment horizontal="center"/>
    </xf>
    <xf numFmtId="4" fontId="0" fillId="15" borderId="56" xfId="0" applyNumberFormat="1" applyFill="1" applyBorder="1" applyAlignment="1">
      <alignment horizontal="center"/>
    </xf>
    <xf numFmtId="4" fontId="0" fillId="15" borderId="58" xfId="0" applyNumberFormat="1" applyFill="1" applyBorder="1" applyAlignment="1">
      <alignment horizontal="center"/>
    </xf>
    <xf numFmtId="4" fontId="0" fillId="8" borderId="10" xfId="0" applyNumberFormat="1" applyFill="1" applyBorder="1" applyAlignment="1">
      <alignment horizontal="center"/>
    </xf>
    <xf numFmtId="4" fontId="0" fillId="8" borderId="46" xfId="0" applyNumberFormat="1" applyFill="1" applyBorder="1" applyAlignment="1">
      <alignment horizontal="center"/>
    </xf>
    <xf numFmtId="4" fontId="0" fillId="8" borderId="8" xfId="0" applyNumberFormat="1" applyFill="1" applyBorder="1" applyAlignment="1">
      <alignment horizontal="center"/>
    </xf>
    <xf numFmtId="4" fontId="0" fillId="19" borderId="10" xfId="0" applyNumberFormat="1" applyFill="1" applyBorder="1" applyAlignment="1">
      <alignment horizontal="center"/>
    </xf>
    <xf numFmtId="4" fontId="0" fillId="19" borderId="46" xfId="0" applyNumberFormat="1" applyFill="1" applyBorder="1" applyAlignment="1">
      <alignment horizontal="center"/>
    </xf>
    <xf numFmtId="4" fontId="0" fillId="19" borderId="8" xfId="0" applyNumberFormat="1" applyFill="1" applyBorder="1" applyAlignment="1">
      <alignment horizontal="center"/>
    </xf>
    <xf numFmtId="4" fontId="0" fillId="16" borderId="10" xfId="0" applyNumberFormat="1" applyFill="1" applyBorder="1" applyAlignment="1">
      <alignment horizontal="center"/>
    </xf>
    <xf numFmtId="4" fontId="0" fillId="16" borderId="46" xfId="0" applyNumberFormat="1" applyFill="1" applyBorder="1" applyAlignment="1">
      <alignment horizontal="center"/>
    </xf>
    <xf numFmtId="164" fontId="5" fillId="0" borderId="63" xfId="2" applyNumberFormat="1" applyBorder="1" applyAlignment="1">
      <alignment horizontal="center"/>
    </xf>
    <xf numFmtId="2" fontId="1" fillId="21" borderId="0" xfId="0" applyNumberFormat="1" applyFont="1" applyFill="1" applyAlignment="1">
      <alignment horizontal="center"/>
    </xf>
    <xf numFmtId="0" fontId="0" fillId="0" borderId="30" xfId="0" applyBorder="1"/>
    <xf numFmtId="1" fontId="1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0" fillId="0" borderId="0" xfId="0" applyFont="1" applyFill="1" applyBorder="1"/>
    <xf numFmtId="0" fontId="0" fillId="0" borderId="41" xfId="0" applyFill="1" applyBorder="1" applyAlignment="1">
      <alignment horizontal="center"/>
    </xf>
    <xf numFmtId="0" fontId="0" fillId="0" borderId="64" xfId="0" applyBorder="1"/>
    <xf numFmtId="2" fontId="5" fillId="0" borderId="42" xfId="2" applyNumberFormat="1" applyBorder="1" applyAlignment="1">
      <alignment horizontal="center"/>
    </xf>
    <xf numFmtId="2" fontId="5" fillId="10" borderId="42" xfId="2" applyNumberFormat="1" applyFill="1" applyBorder="1" applyAlignment="1">
      <alignment horizontal="center"/>
    </xf>
    <xf numFmtId="2" fontId="5" fillId="11" borderId="42" xfId="2" applyNumberFormat="1" applyFill="1" applyBorder="1" applyAlignment="1">
      <alignment horizontal="center"/>
    </xf>
    <xf numFmtId="0" fontId="4" fillId="4" borderId="3" xfId="1" applyFont="1" applyFill="1" applyBorder="1" applyAlignment="1">
      <alignment horizontal="center" wrapText="1"/>
    </xf>
    <xf numFmtId="0" fontId="4" fillId="6" borderId="3" xfId="1" applyFont="1" applyFill="1" applyBorder="1" applyAlignment="1">
      <alignment horizontal="center" vertical="center" wrapText="1"/>
    </xf>
    <xf numFmtId="0" fontId="4" fillId="6" borderId="20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4" fillId="4" borderId="3" xfId="1" applyFont="1" applyFill="1" applyBorder="1" applyAlignment="1">
      <alignment horizontal="center" wrapText="1"/>
    </xf>
    <xf numFmtId="0" fontId="4" fillId="5" borderId="3" xfId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0" fillId="9" borderId="19" xfId="0" applyFill="1" applyBorder="1" applyAlignment="1">
      <alignment horizontal="center"/>
    </xf>
    <xf numFmtId="2" fontId="5" fillId="10" borderId="19" xfId="2" applyNumberFormat="1" applyFill="1" applyBorder="1" applyAlignment="1">
      <alignment horizontal="center"/>
    </xf>
    <xf numFmtId="2" fontId="10" fillId="0" borderId="19" xfId="0" applyNumberFormat="1" applyFont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0" fillId="12" borderId="10" xfId="0" applyFont="1" applyFill="1" applyBorder="1" applyAlignment="1">
      <alignment horizontal="center"/>
    </xf>
    <xf numFmtId="0" fontId="0" fillId="12" borderId="19" xfId="0" applyFill="1" applyBorder="1" applyAlignment="1">
      <alignment horizontal="center"/>
    </xf>
    <xf numFmtId="0" fontId="0" fillId="9" borderId="10" xfId="0" applyFont="1" applyFill="1" applyBorder="1" applyAlignment="1">
      <alignment horizontal="center"/>
    </xf>
    <xf numFmtId="0" fontId="4" fillId="5" borderId="41" xfId="1" applyFont="1" applyFill="1" applyBorder="1" applyAlignment="1">
      <alignment horizontal="center" vertical="center" wrapText="1"/>
    </xf>
    <xf numFmtId="2" fontId="5" fillId="10" borderId="10" xfId="2" applyNumberFormat="1" applyFill="1" applyBorder="1" applyAlignment="1">
      <alignment horizontal="center"/>
    </xf>
    <xf numFmtId="2" fontId="5" fillId="11" borderId="10" xfId="2" applyNumberFormat="1" applyFont="1" applyFill="1" applyBorder="1" applyAlignment="1">
      <alignment horizontal="center"/>
    </xf>
    <xf numFmtId="1" fontId="5" fillId="0" borderId="15" xfId="2" applyNumberFormat="1" applyBorder="1" applyAlignment="1">
      <alignment horizontal="center"/>
    </xf>
    <xf numFmtId="1" fontId="3" fillId="10" borderId="16" xfId="1" applyNumberFormat="1" applyFont="1" applyFill="1" applyBorder="1" applyAlignment="1">
      <alignment horizontal="center"/>
    </xf>
    <xf numFmtId="1" fontId="10" fillId="20" borderId="10" xfId="0" applyNumberFormat="1" applyFont="1" applyFill="1" applyBorder="1" applyAlignment="1">
      <alignment horizontal="center"/>
    </xf>
    <xf numFmtId="1" fontId="10" fillId="20" borderId="19" xfId="0" applyNumberFormat="1" applyFont="1" applyFill="1" applyBorder="1" applyAlignment="1">
      <alignment horizontal="center"/>
    </xf>
    <xf numFmtId="164" fontId="20" fillId="0" borderId="13" xfId="2" applyNumberFormat="1" applyFont="1" applyFill="1" applyBorder="1" applyAlignment="1">
      <alignment horizontal="center"/>
    </xf>
    <xf numFmtId="1" fontId="10" fillId="0" borderId="0" xfId="0" applyNumberFormat="1" applyFont="1" applyFill="1" applyBorder="1" applyAlignment="1">
      <alignment horizontal="center"/>
    </xf>
    <xf numFmtId="164" fontId="5" fillId="0" borderId="48" xfId="2" applyNumberFormat="1" applyFill="1" applyBorder="1" applyAlignment="1">
      <alignment horizontal="center"/>
    </xf>
    <xf numFmtId="0" fontId="4" fillId="5" borderId="3" xfId="1" applyFont="1" applyFill="1" applyBorder="1" applyAlignment="1">
      <alignment horizontal="center" vertical="center" wrapText="1"/>
    </xf>
    <xf numFmtId="0" fontId="4" fillId="5" borderId="20" xfId="1" applyFont="1" applyFill="1" applyBorder="1" applyAlignment="1">
      <alignment horizontal="center" vertical="center" wrapText="1"/>
    </xf>
    <xf numFmtId="0" fontId="0" fillId="0" borderId="34" xfId="0" applyFont="1" applyBorder="1" applyAlignment="1">
      <alignment horizontal="center"/>
    </xf>
    <xf numFmtId="49" fontId="0" fillId="0" borderId="66" xfId="0" applyNumberFormat="1" applyFont="1" applyBorder="1" applyAlignment="1">
      <alignment horizontal="center"/>
    </xf>
    <xf numFmtId="0" fontId="0" fillId="12" borderId="36" xfId="0" applyFill="1" applyBorder="1" applyAlignment="1">
      <alignment horizontal="center"/>
    </xf>
    <xf numFmtId="0" fontId="4" fillId="2" borderId="44" xfId="1" applyFont="1" applyFill="1" applyBorder="1" applyAlignment="1">
      <alignment horizontal="center"/>
    </xf>
    <xf numFmtId="4" fontId="0" fillId="0" borderId="0" xfId="0" applyNumberFormat="1"/>
    <xf numFmtId="0" fontId="4" fillId="4" borderId="3" xfId="1" applyFont="1" applyFill="1" applyBorder="1" applyAlignment="1">
      <alignment horizontal="center" wrapText="1"/>
    </xf>
    <xf numFmtId="0" fontId="4" fillId="0" borderId="0" xfId="1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42" xfId="0" applyBorder="1"/>
    <xf numFmtId="0" fontId="0" fillId="0" borderId="19" xfId="0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49" fontId="1" fillId="9" borderId="41" xfId="0" applyNumberFormat="1" applyFont="1" applyFill="1" applyBorder="1" applyAlignment="1">
      <alignment horizontal="center"/>
    </xf>
    <xf numFmtId="4" fontId="0" fillId="9" borderId="55" xfId="0" applyNumberFormat="1" applyFill="1" applyBorder="1" applyAlignment="1">
      <alignment horizontal="center"/>
    </xf>
    <xf numFmtId="4" fontId="0" fillId="9" borderId="10" xfId="0" applyNumberFormat="1" applyFill="1" applyBorder="1" applyAlignment="1">
      <alignment horizontal="center"/>
    </xf>
    <xf numFmtId="4" fontId="1" fillId="9" borderId="19" xfId="0" applyNumberFormat="1" applyFont="1" applyFill="1" applyBorder="1" applyAlignment="1">
      <alignment horizontal="center"/>
    </xf>
    <xf numFmtId="4" fontId="0" fillId="9" borderId="58" xfId="0" applyNumberFormat="1" applyFill="1" applyBorder="1" applyAlignment="1">
      <alignment horizontal="center"/>
    </xf>
    <xf numFmtId="4" fontId="0" fillId="9" borderId="8" xfId="0" applyNumberFormat="1" applyFill="1" applyBorder="1" applyAlignment="1">
      <alignment horizontal="center"/>
    </xf>
    <xf numFmtId="4" fontId="1" fillId="9" borderId="47" xfId="0" applyNumberFormat="1" applyFont="1" applyFill="1" applyBorder="1" applyAlignment="1">
      <alignment horizontal="center"/>
    </xf>
    <xf numFmtId="4" fontId="21" fillId="15" borderId="55" xfId="0" applyNumberFormat="1" applyFont="1" applyFill="1" applyBorder="1" applyAlignment="1">
      <alignment horizontal="center"/>
    </xf>
    <xf numFmtId="4" fontId="21" fillId="8" borderId="10" xfId="0" applyNumberFormat="1" applyFont="1" applyFill="1" applyBorder="1" applyAlignment="1">
      <alignment horizontal="center"/>
    </xf>
    <xf numFmtId="4" fontId="21" fillId="19" borderId="10" xfId="0" applyNumberFormat="1" applyFont="1" applyFill="1" applyBorder="1" applyAlignment="1">
      <alignment horizontal="center"/>
    </xf>
    <xf numFmtId="4" fontId="21" fillId="16" borderId="10" xfId="0" applyNumberFormat="1" applyFont="1" applyFill="1" applyBorder="1" applyAlignment="1">
      <alignment horizontal="center"/>
    </xf>
    <xf numFmtId="4" fontId="1" fillId="0" borderId="0" xfId="0" applyNumberFormat="1" applyFont="1" applyFill="1" applyBorder="1" applyAlignment="1">
      <alignment horizontal="center"/>
    </xf>
    <xf numFmtId="0" fontId="21" fillId="0" borderId="37" xfId="0" applyFont="1" applyBorder="1"/>
    <xf numFmtId="0" fontId="4" fillId="4" borderId="43" xfId="1" applyFont="1" applyFill="1" applyBorder="1" applyAlignment="1">
      <alignment horizontal="center"/>
    </xf>
    <xf numFmtId="0" fontId="4" fillId="4" borderId="44" xfId="1" applyFont="1" applyFill="1" applyBorder="1" applyAlignment="1">
      <alignment horizontal="center"/>
    </xf>
    <xf numFmtId="2" fontId="5" fillId="10" borderId="35" xfId="2" applyNumberFormat="1" applyFill="1" applyBorder="1" applyAlignment="1">
      <alignment horizontal="center"/>
    </xf>
    <xf numFmtId="164" fontId="3" fillId="10" borderId="60" xfId="1" applyNumberFormat="1" applyFont="1" applyFill="1" applyBorder="1" applyAlignment="1">
      <alignment horizontal="center"/>
    </xf>
    <xf numFmtId="9" fontId="2" fillId="0" borderId="12" xfId="3" applyFont="1" applyFill="1" applyBorder="1" applyAlignment="1"/>
    <xf numFmtId="0" fontId="21" fillId="0" borderId="0" xfId="0" applyFont="1" applyFill="1" applyBorder="1"/>
    <xf numFmtId="0" fontId="0" fillId="0" borderId="54" xfId="0" applyBorder="1"/>
    <xf numFmtId="0" fontId="1" fillId="0" borderId="45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4" fillId="2" borderId="41" xfId="1" applyFont="1" applyFill="1" applyBorder="1" applyAlignment="1">
      <alignment horizontal="center"/>
    </xf>
    <xf numFmtId="0" fontId="0" fillId="0" borderId="10" xfId="0" applyBorder="1"/>
    <xf numFmtId="0" fontId="0" fillId="0" borderId="31" xfId="0" applyBorder="1"/>
    <xf numFmtId="2" fontId="5" fillId="10" borderId="55" xfId="2" applyNumberFormat="1" applyFill="1" applyBorder="1" applyAlignment="1">
      <alignment horizontal="center"/>
    </xf>
    <xf numFmtId="0" fontId="0" fillId="12" borderId="7" xfId="0" applyFill="1" applyBorder="1" applyAlignment="1">
      <alignment horizontal="center"/>
    </xf>
    <xf numFmtId="1" fontId="5" fillId="10" borderId="6" xfId="2" applyNumberFormat="1" applyFill="1" applyBorder="1" applyAlignment="1">
      <alignment horizontal="center"/>
    </xf>
    <xf numFmtId="0" fontId="0" fillId="9" borderId="30" xfId="0" applyFill="1" applyBorder="1" applyAlignment="1">
      <alignment horizontal="center"/>
    </xf>
    <xf numFmtId="2" fontId="16" fillId="20" borderId="18" xfId="2" applyNumberFormat="1" applyFont="1" applyFill="1" applyBorder="1" applyAlignment="1">
      <alignment horizontal="center"/>
    </xf>
    <xf numFmtId="0" fontId="0" fillId="0" borderId="27" xfId="0" applyBorder="1"/>
    <xf numFmtId="0" fontId="0" fillId="0" borderId="5" xfId="0" applyBorder="1" applyAlignment="1">
      <alignment horizontal="center"/>
    </xf>
    <xf numFmtId="0" fontId="0" fillId="8" borderId="37" xfId="0" applyFill="1" applyBorder="1" applyAlignment="1">
      <alignment horizontal="center"/>
    </xf>
    <xf numFmtId="2" fontId="5" fillId="10" borderId="30" xfId="2" applyNumberFormat="1" applyFill="1" applyBorder="1"/>
    <xf numFmtId="1" fontId="5" fillId="11" borderId="5" xfId="3" applyNumberFormat="1" applyFont="1" applyFill="1" applyBorder="1" applyAlignment="1">
      <alignment horizontal="center"/>
    </xf>
    <xf numFmtId="1" fontId="5" fillId="0" borderId="49" xfId="2" applyNumberFormat="1" applyBorder="1" applyAlignment="1">
      <alignment horizontal="center"/>
    </xf>
    <xf numFmtId="1" fontId="5" fillId="0" borderId="17" xfId="2" applyNumberFormat="1" applyBorder="1" applyAlignment="1">
      <alignment horizontal="center"/>
    </xf>
    <xf numFmtId="2" fontId="10" fillId="0" borderId="30" xfId="0" applyNumberFormat="1" applyFont="1" applyBorder="1"/>
    <xf numFmtId="4" fontId="10" fillId="0" borderId="0" xfId="0" applyNumberFormat="1" applyFont="1" applyFill="1"/>
    <xf numFmtId="0" fontId="4" fillId="0" borderId="31" xfId="1" applyFont="1" applyFill="1" applyBorder="1" applyAlignment="1">
      <alignment vertical="center" wrapText="1"/>
    </xf>
    <xf numFmtId="0" fontId="0" fillId="0" borderId="68" xfId="0" applyBorder="1"/>
    <xf numFmtId="9" fontId="0" fillId="0" borderId="0" xfId="3" applyFont="1" applyBorder="1"/>
    <xf numFmtId="13" fontId="0" fillId="0" borderId="0" xfId="3" applyNumberFormat="1" applyFont="1"/>
    <xf numFmtId="0" fontId="2" fillId="0" borderId="0" xfId="0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2" fontId="5" fillId="11" borderId="41" xfId="2" applyNumberFormat="1" applyFill="1" applyBorder="1" applyAlignment="1">
      <alignment horizontal="center"/>
    </xf>
    <xf numFmtId="0" fontId="11" fillId="0" borderId="41" xfId="0" applyFont="1" applyBorder="1"/>
    <xf numFmtId="0" fontId="4" fillId="0" borderId="0" xfId="1" applyFont="1" applyFill="1" applyBorder="1" applyAlignment="1">
      <alignment horizontal="center"/>
    </xf>
    <xf numFmtId="0" fontId="10" fillId="0" borderId="0" xfId="0" applyFont="1" applyBorder="1"/>
    <xf numFmtId="0" fontId="1" fillId="0" borderId="0" xfId="0" applyFont="1" applyAlignment="1">
      <alignment horizontal="center"/>
    </xf>
    <xf numFmtId="0" fontId="4" fillId="7" borderId="0" xfId="1" applyFont="1" applyFill="1" applyBorder="1" applyAlignment="1">
      <alignment horizontal="center"/>
    </xf>
    <xf numFmtId="6" fontId="0" fillId="0" borderId="0" xfId="0" applyNumberFormat="1" applyFill="1" applyBorder="1"/>
    <xf numFmtId="8" fontId="0" fillId="0" borderId="0" xfId="0" applyNumberFormat="1" applyFill="1" applyBorder="1"/>
    <xf numFmtId="2" fontId="16" fillId="0" borderId="0" xfId="2" applyNumberFormat="1" applyFont="1" applyFill="1" applyBorder="1" applyAlignment="1">
      <alignment horizontal="center"/>
    </xf>
    <xf numFmtId="0" fontId="1" fillId="0" borderId="72" xfId="0" applyFont="1" applyBorder="1"/>
    <xf numFmtId="0" fontId="1" fillId="0" borderId="73" xfId="0" applyFont="1" applyBorder="1"/>
    <xf numFmtId="0" fontId="1" fillId="0" borderId="74" xfId="0" applyFont="1" applyBorder="1" applyAlignment="1">
      <alignment horizontal="center"/>
    </xf>
    <xf numFmtId="0" fontId="0" fillId="12" borderId="35" xfId="0" applyFill="1" applyBorder="1" applyAlignment="1">
      <alignment horizontal="center"/>
    </xf>
    <xf numFmtId="2" fontId="5" fillId="0" borderId="44" xfId="2" applyNumberFormat="1" applyBorder="1" applyAlignment="1">
      <alignment horizontal="center"/>
    </xf>
    <xf numFmtId="0" fontId="0" fillId="9" borderId="20" xfId="0" applyFill="1" applyBorder="1" applyAlignment="1">
      <alignment horizontal="center"/>
    </xf>
    <xf numFmtId="2" fontId="5" fillId="11" borderId="20" xfId="2" applyNumberFormat="1" applyFill="1" applyBorder="1"/>
    <xf numFmtId="164" fontId="5" fillId="0" borderId="32" xfId="2" applyNumberFormat="1" applyBorder="1" applyAlignment="1">
      <alignment horizontal="center"/>
    </xf>
    <xf numFmtId="1" fontId="3" fillId="10" borderId="26" xfId="1" applyNumberFormat="1" applyFont="1" applyFill="1" applyBorder="1" applyAlignment="1">
      <alignment horizontal="center"/>
    </xf>
    <xf numFmtId="0" fontId="0" fillId="22" borderId="0" xfId="0" applyFill="1" applyBorder="1" applyAlignment="1"/>
    <xf numFmtId="0" fontId="3" fillId="4" borderId="55" xfId="1" applyFont="1" applyFill="1" applyBorder="1" applyAlignment="1">
      <alignment horizontal="center"/>
    </xf>
    <xf numFmtId="1" fontId="1" fillId="21" borderId="0" xfId="0" applyNumberFormat="1" applyFont="1" applyFill="1" applyBorder="1" applyAlignment="1">
      <alignment horizontal="center"/>
    </xf>
    <xf numFmtId="0" fontId="22" fillId="0" borderId="11" xfId="0" applyFont="1" applyBorder="1"/>
    <xf numFmtId="0" fontId="22" fillId="0" borderId="11" xfId="0" applyFont="1" applyFill="1" applyBorder="1"/>
    <xf numFmtId="0" fontId="22" fillId="0" borderId="71" xfId="0" applyFont="1" applyBorder="1"/>
    <xf numFmtId="0" fontId="22" fillId="0" borderId="71" xfId="0" applyFont="1" applyFill="1" applyBorder="1"/>
    <xf numFmtId="0" fontId="22" fillId="0" borderId="45" xfId="0" applyFont="1" applyFill="1" applyBorder="1"/>
    <xf numFmtId="0" fontId="22" fillId="0" borderId="51" xfId="0" applyFont="1" applyFill="1" applyBorder="1"/>
    <xf numFmtId="0" fontId="22" fillId="0" borderId="14" xfId="0" applyFont="1" applyFill="1" applyBorder="1"/>
    <xf numFmtId="9" fontId="22" fillId="0" borderId="45" xfId="3" applyFont="1" applyBorder="1"/>
    <xf numFmtId="9" fontId="22" fillId="0" borderId="51" xfId="3" applyFont="1" applyBorder="1"/>
    <xf numFmtId="0" fontId="22" fillId="0" borderId="18" xfId="0" applyFont="1" applyFill="1" applyBorder="1"/>
    <xf numFmtId="0" fontId="22" fillId="0" borderId="18" xfId="0" applyFont="1" applyBorder="1"/>
    <xf numFmtId="0" fontId="22" fillId="0" borderId="28" xfId="0" applyFont="1" applyFill="1" applyBorder="1"/>
    <xf numFmtId="0" fontId="22" fillId="0" borderId="48" xfId="0" applyFont="1" applyFill="1" applyBorder="1"/>
    <xf numFmtId="0" fontId="22" fillId="0" borderId="48" xfId="0" applyFont="1" applyBorder="1"/>
    <xf numFmtId="9" fontId="22" fillId="0" borderId="48" xfId="3" applyFont="1" applyBorder="1"/>
    <xf numFmtId="9" fontId="22" fillId="0" borderId="16" xfId="3" applyFont="1" applyBorder="1"/>
    <xf numFmtId="0" fontId="22" fillId="0" borderId="37" xfId="0" applyFont="1" applyFill="1" applyBorder="1"/>
    <xf numFmtId="0" fontId="22" fillId="0" borderId="50" xfId="0" applyFont="1" applyFill="1" applyBorder="1"/>
    <xf numFmtId="0" fontId="22" fillId="0" borderId="76" xfId="0" applyFont="1" applyFill="1" applyBorder="1"/>
    <xf numFmtId="0" fontId="22" fillId="0" borderId="37" xfId="0" applyFont="1" applyBorder="1"/>
    <xf numFmtId="0" fontId="22" fillId="0" borderId="49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4" fillId="3" borderId="34" xfId="1" applyFont="1" applyFill="1" applyBorder="1" applyAlignment="1">
      <alignment horizontal="center"/>
    </xf>
    <xf numFmtId="1" fontId="10" fillId="0" borderId="0" xfId="0" applyNumberFormat="1" applyFont="1" applyBorder="1" applyAlignment="1">
      <alignment horizontal="center"/>
    </xf>
    <xf numFmtId="0" fontId="0" fillId="0" borderId="0" xfId="0" applyFont="1"/>
    <xf numFmtId="49" fontId="22" fillId="0" borderId="0" xfId="0" applyNumberFormat="1" applyFont="1" applyBorder="1" applyAlignment="1"/>
    <xf numFmtId="0" fontId="23" fillId="0" borderId="0" xfId="0" applyFont="1" applyBorder="1"/>
    <xf numFmtId="0" fontId="0" fillId="0" borderId="0" xfId="0" applyFont="1" applyFill="1" applyBorder="1"/>
    <xf numFmtId="0" fontId="23" fillId="0" borderId="0" xfId="0" applyFont="1" applyFill="1" applyBorder="1"/>
    <xf numFmtId="0" fontId="0" fillId="0" borderId="0" xfId="0" applyFont="1" applyBorder="1"/>
    <xf numFmtId="0" fontId="19" fillId="0" borderId="0" xfId="0" applyFont="1" applyBorder="1"/>
    <xf numFmtId="0" fontId="25" fillId="0" borderId="0" xfId="0" applyFont="1" applyBorder="1"/>
    <xf numFmtId="0" fontId="26" fillId="0" borderId="0" xfId="0" applyFont="1" applyBorder="1"/>
    <xf numFmtId="0" fontId="26" fillId="0" borderId="0" xfId="0" applyFont="1"/>
    <xf numFmtId="0" fontId="22" fillId="0" borderId="0" xfId="0" applyFont="1"/>
    <xf numFmtId="49" fontId="0" fillId="0" borderId="0" xfId="0" applyNumberFormat="1"/>
    <xf numFmtId="9" fontId="1" fillId="0" borderId="11" xfId="0" applyNumberFormat="1" applyFont="1" applyBorder="1"/>
    <xf numFmtId="0" fontId="27" fillId="0" borderId="0" xfId="0" applyFont="1" applyBorder="1"/>
    <xf numFmtId="0" fontId="24" fillId="0" borderId="0" xfId="0" applyFont="1" applyFill="1" applyBorder="1"/>
    <xf numFmtId="0" fontId="27" fillId="0" borderId="0" xfId="0" applyFont="1"/>
    <xf numFmtId="0" fontId="1" fillId="0" borderId="13" xfId="0" applyFont="1" applyBorder="1"/>
    <xf numFmtId="0" fontId="1" fillId="9" borderId="76" xfId="0" applyFont="1" applyFill="1" applyBorder="1" applyAlignment="1">
      <alignment horizontal="center" vertical="center"/>
    </xf>
    <xf numFmtId="164" fontId="10" fillId="0" borderId="13" xfId="0" applyNumberFormat="1" applyFont="1" applyBorder="1"/>
    <xf numFmtId="0" fontId="10" fillId="9" borderId="14" xfId="0" applyFont="1" applyFill="1" applyBorder="1" applyAlignment="1">
      <alignment vertical="center"/>
    </xf>
    <xf numFmtId="164" fontId="10" fillId="0" borderId="15" xfId="0" applyNumberFormat="1" applyFont="1" applyBorder="1"/>
    <xf numFmtId="0" fontId="10" fillId="0" borderId="48" xfId="0" applyFont="1" applyBorder="1"/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2" fontId="10" fillId="20" borderId="3" xfId="0" applyNumberFormat="1" applyFont="1" applyFill="1" applyBorder="1" applyAlignment="1">
      <alignment horizontal="center"/>
    </xf>
    <xf numFmtId="2" fontId="10" fillId="20" borderId="42" xfId="0" applyNumberFormat="1" applyFont="1" applyFill="1" applyBorder="1" applyAlignment="1">
      <alignment horizontal="center"/>
    </xf>
    <xf numFmtId="0" fontId="1" fillId="16" borderId="71" xfId="0" applyFont="1" applyFill="1" applyBorder="1" applyAlignment="1">
      <alignment horizontal="center" vertical="center"/>
    </xf>
    <xf numFmtId="0" fontId="10" fillId="16" borderId="11" xfId="0" applyFont="1" applyFill="1" applyBorder="1" applyAlignment="1">
      <alignment vertical="center"/>
    </xf>
    <xf numFmtId="0" fontId="10" fillId="16" borderId="48" xfId="0" applyFont="1" applyFill="1" applyBorder="1" applyAlignment="1">
      <alignment vertical="center"/>
    </xf>
    <xf numFmtId="0" fontId="6" fillId="0" borderId="0" xfId="0" applyFont="1"/>
    <xf numFmtId="2" fontId="1" fillId="0" borderId="0" xfId="0" applyNumberFormat="1" applyFont="1"/>
    <xf numFmtId="0" fontId="0" fillId="0" borderId="47" xfId="0" applyBorder="1"/>
    <xf numFmtId="1" fontId="5" fillId="0" borderId="19" xfId="2" applyNumberFormat="1" applyFill="1" applyBorder="1" applyAlignment="1">
      <alignment horizontal="center"/>
    </xf>
    <xf numFmtId="0" fontId="10" fillId="20" borderId="3" xfId="0" applyFont="1" applyFill="1" applyBorder="1"/>
    <xf numFmtId="0" fontId="10" fillId="20" borderId="41" xfId="0" applyFont="1" applyFill="1" applyBorder="1"/>
    <xf numFmtId="2" fontId="11" fillId="20" borderId="42" xfId="0" applyNumberFormat="1" applyFont="1" applyFill="1" applyBorder="1" applyAlignment="1">
      <alignment horizontal="center"/>
    </xf>
    <xf numFmtId="1" fontId="3" fillId="10" borderId="15" xfId="1" applyNumberFormat="1" applyFont="1" applyFill="1" applyBorder="1" applyAlignment="1">
      <alignment horizontal="center"/>
    </xf>
    <xf numFmtId="0" fontId="4" fillId="7" borderId="13" xfId="1" applyFont="1" applyFill="1" applyBorder="1" applyAlignment="1">
      <alignment horizontal="center"/>
    </xf>
    <xf numFmtId="0" fontId="4" fillId="7" borderId="14" xfId="1" applyFont="1" applyFill="1" applyBorder="1" applyAlignment="1">
      <alignment horizontal="center"/>
    </xf>
    <xf numFmtId="0" fontId="3" fillId="3" borderId="55" xfId="1" applyFont="1" applyFill="1" applyBorder="1" applyAlignment="1">
      <alignment horizontal="center"/>
    </xf>
    <xf numFmtId="0" fontId="3" fillId="0" borderId="58" xfId="1" applyFont="1" applyFill="1" applyBorder="1" applyAlignment="1">
      <alignment horizontal="left"/>
    </xf>
    <xf numFmtId="0" fontId="0" fillId="9" borderId="11" xfId="0" applyFill="1" applyBorder="1" applyAlignment="1">
      <alignment horizontal="center"/>
    </xf>
    <xf numFmtId="0" fontId="4" fillId="3" borderId="35" xfId="1" applyFont="1" applyFill="1" applyBorder="1" applyAlignment="1">
      <alignment horizontal="center"/>
    </xf>
    <xf numFmtId="9" fontId="1" fillId="0" borderId="14" xfId="0" applyNumberFormat="1" applyFont="1" applyBorder="1"/>
    <xf numFmtId="0" fontId="1" fillId="0" borderId="0" xfId="0" applyFont="1" applyBorder="1" applyAlignment="1">
      <alignment horizontal="center"/>
    </xf>
    <xf numFmtId="164" fontId="10" fillId="0" borderId="0" xfId="0" applyNumberFormat="1" applyFont="1" applyFill="1" applyBorder="1" applyAlignment="1"/>
    <xf numFmtId="1" fontId="0" fillId="0" borderId="0" xfId="0" applyNumberFormat="1" applyFill="1" applyBorder="1" applyAlignment="1"/>
    <xf numFmtId="1" fontId="4" fillId="0" borderId="0" xfId="1" applyNumberFormat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0" fillId="0" borderId="18" xfId="3" applyNumberFormat="1" applyFont="1" applyBorder="1"/>
    <xf numFmtId="0" fontId="1" fillId="0" borderId="11" xfId="0" applyFont="1" applyBorder="1"/>
    <xf numFmtId="0" fontId="1" fillId="13" borderId="11" xfId="0" applyFont="1" applyFill="1" applyBorder="1" applyAlignment="1">
      <alignment horizontal="center"/>
    </xf>
    <xf numFmtId="0" fontId="0" fillId="0" borderId="11" xfId="0" applyFont="1" applyBorder="1"/>
    <xf numFmtId="0" fontId="1" fillId="16" borderId="72" xfId="0" applyFont="1" applyFill="1" applyBorder="1" applyAlignment="1">
      <alignment horizontal="center" vertical="center"/>
    </xf>
    <xf numFmtId="0" fontId="1" fillId="9" borderId="74" xfId="0" applyFont="1" applyFill="1" applyBorder="1" applyAlignment="1">
      <alignment horizontal="center" vertical="center"/>
    </xf>
    <xf numFmtId="2" fontId="3" fillId="0" borderId="0" xfId="1" applyNumberFormat="1" applyFont="1" applyFill="1" applyBorder="1" applyAlignment="1">
      <alignment horizontal="center"/>
    </xf>
    <xf numFmtId="1" fontId="14" fillId="0" borderId="0" xfId="1" applyNumberFormat="1" applyFont="1" applyFill="1" applyBorder="1" applyAlignment="1">
      <alignment horizontal="center"/>
    </xf>
    <xf numFmtId="164" fontId="10" fillId="0" borderId="0" xfId="0" applyNumberFormat="1" applyFont="1" applyFill="1" applyBorder="1"/>
    <xf numFmtId="0" fontId="10" fillId="0" borderId="0" xfId="0" applyFont="1" applyFill="1" applyBorder="1" applyAlignment="1">
      <alignment vertical="center"/>
    </xf>
    <xf numFmtId="2" fontId="11" fillId="0" borderId="0" xfId="0" applyNumberFormat="1" applyFont="1" applyFill="1" applyBorder="1" applyAlignment="1">
      <alignment horizontal="center"/>
    </xf>
    <xf numFmtId="0" fontId="4" fillId="7" borderId="78" xfId="1" applyFont="1" applyFill="1" applyBorder="1" applyAlignment="1">
      <alignment horizontal="center"/>
    </xf>
    <xf numFmtId="0" fontId="1" fillId="0" borderId="69" xfId="0" applyFont="1" applyBorder="1"/>
    <xf numFmtId="0" fontId="10" fillId="20" borderId="16" xfId="0" applyFont="1" applyFill="1" applyBorder="1"/>
    <xf numFmtId="1" fontId="12" fillId="21" borderId="0" xfId="1" applyNumberFormat="1" applyFont="1" applyFill="1" applyBorder="1" applyAlignment="1">
      <alignment horizontal="center"/>
    </xf>
    <xf numFmtId="1" fontId="10" fillId="21" borderId="0" xfId="0" applyNumberFormat="1" applyFont="1" applyFill="1" applyAlignment="1">
      <alignment horizontal="center"/>
    </xf>
    <xf numFmtId="164" fontId="21" fillId="0" borderId="69" xfId="0" applyNumberFormat="1" applyFont="1" applyBorder="1"/>
    <xf numFmtId="0" fontId="21" fillId="16" borderId="63" xfId="0" applyFont="1" applyFill="1" applyBorder="1" applyAlignment="1">
      <alignment horizontal="center" vertical="center"/>
    </xf>
    <xf numFmtId="0" fontId="21" fillId="9" borderId="76" xfId="0" applyFont="1" applyFill="1" applyBorder="1" applyAlignment="1">
      <alignment horizontal="center" vertical="center"/>
    </xf>
    <xf numFmtId="0" fontId="21" fillId="16" borderId="13" xfId="0" applyFont="1" applyFill="1" applyBorder="1" applyAlignment="1">
      <alignment vertical="center"/>
    </xf>
    <xf numFmtId="0" fontId="21" fillId="9" borderId="14" xfId="0" applyFont="1" applyFill="1" applyBorder="1" applyAlignment="1">
      <alignment vertical="center"/>
    </xf>
    <xf numFmtId="0" fontId="21" fillId="16" borderId="15" xfId="0" applyFont="1" applyFill="1" applyBorder="1" applyAlignment="1">
      <alignment vertical="center"/>
    </xf>
    <xf numFmtId="0" fontId="21" fillId="9" borderId="16" xfId="0" applyFont="1" applyFill="1" applyBorder="1" applyAlignment="1">
      <alignment vertical="center"/>
    </xf>
    <xf numFmtId="1" fontId="3" fillId="6" borderId="58" xfId="1" applyNumberFormat="1" applyFont="1" applyFill="1" applyBorder="1" applyAlignment="1">
      <alignment horizontal="center" vertical="center" wrapText="1"/>
    </xf>
    <xf numFmtId="2" fontId="5" fillId="11" borderId="22" xfId="2" applyNumberFormat="1" applyFill="1" applyBorder="1" applyAlignment="1">
      <alignment horizontal="center"/>
    </xf>
    <xf numFmtId="2" fontId="5" fillId="11" borderId="64" xfId="2" applyNumberFormat="1" applyFill="1" applyBorder="1" applyAlignment="1">
      <alignment horizontal="center"/>
    </xf>
    <xf numFmtId="2" fontId="5" fillId="11" borderId="47" xfId="2" applyNumberFormat="1" applyFill="1" applyBorder="1" applyAlignment="1">
      <alignment horizontal="center"/>
    </xf>
    <xf numFmtId="0" fontId="4" fillId="3" borderId="79" xfId="1" applyFont="1" applyFill="1" applyBorder="1" applyAlignment="1">
      <alignment horizontal="center"/>
    </xf>
    <xf numFmtId="1" fontId="5" fillId="0" borderId="55" xfId="2" applyNumberFormat="1" applyFill="1" applyBorder="1" applyAlignment="1">
      <alignment horizontal="center"/>
    </xf>
    <xf numFmtId="1" fontId="5" fillId="0" borderId="10" xfId="2" applyNumberFormat="1" applyFill="1" applyBorder="1" applyAlignment="1">
      <alignment horizontal="center"/>
    </xf>
    <xf numFmtId="2" fontId="5" fillId="0" borderId="22" xfId="2" applyNumberFormat="1" applyBorder="1" applyAlignment="1">
      <alignment horizontal="center"/>
    </xf>
    <xf numFmtId="2" fontId="5" fillId="0" borderId="64" xfId="2" applyNumberFormat="1" applyBorder="1" applyAlignment="1">
      <alignment horizontal="center"/>
    </xf>
    <xf numFmtId="2" fontId="5" fillId="0" borderId="47" xfId="2" applyNumberFormat="1" applyBorder="1" applyAlignment="1">
      <alignment horizontal="center"/>
    </xf>
    <xf numFmtId="49" fontId="22" fillId="0" borderId="0" xfId="0" applyNumberFormat="1" applyFont="1" applyFill="1" applyBorder="1" applyAlignment="1"/>
    <xf numFmtId="4" fontId="1" fillId="14" borderId="42" xfId="0" applyNumberFormat="1" applyFont="1" applyFill="1" applyBorder="1" applyAlignment="1">
      <alignment horizontal="center"/>
    </xf>
    <xf numFmtId="4" fontId="1" fillId="9" borderId="64" xfId="0" applyNumberFormat="1" applyFont="1" applyFill="1" applyBorder="1" applyAlignment="1">
      <alignment horizontal="center"/>
    </xf>
    <xf numFmtId="0" fontId="0" fillId="15" borderId="22" xfId="0" applyFill="1" applyBorder="1"/>
    <xf numFmtId="4" fontId="0" fillId="15" borderId="7" xfId="0" applyNumberFormat="1" applyFill="1" applyBorder="1" applyAlignment="1">
      <alignment horizontal="center"/>
    </xf>
    <xf numFmtId="4" fontId="0" fillId="9" borderId="7" xfId="0" applyNumberFormat="1" applyFill="1" applyBorder="1" applyAlignment="1">
      <alignment horizontal="center"/>
    </xf>
    <xf numFmtId="4" fontId="0" fillId="15" borderId="36" xfId="0" applyNumberFormat="1" applyFill="1" applyBorder="1" applyAlignment="1">
      <alignment horizontal="center"/>
    </xf>
    <xf numFmtId="4" fontId="0" fillId="9" borderId="22" xfId="0" applyNumberFormat="1" applyFill="1" applyBorder="1" applyAlignment="1">
      <alignment horizontal="center"/>
    </xf>
    <xf numFmtId="4" fontId="0" fillId="15" borderId="22" xfId="0" applyNumberFormat="1" applyFill="1" applyBorder="1" applyAlignment="1">
      <alignment horizontal="center"/>
    </xf>
    <xf numFmtId="4" fontId="0" fillId="16" borderId="8" xfId="0" applyNumberFormat="1" applyFill="1" applyBorder="1" applyAlignment="1">
      <alignment horizontal="center"/>
    </xf>
    <xf numFmtId="0" fontId="4" fillId="2" borderId="40" xfId="1" applyFont="1" applyFill="1" applyBorder="1" applyAlignment="1">
      <alignment horizontal="center"/>
    </xf>
    <xf numFmtId="0" fontId="4" fillId="4" borderId="0" xfId="1" applyFont="1" applyFill="1" applyBorder="1" applyAlignment="1">
      <alignment horizontal="center"/>
    </xf>
    <xf numFmtId="0" fontId="4" fillId="5" borderId="66" xfId="1" applyFont="1" applyFill="1" applyBorder="1" applyAlignment="1">
      <alignment horizontal="center" vertical="center" wrapText="1"/>
    </xf>
    <xf numFmtId="0" fontId="4" fillId="6" borderId="31" xfId="1" applyFont="1" applyFill="1" applyBorder="1" applyAlignment="1">
      <alignment horizontal="center" vertical="center" wrapText="1"/>
    </xf>
    <xf numFmtId="0" fontId="4" fillId="3" borderId="0" xfId="1" applyFont="1" applyFill="1" applyBorder="1" applyAlignment="1">
      <alignment horizontal="center"/>
    </xf>
    <xf numFmtId="0" fontId="4" fillId="7" borderId="40" xfId="1" applyFont="1" applyFill="1" applyBorder="1" applyAlignment="1">
      <alignment horizontal="center"/>
    </xf>
    <xf numFmtId="0" fontId="1" fillId="0" borderId="63" xfId="0" applyFont="1" applyBorder="1"/>
    <xf numFmtId="9" fontId="1" fillId="0" borderId="76" xfId="0" applyNumberFormat="1" applyFont="1" applyBorder="1"/>
    <xf numFmtId="0" fontId="0" fillId="0" borderId="4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8" borderId="70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2" fontId="5" fillId="10" borderId="34" xfId="2" applyNumberFormat="1" applyFill="1" applyBorder="1"/>
    <xf numFmtId="2" fontId="5" fillId="11" borderId="3" xfId="2" applyNumberFormat="1" applyFill="1" applyBorder="1"/>
    <xf numFmtId="1" fontId="3" fillId="10" borderId="80" xfId="1" applyNumberFormat="1" applyFont="1" applyFill="1" applyBorder="1" applyAlignment="1">
      <alignment horizontal="center"/>
    </xf>
    <xf numFmtId="164" fontId="10" fillId="0" borderId="72" xfId="0" applyNumberFormat="1" applyFont="1" applyBorder="1"/>
    <xf numFmtId="0" fontId="10" fillId="0" borderId="74" xfId="0" applyFont="1" applyBorder="1"/>
    <xf numFmtId="0" fontId="0" fillId="9" borderId="48" xfId="0" applyFill="1" applyBorder="1" applyAlignment="1">
      <alignment horizontal="center"/>
    </xf>
    <xf numFmtId="2" fontId="5" fillId="11" borderId="48" xfId="2" applyNumberFormat="1" applyFill="1" applyBorder="1"/>
    <xf numFmtId="0" fontId="10" fillId="9" borderId="48" xfId="0" applyFont="1" applyFill="1" applyBorder="1" applyAlignment="1">
      <alignment vertical="center"/>
    </xf>
    <xf numFmtId="0" fontId="1" fillId="0" borderId="0" xfId="0" applyFont="1" applyFill="1" applyBorder="1"/>
    <xf numFmtId="49" fontId="0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4" fontId="0" fillId="0" borderId="0" xfId="0" applyNumberFormat="1" applyFill="1" applyBorder="1" applyAlignment="1">
      <alignment horizontal="center"/>
    </xf>
    <xf numFmtId="4" fontId="2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22" fillId="0" borderId="68" xfId="0" applyFont="1" applyFill="1" applyBorder="1"/>
    <xf numFmtId="1" fontId="0" fillId="21" borderId="0" xfId="0" applyNumberFormat="1" applyFont="1" applyFill="1" applyAlignment="1">
      <alignment horizontal="center"/>
    </xf>
    <xf numFmtId="2" fontId="0" fillId="8" borderId="59" xfId="0" applyNumberFormat="1" applyFill="1" applyBorder="1" applyAlignment="1">
      <alignment horizontal="center"/>
    </xf>
    <xf numFmtId="2" fontId="5" fillId="0" borderId="55" xfId="2" applyNumberFormat="1" applyBorder="1" applyAlignment="1">
      <alignment horizontal="center"/>
    </xf>
    <xf numFmtId="0" fontId="0" fillId="9" borderId="55" xfId="0" applyFill="1" applyBorder="1" applyAlignment="1">
      <alignment horizontal="center"/>
    </xf>
    <xf numFmtId="2" fontId="5" fillId="10" borderId="56" xfId="2" applyNumberFormat="1" applyFill="1" applyBorder="1"/>
    <xf numFmtId="2" fontId="5" fillId="11" borderId="55" xfId="2" applyNumberFormat="1" applyFill="1" applyBorder="1"/>
    <xf numFmtId="1" fontId="5" fillId="11" borderId="58" xfId="3" applyNumberFormat="1" applyFont="1" applyFill="1" applyBorder="1" applyAlignment="1">
      <alignment horizontal="center"/>
    </xf>
    <xf numFmtId="1" fontId="5" fillId="0" borderId="54" xfId="2" applyNumberFormat="1" applyBorder="1" applyAlignment="1">
      <alignment horizontal="center"/>
    </xf>
    <xf numFmtId="1" fontId="5" fillId="0" borderId="59" xfId="2" applyNumberFormat="1" applyBorder="1" applyAlignment="1">
      <alignment horizontal="center"/>
    </xf>
    <xf numFmtId="1" fontId="3" fillId="10" borderId="51" xfId="1" applyNumberFormat="1" applyFont="1" applyFill="1" applyBorder="1" applyAlignment="1">
      <alignment horizontal="center"/>
    </xf>
    <xf numFmtId="2" fontId="10" fillId="0" borderId="55" xfId="0" applyNumberFormat="1" applyFont="1" applyBorder="1"/>
    <xf numFmtId="0" fontId="0" fillId="0" borderId="55" xfId="0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9" fillId="0" borderId="0" xfId="0" applyFont="1"/>
    <xf numFmtId="0" fontId="11" fillId="0" borderId="0" xfId="0" applyFont="1" applyBorder="1"/>
    <xf numFmtId="0" fontId="25" fillId="0" borderId="0" xfId="0" applyFont="1" applyFill="1" applyBorder="1"/>
    <xf numFmtId="0" fontId="28" fillId="0" borderId="0" xfId="0" applyFont="1"/>
    <xf numFmtId="49" fontId="29" fillId="0" borderId="0" xfId="0" applyNumberFormat="1" applyFont="1" applyFill="1" applyBorder="1" applyAlignment="1"/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4" fillId="4" borderId="3" xfId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30" fillId="0" borderId="0" xfId="0" applyFont="1" applyBorder="1"/>
    <xf numFmtId="0" fontId="21" fillId="0" borderId="0" xfId="0" applyFont="1"/>
    <xf numFmtId="0" fontId="30" fillId="0" borderId="0" xfId="0" applyFont="1" applyFill="1" applyBorder="1"/>
    <xf numFmtId="1" fontId="12" fillId="0" borderId="0" xfId="1" applyNumberFormat="1" applyFont="1" applyFill="1" applyBorder="1" applyAlignment="1">
      <alignment horizontal="center"/>
    </xf>
    <xf numFmtId="0" fontId="28" fillId="0" borderId="0" xfId="0" applyFont="1" applyFill="1" applyBorder="1"/>
    <xf numFmtId="0" fontId="28" fillId="0" borderId="0" xfId="0" applyFont="1" applyBorder="1"/>
    <xf numFmtId="2" fontId="10" fillId="20" borderId="57" xfId="0" applyNumberFormat="1" applyFont="1" applyFill="1" applyBorder="1" applyAlignment="1">
      <alignment horizontal="center"/>
    </xf>
    <xf numFmtId="0" fontId="1" fillId="0" borderId="60" xfId="0" applyFont="1" applyBorder="1"/>
    <xf numFmtId="0" fontId="0" fillId="0" borderId="22" xfId="0" applyBorder="1"/>
    <xf numFmtId="0" fontId="0" fillId="0" borderId="11" xfId="3" applyNumberFormat="1" applyFont="1" applyBorder="1"/>
    <xf numFmtId="0" fontId="3" fillId="6" borderId="3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/>
    </xf>
    <xf numFmtId="0" fontId="4" fillId="3" borderId="10" xfId="1" applyFont="1" applyFill="1" applyBorder="1" applyAlignment="1">
      <alignment horizontal="center"/>
    </xf>
    <xf numFmtId="0" fontId="4" fillId="4" borderId="10" xfId="1" applyFont="1" applyFill="1" applyBorder="1" applyAlignment="1">
      <alignment horizontal="center"/>
    </xf>
    <xf numFmtId="0" fontId="4" fillId="5" borderId="69" xfId="1" applyFont="1" applyFill="1" applyBorder="1" applyAlignment="1">
      <alignment horizontal="center" vertical="center" wrapText="1"/>
    </xf>
    <xf numFmtId="0" fontId="3" fillId="6" borderId="11" xfId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10" fillId="20" borderId="11" xfId="0" applyFont="1" applyFill="1" applyBorder="1"/>
    <xf numFmtId="0" fontId="0" fillId="0" borderId="0" xfId="0" applyAlignment="1">
      <alignment vertical="center" textRotation="90"/>
    </xf>
    <xf numFmtId="0" fontId="21" fillId="0" borderId="10" xfId="0" applyFont="1" applyBorder="1" applyAlignment="1">
      <alignment horizontal="center"/>
    </xf>
    <xf numFmtId="2" fontId="5" fillId="10" borderId="69" xfId="2" applyNumberFormat="1" applyFill="1" applyBorder="1" applyAlignment="1">
      <alignment horizontal="center"/>
    </xf>
    <xf numFmtId="2" fontId="5" fillId="11" borderId="11" xfId="2" applyNumberFormat="1" applyFont="1" applyFill="1" applyBorder="1" applyAlignment="1">
      <alignment horizontal="center"/>
    </xf>
    <xf numFmtId="2" fontId="10" fillId="20" borderId="11" xfId="0" applyNumberFormat="1" applyFont="1" applyFill="1" applyBorder="1" applyAlignment="1">
      <alignment horizontal="center"/>
    </xf>
    <xf numFmtId="0" fontId="21" fillId="0" borderId="19" xfId="0" applyFont="1" applyBorder="1" applyAlignment="1">
      <alignment horizontal="center"/>
    </xf>
    <xf numFmtId="1" fontId="15" fillId="21" borderId="0" xfId="2" applyNumberFormat="1" applyFont="1" applyFill="1" applyBorder="1" applyAlignment="1">
      <alignment horizontal="center"/>
    </xf>
    <xf numFmtId="0" fontId="0" fillId="0" borderId="0" xfId="0" applyAlignment="1">
      <alignment horizontal="center" textRotation="255" wrapText="1"/>
    </xf>
    <xf numFmtId="1" fontId="0" fillId="0" borderId="0" xfId="3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1" fontId="1" fillId="21" borderId="0" xfId="3" applyNumberFormat="1" applyFont="1" applyFill="1" applyAlignment="1">
      <alignment horizontal="center"/>
    </xf>
    <xf numFmtId="0" fontId="0" fillId="21" borderId="0" xfId="0" applyFill="1"/>
    <xf numFmtId="1" fontId="10" fillId="0" borderId="11" xfId="3" applyNumberFormat="1" applyFont="1" applyFill="1" applyBorder="1" applyAlignment="1"/>
    <xf numFmtId="1" fontId="10" fillId="0" borderId="0" xfId="3" applyNumberFormat="1" applyFont="1" applyFill="1" applyBorder="1" applyAlignment="1"/>
    <xf numFmtId="1" fontId="1" fillId="21" borderId="0" xfId="0" applyNumberFormat="1" applyFont="1" applyFill="1"/>
    <xf numFmtId="1" fontId="1" fillId="0" borderId="0" xfId="0" applyNumberFormat="1" applyFont="1" applyFill="1" applyBorder="1"/>
    <xf numFmtId="0" fontId="31" fillId="21" borderId="0" xfId="0" applyFont="1" applyFill="1"/>
    <xf numFmtId="0" fontId="1" fillId="0" borderId="0" xfId="0" applyFont="1" applyAlignment="1">
      <alignment horizontal="left"/>
    </xf>
    <xf numFmtId="0" fontId="4" fillId="6" borderId="3" xfId="1" applyFont="1" applyFill="1" applyBorder="1" applyAlignment="1">
      <alignment horizontal="center" vertical="center" wrapText="1"/>
    </xf>
    <xf numFmtId="0" fontId="4" fillId="6" borderId="2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/>
    </xf>
    <xf numFmtId="0" fontId="4" fillId="4" borderId="3" xfId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4" fillId="2" borderId="3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21" fillId="0" borderId="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" fontId="0" fillId="0" borderId="11" xfId="0" applyNumberFormat="1" applyBorder="1"/>
    <xf numFmtId="2" fontId="0" fillId="8" borderId="0" xfId="0" applyNumberFormat="1" applyFill="1" applyBorder="1" applyAlignment="1">
      <alignment horizontal="center"/>
    </xf>
    <xf numFmtId="0" fontId="0" fillId="0" borderId="66" xfId="0" applyBorder="1" applyAlignment="1">
      <alignment horizontal="center"/>
    </xf>
    <xf numFmtId="2" fontId="5" fillId="10" borderId="66" xfId="2" applyNumberFormat="1" applyFill="1" applyBorder="1"/>
    <xf numFmtId="2" fontId="5" fillId="11" borderId="41" xfId="2" applyNumberFormat="1" applyFill="1" applyBorder="1"/>
    <xf numFmtId="0" fontId="0" fillId="0" borderId="11" xfId="0" applyBorder="1" applyAlignment="1">
      <alignment vertical="center" wrapText="1"/>
    </xf>
    <xf numFmtId="2" fontId="0" fillId="8" borderId="11" xfId="0" applyNumberFormat="1" applyFill="1" applyBorder="1" applyAlignment="1">
      <alignment horizontal="center"/>
    </xf>
    <xf numFmtId="2" fontId="5" fillId="10" borderId="11" xfId="2" applyNumberFormat="1" applyFill="1" applyBorder="1"/>
    <xf numFmtId="2" fontId="5" fillId="11" borderId="11" xfId="2" applyNumberFormat="1" applyFill="1" applyBorder="1"/>
    <xf numFmtId="1" fontId="3" fillId="10" borderId="11" xfId="1" applyNumberFormat="1" applyFont="1" applyFill="1" applyBorder="1" applyAlignment="1">
      <alignment horizontal="center"/>
    </xf>
    <xf numFmtId="6" fontId="0" fillId="0" borderId="0" xfId="0" applyNumberFormat="1" applyAlignment="1">
      <alignment horizontal="center"/>
    </xf>
    <xf numFmtId="0" fontId="10" fillId="0" borderId="77" xfId="0" applyFont="1" applyBorder="1"/>
    <xf numFmtId="0" fontId="0" fillId="0" borderId="8" xfId="0" applyBorder="1" applyAlignment="1">
      <alignment horizontal="center"/>
    </xf>
    <xf numFmtId="0" fontId="0" fillId="8" borderId="69" xfId="0" applyFill="1" applyBorder="1" applyAlignment="1">
      <alignment horizontal="center"/>
    </xf>
    <xf numFmtId="0" fontId="10" fillId="20" borderId="50" xfId="0" applyFont="1" applyFill="1" applyBorder="1"/>
    <xf numFmtId="1" fontId="0" fillId="0" borderId="0" xfId="0" applyNumberFormat="1" applyAlignment="1">
      <alignment horizontal="center"/>
    </xf>
    <xf numFmtId="2" fontId="5" fillId="0" borderId="59" xfId="2" applyNumberFormat="1" applyBorder="1" applyAlignment="1">
      <alignment horizontal="center"/>
    </xf>
    <xf numFmtId="2" fontId="5" fillId="0" borderId="11" xfId="3" applyNumberFormat="1" applyFont="1" applyBorder="1" applyAlignment="1">
      <alignment horizontal="center"/>
    </xf>
    <xf numFmtId="2" fontId="5" fillId="0" borderId="70" xfId="2" applyNumberFormat="1" applyBorder="1" applyAlignment="1">
      <alignment horizontal="center"/>
    </xf>
    <xf numFmtId="2" fontId="1" fillId="20" borderId="0" xfId="0" applyNumberFormat="1" applyFont="1" applyFill="1"/>
    <xf numFmtId="1" fontId="31" fillId="21" borderId="0" xfId="0" applyNumberFormat="1" applyFont="1" applyFill="1" applyAlignment="1">
      <alignment horizontal="center"/>
    </xf>
    <xf numFmtId="0" fontId="21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49" xfId="0" applyFill="1" applyBorder="1"/>
    <xf numFmtId="0" fontId="0" fillId="0" borderId="37" xfId="0" applyBorder="1" applyAlignment="1">
      <alignment horizontal="center"/>
    </xf>
    <xf numFmtId="1" fontId="0" fillId="0" borderId="37" xfId="3" applyNumberFormat="1" applyFont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20" xfId="0" applyFill="1" applyBorder="1"/>
    <xf numFmtId="0" fontId="0" fillId="9" borderId="18" xfId="0" applyFill="1" applyBorder="1" applyAlignment="1">
      <alignment horizontal="center"/>
    </xf>
    <xf numFmtId="2" fontId="5" fillId="11" borderId="20" xfId="2" applyNumberFormat="1" applyFill="1" applyBorder="1" applyAlignment="1">
      <alignment horizontal="center"/>
    </xf>
    <xf numFmtId="164" fontId="5" fillId="0" borderId="77" xfId="2" applyNumberFormat="1" applyFill="1" applyBorder="1" applyAlignment="1">
      <alignment horizontal="center"/>
    </xf>
    <xf numFmtId="164" fontId="3" fillId="10" borderId="82" xfId="1" applyNumberFormat="1" applyFont="1" applyFill="1" applyBorder="1" applyAlignment="1">
      <alignment horizontal="center"/>
    </xf>
    <xf numFmtId="164" fontId="10" fillId="0" borderId="32" xfId="0" applyNumberFormat="1" applyFont="1" applyBorder="1"/>
    <xf numFmtId="0" fontId="10" fillId="16" borderId="77" xfId="0" applyFont="1" applyFill="1" applyBorder="1" applyAlignment="1">
      <alignment vertical="center"/>
    </xf>
    <xf numFmtId="0" fontId="10" fillId="9" borderId="18" xfId="0" applyFont="1" applyFill="1" applyBorder="1" applyAlignment="1">
      <alignment vertical="center"/>
    </xf>
    <xf numFmtId="2" fontId="10" fillId="20" borderId="35" xfId="0" applyNumberFormat="1" applyFont="1" applyFill="1" applyBorder="1" applyAlignment="1">
      <alignment horizontal="center"/>
    </xf>
    <xf numFmtId="0" fontId="0" fillId="12" borderId="57" xfId="0" applyFill="1" applyBorder="1" applyAlignment="1">
      <alignment horizontal="center"/>
    </xf>
    <xf numFmtId="164" fontId="3" fillId="10" borderId="83" xfId="1" applyNumberFormat="1" applyFont="1" applyFill="1" applyBorder="1" applyAlignment="1">
      <alignment horizontal="center"/>
    </xf>
    <xf numFmtId="1" fontId="3" fillId="7" borderId="9" xfId="1" applyNumberFormat="1" applyFont="1" applyFill="1" applyBorder="1" applyAlignment="1">
      <alignment horizontal="center"/>
    </xf>
    <xf numFmtId="9" fontId="2" fillId="0" borderId="0" xfId="3" applyFont="1" applyFill="1" applyBorder="1" applyAlignment="1"/>
    <xf numFmtId="0" fontId="21" fillId="0" borderId="0" xfId="0" applyFont="1" applyFill="1" applyBorder="1" applyAlignment="1">
      <alignment horizontal="center"/>
    </xf>
    <xf numFmtId="0" fontId="11" fillId="0" borderId="0" xfId="0" applyFont="1" applyFill="1" applyBorder="1"/>
    <xf numFmtId="0" fontId="6" fillId="0" borderId="0" xfId="0" applyFont="1" applyFill="1" applyBorder="1" applyAlignment="1"/>
    <xf numFmtId="9" fontId="1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0" fontId="3" fillId="0" borderId="0" xfId="1" applyFont="1" applyFill="1" applyBorder="1" applyAlignment="1">
      <alignment horizontal="left"/>
    </xf>
    <xf numFmtId="0" fontId="14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1" fontId="3" fillId="0" borderId="0" xfId="1" applyNumberFormat="1" applyFont="1" applyFill="1" applyBorder="1" applyAlignment="1">
      <alignment horizontal="center" vertical="center" wrapText="1"/>
    </xf>
    <xf numFmtId="164" fontId="21" fillId="0" borderId="0" xfId="0" applyNumberFormat="1" applyFont="1" applyFill="1" applyBorder="1"/>
    <xf numFmtId="0" fontId="21" fillId="0" borderId="0" xfId="0" applyFont="1" applyFill="1" applyBorder="1" applyAlignment="1">
      <alignment horizontal="center" vertical="center"/>
    </xf>
    <xf numFmtId="164" fontId="0" fillId="0" borderId="0" xfId="0" applyNumberFormat="1" applyFill="1" applyBorder="1"/>
    <xf numFmtId="0" fontId="21" fillId="0" borderId="0" xfId="0" applyFont="1" applyFill="1" applyBorder="1" applyAlignment="1">
      <alignment vertical="center"/>
    </xf>
    <xf numFmtId="1" fontId="0" fillId="0" borderId="0" xfId="0" applyNumberFormat="1" applyFont="1" applyFill="1" applyBorder="1" applyAlignment="1">
      <alignment horizontal="center"/>
    </xf>
    <xf numFmtId="0" fontId="22" fillId="0" borderId="84" xfId="0" applyFont="1" applyFill="1" applyBorder="1"/>
    <xf numFmtId="0" fontId="22" fillId="0" borderId="43" xfId="0" applyFont="1" applyBorder="1"/>
    <xf numFmtId="0" fontId="22" fillId="0" borderId="73" xfId="0" applyFont="1" applyFill="1" applyBorder="1"/>
    <xf numFmtId="0" fontId="22" fillId="0" borderId="34" xfId="0" applyFont="1" applyFill="1" applyBorder="1"/>
    <xf numFmtId="0" fontId="0" fillId="0" borderId="77" xfId="0" applyBorder="1"/>
    <xf numFmtId="0" fontId="22" fillId="0" borderId="77" xfId="0" applyFont="1" applyBorder="1"/>
    <xf numFmtId="9" fontId="22" fillId="0" borderId="77" xfId="3" applyFont="1" applyBorder="1"/>
    <xf numFmtId="164" fontId="21" fillId="0" borderId="14" xfId="0" applyNumberFormat="1" applyFont="1" applyBorder="1"/>
    <xf numFmtId="164" fontId="21" fillId="0" borderId="16" xfId="0" applyNumberFormat="1" applyFont="1" applyBorder="1"/>
    <xf numFmtId="2" fontId="11" fillId="20" borderId="19" xfId="0" applyNumberFormat="1" applyFont="1" applyFill="1" applyBorder="1" applyAlignment="1">
      <alignment horizontal="center"/>
    </xf>
    <xf numFmtId="0" fontId="4" fillId="23" borderId="0" xfId="1" applyFont="1" applyFill="1" applyBorder="1" applyAlignment="1"/>
    <xf numFmtId="1" fontId="3" fillId="22" borderId="0" xfId="1" applyNumberFormat="1" applyFont="1" applyFill="1" applyBorder="1" applyAlignment="1"/>
    <xf numFmtId="0" fontId="1" fillId="13" borderId="18" xfId="0" applyFont="1" applyFill="1" applyBorder="1" applyAlignment="1">
      <alignment horizontal="center"/>
    </xf>
    <xf numFmtId="0" fontId="22" fillId="0" borderId="57" xfId="0" applyFont="1" applyFill="1" applyBorder="1"/>
    <xf numFmtId="0" fontId="1" fillId="16" borderId="41" xfId="0" applyFont="1" applyFill="1" applyBorder="1" applyAlignment="1">
      <alignment horizontal="center" vertical="center" wrapText="1"/>
    </xf>
    <xf numFmtId="1" fontId="5" fillId="11" borderId="22" xfId="3" applyNumberFormat="1" applyFont="1" applyFill="1" applyBorder="1" applyAlignment="1">
      <alignment horizontal="center"/>
    </xf>
    <xf numFmtId="2" fontId="5" fillId="10" borderId="36" xfId="2" applyNumberFormat="1" applyFill="1" applyBorder="1"/>
    <xf numFmtId="1" fontId="5" fillId="11" borderId="55" xfId="3" applyNumberFormat="1" applyFont="1" applyFill="1" applyBorder="1" applyAlignment="1">
      <alignment horizontal="center"/>
    </xf>
    <xf numFmtId="2" fontId="5" fillId="0" borderId="3" xfId="2" applyNumberFormat="1" applyBorder="1" applyAlignment="1">
      <alignment horizontal="center"/>
    </xf>
    <xf numFmtId="1" fontId="5" fillId="11" borderId="43" xfId="3" applyNumberFormat="1" applyFont="1" applyFill="1" applyBorder="1" applyAlignment="1">
      <alignment horizontal="center"/>
    </xf>
    <xf numFmtId="2" fontId="5" fillId="0" borderId="72" xfId="3" applyNumberFormat="1" applyFont="1" applyBorder="1" applyAlignment="1">
      <alignment horizontal="center"/>
    </xf>
    <xf numFmtId="1" fontId="5" fillId="11" borderId="8" xfId="3" applyNumberFormat="1" applyFont="1" applyFill="1" applyBorder="1" applyAlignment="1">
      <alignment horizontal="center"/>
    </xf>
    <xf numFmtId="1" fontId="3" fillId="10" borderId="60" xfId="1" applyNumberFormat="1" applyFont="1" applyFill="1" applyBorder="1" applyAlignment="1">
      <alignment horizontal="center"/>
    </xf>
    <xf numFmtId="0" fontId="10" fillId="0" borderId="14" xfId="0" applyFont="1" applyBorder="1"/>
    <xf numFmtId="2" fontId="10" fillId="20" borderId="10" xfId="0" applyNumberFormat="1" applyFont="1" applyFill="1" applyBorder="1" applyAlignment="1">
      <alignment horizontal="center"/>
    </xf>
    <xf numFmtId="0" fontId="0" fillId="0" borderId="47" xfId="0" applyBorder="1" applyAlignment="1">
      <alignment horizontal="center"/>
    </xf>
    <xf numFmtId="0" fontId="0" fillId="8" borderId="65" xfId="0" applyFill="1" applyBorder="1" applyAlignment="1">
      <alignment horizontal="center"/>
    </xf>
    <xf numFmtId="2" fontId="5" fillId="10" borderId="16" xfId="2" applyNumberFormat="1" applyFill="1" applyBorder="1"/>
    <xf numFmtId="1" fontId="5" fillId="11" borderId="47" xfId="3" applyNumberFormat="1" applyFont="1" applyFill="1" applyBorder="1" applyAlignment="1">
      <alignment horizontal="center"/>
    </xf>
    <xf numFmtId="2" fontId="5" fillId="0" borderId="15" xfId="3" applyNumberFormat="1" applyFont="1" applyBorder="1" applyAlignment="1">
      <alignment horizontal="center"/>
    </xf>
    <xf numFmtId="2" fontId="5" fillId="0" borderId="67" xfId="2" applyNumberFormat="1" applyBorder="1" applyAlignment="1">
      <alignment horizontal="center"/>
    </xf>
    <xf numFmtId="1" fontId="3" fillId="10" borderId="83" xfId="1" applyNumberFormat="1" applyFont="1" applyFill="1" applyBorder="1" applyAlignment="1">
      <alignment horizontal="center"/>
    </xf>
    <xf numFmtId="0" fontId="10" fillId="0" borderId="16" xfId="0" applyFont="1" applyBorder="1"/>
    <xf numFmtId="2" fontId="10" fillId="20" borderId="19" xfId="0" applyNumberFormat="1" applyFont="1" applyFill="1" applyBorder="1" applyAlignment="1">
      <alignment horizontal="center"/>
    </xf>
    <xf numFmtId="1" fontId="0" fillId="0" borderId="0" xfId="3" applyNumberFormat="1" applyFont="1"/>
    <xf numFmtId="0" fontId="0" fillId="0" borderId="35" xfId="0" applyFill="1" applyBorder="1" applyAlignment="1">
      <alignment horizontal="center"/>
    </xf>
    <xf numFmtId="165" fontId="10" fillId="0" borderId="0" xfId="0" applyNumberFormat="1" applyFont="1" applyBorder="1"/>
    <xf numFmtId="9" fontId="10" fillId="0" borderId="0" xfId="3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4" fillId="5" borderId="3" xfId="1" applyFont="1" applyFill="1" applyBorder="1" applyAlignment="1">
      <alignment horizontal="center" vertical="center" wrapText="1"/>
    </xf>
    <xf numFmtId="0" fontId="4" fillId="5" borderId="20" xfId="1" applyFont="1" applyFill="1" applyBorder="1" applyAlignment="1">
      <alignment horizontal="center" vertical="center" wrapText="1"/>
    </xf>
    <xf numFmtId="0" fontId="4" fillId="6" borderId="3" xfId="1" applyFont="1" applyFill="1" applyBorder="1" applyAlignment="1">
      <alignment horizontal="center" vertical="center" wrapText="1"/>
    </xf>
    <xf numFmtId="0" fontId="4" fillId="6" borderId="20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/>
    </xf>
    <xf numFmtId="0" fontId="4" fillId="3" borderId="17" xfId="1" applyFont="1" applyFill="1" applyBorder="1" applyAlignment="1">
      <alignment horizontal="center"/>
    </xf>
    <xf numFmtId="0" fontId="4" fillId="3" borderId="6" xfId="1" applyFont="1" applyFill="1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51" xfId="0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12" fillId="5" borderId="3" xfId="1" applyFont="1" applyFill="1" applyBorder="1" applyAlignment="1">
      <alignment horizontal="center" vertical="center" wrapText="1"/>
    </xf>
    <xf numFmtId="0" fontId="12" fillId="5" borderId="20" xfId="1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wrapText="1"/>
    </xf>
    <xf numFmtId="0" fontId="4" fillId="4" borderId="20" xfId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17" borderId="54" xfId="0" applyFont="1" applyFill="1" applyBorder="1" applyAlignment="1">
      <alignment vertical="center"/>
    </xf>
    <xf numFmtId="0" fontId="1" fillId="17" borderId="15" xfId="0" applyFont="1" applyFill="1" applyBorder="1" applyAlignment="1">
      <alignment vertical="center"/>
    </xf>
    <xf numFmtId="0" fontId="10" fillId="0" borderId="51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" fillId="18" borderId="52" xfId="0" applyFont="1" applyFill="1" applyBorder="1" applyAlignment="1">
      <alignment horizontal="center"/>
    </xf>
    <xf numFmtId="0" fontId="1" fillId="18" borderId="59" xfId="0" applyFont="1" applyFill="1" applyBorder="1" applyAlignment="1">
      <alignment horizontal="center"/>
    </xf>
    <xf numFmtId="0" fontId="1" fillId="18" borderId="53" xfId="0" applyFont="1" applyFill="1" applyBorder="1" applyAlignment="1">
      <alignment horizontal="center"/>
    </xf>
    <xf numFmtId="0" fontId="1" fillId="0" borderId="47" xfId="0" applyFont="1" applyBorder="1" applyAlignment="1">
      <alignment horizontal="right"/>
    </xf>
    <xf numFmtId="0" fontId="1" fillId="0" borderId="67" xfId="0" applyFont="1" applyBorder="1" applyAlignment="1">
      <alignment horizontal="right"/>
    </xf>
    <xf numFmtId="0" fontId="1" fillId="0" borderId="65" xfId="0" applyFont="1" applyBorder="1" applyAlignment="1">
      <alignment horizontal="right"/>
    </xf>
    <xf numFmtId="0" fontId="4" fillId="2" borderId="3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3" borderId="43" xfId="1" applyFont="1" applyFill="1" applyBorder="1" applyAlignment="1">
      <alignment horizontal="center"/>
    </xf>
    <xf numFmtId="0" fontId="4" fillId="3" borderId="34" xfId="1" applyFont="1" applyFill="1" applyBorder="1" applyAlignment="1">
      <alignment horizontal="center"/>
    </xf>
    <xf numFmtId="0" fontId="10" fillId="20" borderId="3" xfId="0" applyFont="1" applyFill="1" applyBorder="1" applyAlignment="1">
      <alignment horizontal="center" wrapText="1"/>
    </xf>
    <xf numFmtId="0" fontId="10" fillId="20" borderId="7" xfId="0" applyFont="1" applyFill="1" applyBorder="1" applyAlignment="1">
      <alignment horizontal="center" wrapText="1"/>
    </xf>
    <xf numFmtId="0" fontId="1" fillId="0" borderId="58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0" fillId="20" borderId="34" xfId="0" applyFont="1" applyFill="1" applyBorder="1" applyAlignment="1">
      <alignment horizontal="center" wrapText="1"/>
    </xf>
    <xf numFmtId="0" fontId="10" fillId="20" borderId="35" xfId="0" applyFont="1" applyFill="1" applyBorder="1" applyAlignment="1">
      <alignment horizontal="center" wrapText="1"/>
    </xf>
    <xf numFmtId="0" fontId="4" fillId="6" borderId="43" xfId="1" applyFont="1" applyFill="1" applyBorder="1" applyAlignment="1">
      <alignment horizontal="center" vertical="center" wrapText="1"/>
    </xf>
    <xf numFmtId="0" fontId="4" fillId="3" borderId="52" xfId="1" applyFont="1" applyFill="1" applyBorder="1" applyAlignment="1">
      <alignment horizontal="center"/>
    </xf>
    <xf numFmtId="0" fontId="4" fillId="3" borderId="59" xfId="1" applyFont="1" applyFill="1" applyBorder="1" applyAlignment="1">
      <alignment horizontal="center"/>
    </xf>
    <xf numFmtId="1" fontId="3" fillId="10" borderId="74" xfId="1" applyNumberFormat="1" applyFont="1" applyFill="1" applyBorder="1" applyAlignment="1">
      <alignment horizontal="center"/>
    </xf>
    <xf numFmtId="1" fontId="3" fillId="10" borderId="33" xfId="1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4" fillId="0" borderId="0" xfId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11" fillId="20" borderId="3" xfId="0" applyFont="1" applyFill="1" applyBorder="1" applyAlignment="1">
      <alignment horizontal="center" wrapText="1"/>
    </xf>
    <xf numFmtId="0" fontId="11" fillId="20" borderId="20" xfId="0" applyFont="1" applyFill="1" applyBorder="1" applyAlignment="1">
      <alignment horizontal="center" wrapText="1"/>
    </xf>
    <xf numFmtId="0" fontId="4" fillId="6" borderId="41" xfId="1" applyFont="1" applyFill="1" applyBorder="1" applyAlignment="1">
      <alignment horizontal="center" vertical="center" wrapText="1"/>
    </xf>
    <xf numFmtId="0" fontId="4" fillId="3" borderId="70" xfId="1" applyFont="1" applyFill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6" fontId="0" fillId="0" borderId="0" xfId="0" applyNumberFormat="1" applyAlignment="1">
      <alignment horizontal="center"/>
    </xf>
    <xf numFmtId="0" fontId="1" fillId="0" borderId="59" xfId="0" applyFont="1" applyBorder="1" applyAlignment="1">
      <alignment horizontal="center"/>
    </xf>
    <xf numFmtId="0" fontId="10" fillId="20" borderId="4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left"/>
    </xf>
    <xf numFmtId="0" fontId="0" fillId="0" borderId="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5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1" fillId="0" borderId="81" xfId="0" applyFont="1" applyBorder="1" applyAlignment="1">
      <alignment horizontal="right"/>
    </xf>
    <xf numFmtId="49" fontId="1" fillId="0" borderId="5" xfId="0" applyNumberFormat="1" applyFont="1" applyBorder="1" applyAlignment="1">
      <alignment horizontal="center"/>
    </xf>
    <xf numFmtId="49" fontId="1" fillId="0" borderId="17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0" fontId="1" fillId="16" borderId="3" xfId="0" applyFont="1" applyFill="1" applyBorder="1" applyAlignment="1">
      <alignment horizontal="center" vertical="center" wrapText="1"/>
    </xf>
    <xf numFmtId="0" fontId="1" fillId="16" borderId="41" xfId="0" applyFont="1" applyFill="1" applyBorder="1" applyAlignment="1">
      <alignment horizontal="center" vertical="center" wrapText="1"/>
    </xf>
    <xf numFmtId="0" fontId="1" fillId="18" borderId="3" xfId="0" applyFont="1" applyFill="1" applyBorder="1" applyAlignment="1">
      <alignment horizontal="center" vertical="center" wrapText="1"/>
    </xf>
    <xf numFmtId="0" fontId="1" fillId="18" borderId="41" xfId="0" applyFont="1" applyFill="1" applyBorder="1" applyAlignment="1">
      <alignment horizontal="center" vertical="center" wrapText="1"/>
    </xf>
    <xf numFmtId="0" fontId="1" fillId="16" borderId="20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textRotation="45"/>
    </xf>
    <xf numFmtId="0" fontId="1" fillId="0" borderId="41" xfId="0" applyFont="1" applyBorder="1" applyAlignment="1">
      <alignment horizontal="center" vertical="center" textRotation="45"/>
    </xf>
    <xf numFmtId="0" fontId="1" fillId="0" borderId="20" xfId="0" applyFont="1" applyBorder="1" applyAlignment="1">
      <alignment horizontal="center" vertical="center" textRotation="45"/>
    </xf>
    <xf numFmtId="0" fontId="1" fillId="0" borderId="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0" xfId="0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textRotation="45"/>
    </xf>
    <xf numFmtId="0" fontId="22" fillId="0" borderId="72" xfId="0" applyFont="1" applyBorder="1" applyAlignment="1">
      <alignment horizontal="left" vertical="center"/>
    </xf>
    <xf numFmtId="0" fontId="22" fillId="0" borderId="32" xfId="0" applyFont="1" applyBorder="1" applyAlignment="1">
      <alignment horizontal="left" vertical="center"/>
    </xf>
    <xf numFmtId="0" fontId="22" fillId="0" borderId="54" xfId="0" applyFont="1" applyBorder="1" applyAlignment="1">
      <alignment horizontal="left" vertical="center"/>
    </xf>
    <xf numFmtId="0" fontId="22" fillId="0" borderId="13" xfId="0" applyFont="1" applyBorder="1" applyAlignment="1">
      <alignment horizontal="left" vertical="center"/>
    </xf>
    <xf numFmtId="0" fontId="22" fillId="0" borderId="63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22" fillId="0" borderId="75" xfId="0" applyFont="1" applyBorder="1" applyAlignment="1">
      <alignment horizontal="left" vertical="center"/>
    </xf>
    <xf numFmtId="0" fontId="22" fillId="0" borderId="11" xfId="0" applyFont="1" applyBorder="1" applyAlignment="1">
      <alignment horizontal="center"/>
    </xf>
    <xf numFmtId="0" fontId="22" fillId="0" borderId="11" xfId="0" applyFont="1" applyBorder="1" applyAlignment="1">
      <alignment horizontal="left" vertical="center"/>
    </xf>
    <xf numFmtId="0" fontId="22" fillId="0" borderId="71" xfId="0" applyFont="1" applyBorder="1" applyAlignment="1">
      <alignment horizontal="left" vertical="center"/>
    </xf>
  </cellXfs>
  <cellStyles count="4">
    <cellStyle name="Navadno" xfId="0" builtinId="0"/>
    <cellStyle name="Navadno 2" xfId="1" xr:uid="{00000000-0005-0000-0000-000001000000}"/>
    <cellStyle name="Navadno 3" xfId="2" xr:uid="{00000000-0005-0000-0000-000002000000}"/>
    <cellStyle name="Odstotek" xfId="3" builtinId="5"/>
  </cellStyles>
  <dxfs count="0"/>
  <tableStyles count="0" defaultTableStyle="TableStyleMedium2" defaultPivotStyle="PivotStyleLight16"/>
  <colors>
    <mruColors>
      <color rgb="FF66FFCC"/>
      <color rgb="FFFF9900"/>
      <color rgb="FF66FF99"/>
      <color rgb="FFFFFFCC"/>
      <color rgb="FFFED2F8"/>
      <color rgb="FFFF99FF"/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V86"/>
  <sheetViews>
    <sheetView topLeftCell="E1" workbookViewId="0">
      <selection activeCell="Q49" sqref="Q49"/>
    </sheetView>
  </sheetViews>
  <sheetFormatPr defaultRowHeight="15" x14ac:dyDescent="0.25"/>
  <cols>
    <col min="1" max="1" width="19.140625" customWidth="1"/>
    <col min="2" max="2" width="14.5703125" bestFit="1" customWidth="1"/>
    <col min="7" max="7" width="11.28515625" customWidth="1"/>
    <col min="11" max="11" width="12.42578125" customWidth="1"/>
    <col min="12" max="12" width="11.140625" customWidth="1"/>
  </cols>
  <sheetData>
    <row r="4" spans="1:22" x14ac:dyDescent="0.25">
      <c r="F4" s="670" t="s">
        <v>73</v>
      </c>
      <c r="G4" s="670"/>
      <c r="H4" s="670"/>
      <c r="I4" s="670"/>
      <c r="J4" s="670"/>
      <c r="K4" s="670"/>
    </row>
    <row r="5" spans="1:22" ht="15.75" thickBot="1" x14ac:dyDescent="0.3">
      <c r="A5" s="671" t="s">
        <v>39</v>
      </c>
      <c r="B5" s="671"/>
      <c r="C5" s="671"/>
      <c r="D5" s="99"/>
      <c r="F5" s="2"/>
      <c r="G5" s="2"/>
      <c r="H5" s="2"/>
      <c r="I5" s="2"/>
      <c r="J5" s="2"/>
      <c r="M5" s="672"/>
      <c r="N5" s="672"/>
      <c r="O5" s="672"/>
    </row>
    <row r="6" spans="1:22" ht="15.75" thickBot="1" x14ac:dyDescent="0.3">
      <c r="B6" t="s">
        <v>2</v>
      </c>
      <c r="C6" t="s">
        <v>8</v>
      </c>
      <c r="F6" s="47" t="s">
        <v>0</v>
      </c>
      <c r="G6" s="18" t="s">
        <v>1</v>
      </c>
      <c r="H6" s="6" t="s">
        <v>2</v>
      </c>
      <c r="I6" s="6" t="s">
        <v>3</v>
      </c>
      <c r="J6" s="45" t="s">
        <v>0</v>
      </c>
      <c r="K6" s="673" t="s">
        <v>37</v>
      </c>
      <c r="L6" s="675" t="s">
        <v>4</v>
      </c>
      <c r="M6" s="677" t="s">
        <v>5</v>
      </c>
      <c r="N6" s="678"/>
      <c r="O6" s="679"/>
      <c r="P6" s="152" t="s">
        <v>11</v>
      </c>
      <c r="T6" s="680" t="s">
        <v>53</v>
      </c>
      <c r="U6" s="681"/>
      <c r="V6" s="682"/>
    </row>
    <row r="7" spans="1:22" ht="15.75" thickBot="1" x14ac:dyDescent="0.3">
      <c r="A7" t="s">
        <v>15</v>
      </c>
      <c r="B7">
        <v>15</v>
      </c>
      <c r="C7">
        <v>60</v>
      </c>
      <c r="F7" s="48"/>
      <c r="G7" s="33" t="s">
        <v>6</v>
      </c>
      <c r="H7" s="27" t="s">
        <v>7</v>
      </c>
      <c r="I7" s="27"/>
      <c r="J7" s="27" t="s">
        <v>8</v>
      </c>
      <c r="K7" s="674"/>
      <c r="L7" s="676"/>
      <c r="M7" s="34" t="s">
        <v>9</v>
      </c>
      <c r="N7" s="50"/>
      <c r="O7" s="35" t="s">
        <v>10</v>
      </c>
      <c r="P7" s="153" t="s">
        <v>17</v>
      </c>
      <c r="T7" s="86" t="s">
        <v>50</v>
      </c>
      <c r="U7" s="77" t="s">
        <v>51</v>
      </c>
      <c r="V7" s="78" t="s">
        <v>52</v>
      </c>
    </row>
    <row r="8" spans="1:22" x14ac:dyDescent="0.25">
      <c r="A8" t="s">
        <v>40</v>
      </c>
      <c r="B8">
        <v>20</v>
      </c>
      <c r="C8">
        <v>80</v>
      </c>
      <c r="F8" s="31"/>
      <c r="G8" s="131"/>
      <c r="H8" s="131"/>
      <c r="I8" s="124" t="e">
        <f>+G8/H8</f>
        <v>#DIV/0!</v>
      </c>
      <c r="J8" s="83"/>
      <c r="K8" s="168" t="e">
        <f>+J8*I8</f>
        <v>#DIV/0!</v>
      </c>
      <c r="L8" s="154" t="e">
        <f>+K8*1</f>
        <v>#DIV/0!</v>
      </c>
      <c r="M8" s="133">
        <v>1</v>
      </c>
      <c r="N8" s="134"/>
      <c r="O8" s="157" t="e">
        <f>+M8*K8</f>
        <v>#DIV/0!</v>
      </c>
      <c r="P8" s="165" t="e">
        <f>+O8+L8</f>
        <v>#DIV/0!</v>
      </c>
    </row>
    <row r="9" spans="1:22" x14ac:dyDescent="0.25">
      <c r="F9" s="19"/>
      <c r="G9" s="135"/>
      <c r="H9" s="135"/>
      <c r="I9" s="136" t="e">
        <f>+G9/H9</f>
        <v>#DIV/0!</v>
      </c>
      <c r="J9" s="137"/>
      <c r="K9" s="169" t="e">
        <f>+J9*I9</f>
        <v>#DIV/0!</v>
      </c>
      <c r="L9" s="155" t="e">
        <f>+K9*1</f>
        <v>#DIV/0!</v>
      </c>
      <c r="M9" s="138">
        <v>1</v>
      </c>
      <c r="N9" s="139"/>
      <c r="O9" s="158" t="e">
        <f>+M9*K9</f>
        <v>#DIV/0!</v>
      </c>
      <c r="P9" s="166" t="e">
        <f>+O9+L9</f>
        <v>#DIV/0!</v>
      </c>
    </row>
    <row r="10" spans="1:22" ht="15.75" thickBot="1" x14ac:dyDescent="0.3">
      <c r="A10" s="671" t="s">
        <v>41</v>
      </c>
      <c r="B10" s="671"/>
      <c r="C10" s="671"/>
      <c r="D10" s="99"/>
      <c r="F10" s="79"/>
      <c r="G10" s="140"/>
      <c r="H10" s="140"/>
      <c r="I10" s="141" t="e">
        <f>+G10/H10</f>
        <v>#DIV/0!</v>
      </c>
      <c r="J10" s="142"/>
      <c r="K10" s="170" t="e">
        <f>+J10*I10</f>
        <v>#DIV/0!</v>
      </c>
      <c r="L10" s="156" t="e">
        <f>+K10*0.8</f>
        <v>#DIV/0!</v>
      </c>
      <c r="M10" s="143">
        <v>1</v>
      </c>
      <c r="N10" s="144"/>
      <c r="O10" s="159" t="e">
        <f>+M10*K10</f>
        <v>#DIV/0!</v>
      </c>
      <c r="P10" s="167" t="e">
        <f>+O10+L10</f>
        <v>#DIV/0!</v>
      </c>
    </row>
    <row r="11" spans="1:22" x14ac:dyDescent="0.25">
      <c r="A11" t="s">
        <v>42</v>
      </c>
      <c r="B11">
        <v>10</v>
      </c>
      <c r="C11">
        <v>90</v>
      </c>
      <c r="F11" s="13"/>
      <c r="G11" s="38"/>
      <c r="H11" s="39"/>
      <c r="I11" s="62"/>
      <c r="J11" s="13"/>
      <c r="K11" s="13"/>
      <c r="L11" s="62"/>
      <c r="M11" s="13"/>
      <c r="N11" s="13"/>
      <c r="O11" s="84"/>
      <c r="P11" s="62"/>
      <c r="S11" s="36"/>
    </row>
    <row r="12" spans="1:22" x14ac:dyDescent="0.25">
      <c r="A12" t="s">
        <v>43</v>
      </c>
      <c r="B12">
        <v>10</v>
      </c>
      <c r="C12">
        <v>140</v>
      </c>
      <c r="F12" s="13"/>
      <c r="G12" s="40"/>
      <c r="H12" s="39"/>
      <c r="I12" s="13"/>
      <c r="J12" s="13"/>
      <c r="K12" s="13"/>
      <c r="L12" s="13"/>
      <c r="M12" s="13"/>
      <c r="N12" s="13"/>
      <c r="O12" s="13"/>
      <c r="P12" s="13"/>
    </row>
    <row r="14" spans="1:22" ht="15.75" thickBot="1" x14ac:dyDescent="0.3">
      <c r="A14" s="671" t="s">
        <v>87</v>
      </c>
      <c r="B14" s="671"/>
      <c r="C14" s="671"/>
    </row>
    <row r="15" spans="1:22" ht="15.75" thickBot="1" x14ac:dyDescent="0.3">
      <c r="B15" s="100" t="s">
        <v>2</v>
      </c>
      <c r="C15" s="100" t="s">
        <v>8</v>
      </c>
      <c r="F15" s="47" t="s">
        <v>0</v>
      </c>
      <c r="G15" s="18" t="s">
        <v>1</v>
      </c>
      <c r="H15" s="6" t="s">
        <v>2</v>
      </c>
      <c r="I15" s="6" t="s">
        <v>3</v>
      </c>
      <c r="J15" s="45" t="s">
        <v>0</v>
      </c>
      <c r="K15" s="673" t="s">
        <v>37</v>
      </c>
      <c r="L15" s="675" t="s">
        <v>4</v>
      </c>
      <c r="M15" s="677" t="s">
        <v>5</v>
      </c>
      <c r="N15" s="678"/>
      <c r="O15" s="679"/>
      <c r="P15" s="152" t="s">
        <v>11</v>
      </c>
    </row>
    <row r="16" spans="1:22" ht="15.75" thickBot="1" x14ac:dyDescent="0.3">
      <c r="A16" t="s">
        <v>88</v>
      </c>
      <c r="B16">
        <v>10</v>
      </c>
      <c r="C16">
        <f>5*1.5</f>
        <v>7.5</v>
      </c>
      <c r="F16" s="48"/>
      <c r="G16" s="33" t="s">
        <v>6</v>
      </c>
      <c r="H16" s="27" t="s">
        <v>7</v>
      </c>
      <c r="I16" s="27"/>
      <c r="J16" s="27" t="s">
        <v>8</v>
      </c>
      <c r="K16" s="674"/>
      <c r="L16" s="676"/>
      <c r="M16" s="34" t="s">
        <v>9</v>
      </c>
      <c r="N16" s="50"/>
      <c r="O16" s="35" t="s">
        <v>10</v>
      </c>
      <c r="P16" s="153" t="s">
        <v>17</v>
      </c>
    </row>
    <row r="17" spans="1:16" x14ac:dyDescent="0.25">
      <c r="A17" t="s">
        <v>89</v>
      </c>
      <c r="B17">
        <v>15</v>
      </c>
      <c r="C17">
        <f>5*2</f>
        <v>10</v>
      </c>
      <c r="F17" s="31"/>
      <c r="G17" s="131"/>
      <c r="H17" s="131"/>
      <c r="I17" s="124" t="e">
        <f>+G17/H17</f>
        <v>#DIV/0!</v>
      </c>
      <c r="J17" s="83"/>
      <c r="K17" s="168" t="e">
        <f>+J17*I17</f>
        <v>#DIV/0!</v>
      </c>
      <c r="L17" s="154" t="e">
        <f>+K17*1</f>
        <v>#DIV/0!</v>
      </c>
      <c r="M17" s="133"/>
      <c r="N17" s="134">
        <v>0</v>
      </c>
      <c r="O17" s="157" t="e">
        <f>+M17*K17</f>
        <v>#DIV/0!</v>
      </c>
      <c r="P17" s="162" t="e">
        <f>+O17+L17</f>
        <v>#DIV/0!</v>
      </c>
    </row>
    <row r="18" spans="1:16" x14ac:dyDescent="0.25">
      <c r="A18" t="s">
        <v>90</v>
      </c>
      <c r="B18">
        <v>15</v>
      </c>
      <c r="C18">
        <f>8*6</f>
        <v>48</v>
      </c>
      <c r="F18" s="19"/>
      <c r="G18" s="135"/>
      <c r="H18" s="135"/>
      <c r="I18" s="136" t="e">
        <f>+G18/H18</f>
        <v>#DIV/0!</v>
      </c>
      <c r="J18" s="137"/>
      <c r="K18" s="169" t="e">
        <f>+J18*I18</f>
        <v>#DIV/0!</v>
      </c>
      <c r="L18" s="155" t="e">
        <f>+K18*1</f>
        <v>#DIV/0!</v>
      </c>
      <c r="M18" s="138"/>
      <c r="N18" s="139">
        <v>0</v>
      </c>
      <c r="O18" s="158" t="e">
        <f>+M18*K18</f>
        <v>#DIV/0!</v>
      </c>
      <c r="P18" s="163" t="e">
        <f>+O18+L18</f>
        <v>#DIV/0!</v>
      </c>
    </row>
    <row r="19" spans="1:16" ht="15.75" thickBot="1" x14ac:dyDescent="0.3">
      <c r="F19" s="79"/>
      <c r="G19" s="140"/>
      <c r="H19" s="140"/>
      <c r="I19" s="141" t="e">
        <f>+G19/H19</f>
        <v>#DIV/0!</v>
      </c>
      <c r="J19" s="142"/>
      <c r="K19" s="170" t="e">
        <f>+J19*I19</f>
        <v>#DIV/0!</v>
      </c>
      <c r="L19" s="156" t="e">
        <f>+K19*0.8</f>
        <v>#DIV/0!</v>
      </c>
      <c r="M19" s="143"/>
      <c r="N19" s="144">
        <v>0</v>
      </c>
      <c r="O19" s="159" t="e">
        <f>+M19*K19</f>
        <v>#DIV/0!</v>
      </c>
      <c r="P19" s="164" t="e">
        <f>+O19+L19</f>
        <v>#DIV/0!</v>
      </c>
    </row>
    <row r="21" spans="1:16" ht="15.75" thickBot="1" x14ac:dyDescent="0.3">
      <c r="A21" s="671" t="s">
        <v>38</v>
      </c>
      <c r="B21" s="671"/>
      <c r="C21" s="671"/>
    </row>
    <row r="22" spans="1:16" x14ac:dyDescent="0.25">
      <c r="B22" t="s">
        <v>67</v>
      </c>
      <c r="F22" s="690" t="s">
        <v>0</v>
      </c>
      <c r="G22" s="694" t="s">
        <v>97</v>
      </c>
      <c r="H22" s="695"/>
      <c r="I22" s="695"/>
      <c r="J22" s="696"/>
      <c r="K22" s="692" t="s">
        <v>99</v>
      </c>
    </row>
    <row r="23" spans="1:16" ht="15.75" thickBot="1" x14ac:dyDescent="0.3">
      <c r="A23" t="s">
        <v>96</v>
      </c>
      <c r="B23">
        <v>5</v>
      </c>
      <c r="F23" s="691"/>
      <c r="G23" s="130" t="s">
        <v>98</v>
      </c>
      <c r="H23" s="130" t="s">
        <v>67</v>
      </c>
      <c r="I23" s="130" t="s">
        <v>36</v>
      </c>
      <c r="J23" s="130" t="s">
        <v>67</v>
      </c>
      <c r="K23" s="693"/>
    </row>
    <row r="24" spans="1:16" x14ac:dyDescent="0.25">
      <c r="A24" t="s">
        <v>36</v>
      </c>
      <c r="B24">
        <v>8</v>
      </c>
      <c r="F24" s="15"/>
      <c r="G24" s="15"/>
      <c r="H24" s="160"/>
      <c r="I24" s="15"/>
      <c r="J24" s="161"/>
      <c r="K24" s="15">
        <f>+J24+H24</f>
        <v>0</v>
      </c>
    </row>
    <row r="26" spans="1:16" ht="15.75" thickBot="1" x14ac:dyDescent="0.3"/>
    <row r="27" spans="1:16" ht="15" customHeight="1" x14ac:dyDescent="0.25">
      <c r="A27" s="671" t="s">
        <v>91</v>
      </c>
      <c r="B27" s="671"/>
      <c r="C27" s="671"/>
      <c r="D27" s="671"/>
      <c r="F27" s="47" t="s">
        <v>0</v>
      </c>
      <c r="G27" s="18" t="s">
        <v>1</v>
      </c>
      <c r="H27" s="6" t="s">
        <v>2</v>
      </c>
      <c r="I27" s="6" t="s">
        <v>3</v>
      </c>
      <c r="J27" s="687" t="s">
        <v>94</v>
      </c>
      <c r="K27" s="685" t="s">
        <v>95</v>
      </c>
    </row>
    <row r="28" spans="1:16" ht="15.75" thickBot="1" x14ac:dyDescent="0.3">
      <c r="B28" t="s">
        <v>2</v>
      </c>
      <c r="C28" t="s">
        <v>93</v>
      </c>
      <c r="D28" t="s">
        <v>67</v>
      </c>
      <c r="F28" s="48"/>
      <c r="G28" s="33" t="s">
        <v>6</v>
      </c>
      <c r="H28" s="27" t="s">
        <v>7</v>
      </c>
      <c r="I28" s="27"/>
      <c r="J28" s="688"/>
      <c r="K28" s="686"/>
    </row>
    <row r="29" spans="1:16" x14ac:dyDescent="0.25">
      <c r="A29" t="s">
        <v>92</v>
      </c>
      <c r="B29">
        <v>20</v>
      </c>
      <c r="C29">
        <v>5</v>
      </c>
      <c r="D29">
        <v>50</v>
      </c>
      <c r="F29" s="83"/>
      <c r="G29" s="131">
        <v>40</v>
      </c>
      <c r="H29" s="131">
        <v>20</v>
      </c>
      <c r="I29" s="124">
        <f>+G29/H29</f>
        <v>2</v>
      </c>
      <c r="J29" s="83">
        <v>50</v>
      </c>
      <c r="K29" s="132">
        <f>+J29*I29</f>
        <v>100</v>
      </c>
    </row>
    <row r="32" spans="1:16" ht="15.75" thickBot="1" x14ac:dyDescent="0.3"/>
    <row r="33" spans="1:22" ht="15" customHeight="1" x14ac:dyDescent="0.25">
      <c r="A33" s="671" t="s">
        <v>35</v>
      </c>
      <c r="B33" s="671"/>
      <c r="C33" s="671"/>
      <c r="D33" t="s">
        <v>67</v>
      </c>
      <c r="F33" s="47" t="s">
        <v>0</v>
      </c>
      <c r="G33" s="18" t="s">
        <v>1</v>
      </c>
      <c r="H33" s="6" t="s">
        <v>2</v>
      </c>
      <c r="I33" s="6" t="s">
        <v>3</v>
      </c>
      <c r="J33" s="687" t="s">
        <v>94</v>
      </c>
      <c r="K33" s="685" t="s">
        <v>95</v>
      </c>
    </row>
    <row r="34" spans="1:22" ht="15.75" thickBot="1" x14ac:dyDescent="0.3">
      <c r="B34">
        <v>8</v>
      </c>
      <c r="C34">
        <v>10</v>
      </c>
      <c r="D34">
        <v>13</v>
      </c>
      <c r="F34" s="48"/>
      <c r="G34" s="33" t="s">
        <v>6</v>
      </c>
      <c r="H34" s="27" t="s">
        <v>7</v>
      </c>
      <c r="I34" s="27"/>
      <c r="J34" s="688"/>
      <c r="K34" s="686"/>
    </row>
    <row r="35" spans="1:22" x14ac:dyDescent="0.25">
      <c r="F35" s="83"/>
      <c r="G35" s="131">
        <v>13</v>
      </c>
      <c r="H35" s="131">
        <v>8</v>
      </c>
      <c r="I35" s="124">
        <f>+G35/H35</f>
        <v>1.625</v>
      </c>
      <c r="J35" s="83">
        <v>13</v>
      </c>
      <c r="K35" s="132">
        <f>+J35*I35</f>
        <v>21.125</v>
      </c>
    </row>
    <row r="36" spans="1:22" ht="15.75" customHeight="1" x14ac:dyDescent="0.25"/>
    <row r="38" spans="1:22" x14ac:dyDescent="0.25">
      <c r="F38" s="41" t="s">
        <v>75</v>
      </c>
      <c r="G38" s="41"/>
      <c r="H38" s="41"/>
      <c r="I38" s="41"/>
      <c r="J38" s="41"/>
      <c r="M38" s="1"/>
    </row>
    <row r="39" spans="1:22" ht="15.75" thickBot="1" x14ac:dyDescent="0.3">
      <c r="F39" s="2"/>
      <c r="G39" s="2"/>
      <c r="H39" s="2"/>
      <c r="I39" s="2"/>
      <c r="J39" s="2"/>
      <c r="M39" s="683"/>
      <c r="N39" s="683"/>
      <c r="O39" s="683"/>
    </row>
    <row r="40" spans="1:22" ht="30" customHeight="1" thickBot="1" x14ac:dyDescent="0.3">
      <c r="A40" t="s">
        <v>0</v>
      </c>
      <c r="B40" t="s">
        <v>2</v>
      </c>
      <c r="C40" s="689" t="s">
        <v>8</v>
      </c>
      <c r="D40" s="689"/>
      <c r="F40" s="121" t="s">
        <v>0</v>
      </c>
      <c r="G40" s="18" t="s">
        <v>1</v>
      </c>
      <c r="H40" s="70" t="s">
        <v>2</v>
      </c>
      <c r="I40" s="6" t="s">
        <v>3</v>
      </c>
      <c r="J40" s="45" t="s">
        <v>0</v>
      </c>
      <c r="K40" s="673" t="s">
        <v>37</v>
      </c>
      <c r="L40" s="675" t="s">
        <v>4</v>
      </c>
      <c r="M40" s="677" t="s">
        <v>5</v>
      </c>
      <c r="N40" s="678"/>
      <c r="O40" s="679"/>
      <c r="P40" s="116" t="s">
        <v>11</v>
      </c>
      <c r="T40" s="680" t="s">
        <v>53</v>
      </c>
      <c r="U40" s="681"/>
      <c r="V40" s="682"/>
    </row>
    <row r="41" spans="1:22" ht="15.75" thickBot="1" x14ac:dyDescent="0.3">
      <c r="C41" t="s">
        <v>48</v>
      </c>
      <c r="D41" t="s">
        <v>49</v>
      </c>
      <c r="F41" s="122"/>
      <c r="G41" s="33" t="s">
        <v>6</v>
      </c>
      <c r="H41" s="120" t="s">
        <v>7</v>
      </c>
      <c r="I41" s="27"/>
      <c r="J41" s="27" t="s">
        <v>8</v>
      </c>
      <c r="K41" s="674"/>
      <c r="L41" s="676"/>
      <c r="M41" s="34" t="s">
        <v>9</v>
      </c>
      <c r="N41" s="50"/>
      <c r="O41" s="35" t="s">
        <v>10</v>
      </c>
      <c r="P41" s="117" t="s">
        <v>17</v>
      </c>
      <c r="T41" s="86" t="s">
        <v>50</v>
      </c>
      <c r="U41" s="77" t="s">
        <v>51</v>
      </c>
      <c r="V41" s="78" t="s">
        <v>52</v>
      </c>
    </row>
    <row r="42" spans="1:22" x14ac:dyDescent="0.25">
      <c r="A42" t="s">
        <v>168</v>
      </c>
      <c r="B42">
        <v>10.119999999999999</v>
      </c>
      <c r="C42">
        <v>180</v>
      </c>
      <c r="F42" t="s">
        <v>168</v>
      </c>
      <c r="G42" s="119"/>
      <c r="H42" s="119"/>
      <c r="I42" s="119"/>
      <c r="J42" s="119"/>
      <c r="K42" s="119"/>
      <c r="L42" s="119"/>
      <c r="M42" s="119"/>
      <c r="N42" s="119"/>
      <c r="O42" s="14"/>
      <c r="P42" s="332"/>
      <c r="T42" s="37"/>
      <c r="U42" s="37"/>
      <c r="V42" s="37"/>
    </row>
    <row r="43" spans="1:22" x14ac:dyDescent="0.25">
      <c r="A43" t="s">
        <v>44</v>
      </c>
      <c r="B43">
        <v>8.1199999999999992</v>
      </c>
      <c r="C43">
        <v>210</v>
      </c>
      <c r="F43" s="145" t="s">
        <v>44</v>
      </c>
      <c r="G43" s="83"/>
      <c r="H43" s="119"/>
      <c r="I43" s="124"/>
      <c r="J43" s="83"/>
      <c r="K43" s="171"/>
      <c r="L43" s="124"/>
      <c r="M43" s="61"/>
      <c r="N43" s="68"/>
      <c r="O43" s="32">
        <f>+M43*K43</f>
        <v>0</v>
      </c>
      <c r="P43" s="118">
        <f>+O43+L43</f>
        <v>0</v>
      </c>
    </row>
    <row r="44" spans="1:22" x14ac:dyDescent="0.25">
      <c r="A44" t="s">
        <v>45</v>
      </c>
      <c r="B44">
        <v>8.1199999999999992</v>
      </c>
      <c r="C44">
        <v>320</v>
      </c>
      <c r="D44">
        <v>210</v>
      </c>
      <c r="F44" s="145" t="s">
        <v>45</v>
      </c>
      <c r="G44" s="83"/>
      <c r="H44" s="119"/>
      <c r="I44" s="124"/>
      <c r="J44" s="83"/>
      <c r="K44" s="171"/>
      <c r="L44" s="124"/>
      <c r="M44" s="81"/>
      <c r="N44" s="82"/>
      <c r="O44" s="14">
        <f>+M44*K44</f>
        <v>0</v>
      </c>
      <c r="P44" s="65">
        <f>+O44+L44</f>
        <v>0</v>
      </c>
    </row>
    <row r="45" spans="1:22" x14ac:dyDescent="0.25">
      <c r="A45" t="s">
        <v>46</v>
      </c>
      <c r="B45">
        <v>8.1199999999999992</v>
      </c>
      <c r="C45">
        <v>440</v>
      </c>
      <c r="D45">
        <v>360</v>
      </c>
      <c r="F45" s="145" t="s">
        <v>46</v>
      </c>
      <c r="G45" s="137"/>
      <c r="H45" s="147"/>
      <c r="I45" s="136"/>
      <c r="J45" s="137"/>
      <c r="K45" s="172"/>
      <c r="L45" s="124"/>
      <c r="M45" s="146"/>
      <c r="N45" s="146"/>
      <c r="O45" s="14"/>
      <c r="P45" s="174"/>
    </row>
    <row r="46" spans="1:22" ht="15.75" thickBot="1" x14ac:dyDescent="0.3">
      <c r="A46" t="s">
        <v>47</v>
      </c>
      <c r="B46">
        <v>8.1199999999999992</v>
      </c>
      <c r="C46">
        <v>540</v>
      </c>
      <c r="D46">
        <v>400</v>
      </c>
      <c r="F46" s="148" t="s">
        <v>47</v>
      </c>
      <c r="G46" s="149"/>
      <c r="H46" s="150"/>
      <c r="I46" s="151"/>
      <c r="J46" s="149"/>
      <c r="K46" s="173"/>
      <c r="L46" s="151"/>
      <c r="M46" s="149"/>
      <c r="N46" s="149"/>
      <c r="O46" s="14"/>
      <c r="P46" s="174"/>
    </row>
    <row r="48" spans="1:22" x14ac:dyDescent="0.25">
      <c r="N48" s="175" t="s">
        <v>100</v>
      </c>
      <c r="O48" s="175"/>
    </row>
    <row r="49" spans="1:22" x14ac:dyDescent="0.25">
      <c r="F49" s="670" t="s">
        <v>74</v>
      </c>
      <c r="G49" s="670"/>
      <c r="H49" s="670"/>
      <c r="I49" s="670"/>
      <c r="J49" s="670"/>
      <c r="K49" s="670"/>
    </row>
    <row r="50" spans="1:22" ht="15.75" thickBot="1" x14ac:dyDescent="0.3">
      <c r="F50" s="2"/>
      <c r="G50" s="2"/>
      <c r="H50" s="2"/>
      <c r="I50" s="2"/>
      <c r="J50" s="2"/>
      <c r="M50" s="672"/>
      <c r="N50" s="672"/>
      <c r="O50" s="672"/>
    </row>
    <row r="51" spans="1:22" ht="15.75" thickBot="1" x14ac:dyDescent="0.3">
      <c r="F51" s="47" t="s">
        <v>0</v>
      </c>
      <c r="G51" s="18" t="s">
        <v>1</v>
      </c>
      <c r="H51" s="6" t="s">
        <v>2</v>
      </c>
      <c r="I51" s="6" t="s">
        <v>3</v>
      </c>
      <c r="J51" s="45" t="s">
        <v>0</v>
      </c>
      <c r="K51" s="673" t="s">
        <v>37</v>
      </c>
      <c r="L51" s="675" t="s">
        <v>4</v>
      </c>
      <c r="M51" s="677" t="s">
        <v>5</v>
      </c>
      <c r="N51" s="678"/>
      <c r="O51" s="679"/>
      <c r="P51" s="116" t="s">
        <v>11</v>
      </c>
      <c r="T51" s="680" t="s">
        <v>53</v>
      </c>
      <c r="U51" s="681"/>
      <c r="V51" s="682"/>
    </row>
    <row r="52" spans="1:22" ht="15.75" thickBot="1" x14ac:dyDescent="0.3">
      <c r="F52" s="48"/>
      <c r="G52" s="33" t="s">
        <v>6</v>
      </c>
      <c r="H52" s="27" t="s">
        <v>7</v>
      </c>
      <c r="I52" s="27"/>
      <c r="J52" s="27" t="s">
        <v>8</v>
      </c>
      <c r="K52" s="674"/>
      <c r="L52" s="676"/>
      <c r="M52" s="34" t="s">
        <v>9</v>
      </c>
      <c r="N52" s="50"/>
      <c r="O52" s="35" t="s">
        <v>10</v>
      </c>
      <c r="P52" s="117" t="s">
        <v>17</v>
      </c>
      <c r="T52" s="86" t="s">
        <v>50</v>
      </c>
      <c r="U52" s="77" t="s">
        <v>51</v>
      </c>
      <c r="V52" s="78" t="s">
        <v>52</v>
      </c>
    </row>
    <row r="53" spans="1:22" x14ac:dyDescent="0.25">
      <c r="A53" t="s">
        <v>0</v>
      </c>
      <c r="B53" t="s">
        <v>2</v>
      </c>
      <c r="C53" s="74" t="s">
        <v>8</v>
      </c>
      <c r="D53" s="74"/>
      <c r="F53" s="31"/>
      <c r="G53" s="51"/>
      <c r="H53" s="51"/>
      <c r="I53" s="22" t="e">
        <f>+G53/H53</f>
        <v>#DIV/0!</v>
      </c>
      <c r="J53" s="46"/>
      <c r="K53" s="44" t="e">
        <f>+J53*I53</f>
        <v>#DIV/0!</v>
      </c>
      <c r="L53" s="23" t="e">
        <f>+K53*1</f>
        <v>#DIV/0!</v>
      </c>
      <c r="M53" s="61">
        <v>1</v>
      </c>
      <c r="N53" s="68"/>
      <c r="O53" s="32" t="e">
        <f>+M53*K53</f>
        <v>#DIV/0!</v>
      </c>
      <c r="P53" s="118" t="e">
        <f>+O53+L53</f>
        <v>#DIV/0!</v>
      </c>
    </row>
    <row r="54" spans="1:22" x14ac:dyDescent="0.25">
      <c r="A54" t="s">
        <v>54</v>
      </c>
      <c r="B54">
        <v>20</v>
      </c>
      <c r="C54">
        <v>80</v>
      </c>
      <c r="F54" s="19"/>
      <c r="G54" s="80"/>
      <c r="H54" s="80"/>
      <c r="I54" s="8" t="e">
        <f>+G54/H54</f>
        <v>#DIV/0!</v>
      </c>
      <c r="J54" s="73"/>
      <c r="K54" s="72" t="e">
        <f>+J54*I54</f>
        <v>#DIV/0!</v>
      </c>
      <c r="L54" s="9" t="e">
        <f>+K54*1</f>
        <v>#DIV/0!</v>
      </c>
      <c r="M54" s="81">
        <v>1</v>
      </c>
      <c r="N54" s="82"/>
      <c r="O54" s="14" t="e">
        <f>+M54*K54</f>
        <v>#DIV/0!</v>
      </c>
      <c r="P54" s="65" t="e">
        <f>+O54+L54</f>
        <v>#DIV/0!</v>
      </c>
    </row>
    <row r="55" spans="1:22" x14ac:dyDescent="0.25">
      <c r="J55" s="67"/>
    </row>
    <row r="56" spans="1:22" x14ac:dyDescent="0.25">
      <c r="J56" s="67"/>
    </row>
    <row r="57" spans="1:22" x14ac:dyDescent="0.25">
      <c r="F57" s="88" t="s">
        <v>78</v>
      </c>
      <c r="G57" s="88"/>
      <c r="H57" s="88"/>
      <c r="J57" s="67"/>
    </row>
    <row r="58" spans="1:22" ht="15.75" thickBot="1" x14ac:dyDescent="0.3">
      <c r="J58" s="67"/>
    </row>
    <row r="59" spans="1:22" ht="15.75" thickBot="1" x14ac:dyDescent="0.3">
      <c r="B59" t="s">
        <v>67</v>
      </c>
      <c r="F59" s="126" t="s">
        <v>79</v>
      </c>
      <c r="G59" s="127" t="s">
        <v>85</v>
      </c>
      <c r="H59" s="127" t="s">
        <v>86</v>
      </c>
      <c r="I59" s="127" t="s">
        <v>80</v>
      </c>
      <c r="J59" s="127" t="s">
        <v>82</v>
      </c>
      <c r="K59" s="128" t="s">
        <v>67</v>
      </c>
    </row>
    <row r="60" spans="1:22" x14ac:dyDescent="0.25">
      <c r="A60" t="s">
        <v>83</v>
      </c>
      <c r="B60">
        <v>15</v>
      </c>
      <c r="F60" s="15"/>
      <c r="G60" s="15"/>
      <c r="H60" s="15"/>
      <c r="I60" s="15"/>
      <c r="J60" s="125"/>
      <c r="K60" s="15"/>
    </row>
    <row r="61" spans="1:22" x14ac:dyDescent="0.25">
      <c r="A61" t="s">
        <v>84</v>
      </c>
      <c r="B61">
        <v>25</v>
      </c>
      <c r="F61" s="69"/>
      <c r="G61" s="69"/>
      <c r="H61" s="69"/>
      <c r="I61" s="69"/>
      <c r="J61" s="114"/>
      <c r="K61" s="69"/>
    </row>
    <row r="62" spans="1:22" x14ac:dyDescent="0.25">
      <c r="A62" t="s">
        <v>81</v>
      </c>
      <c r="B62">
        <v>5</v>
      </c>
      <c r="F62" s="69"/>
      <c r="G62" s="69"/>
      <c r="H62" s="69"/>
      <c r="I62" s="69"/>
      <c r="J62" s="114"/>
      <c r="K62" s="115"/>
    </row>
    <row r="63" spans="1:22" x14ac:dyDescent="0.25">
      <c r="J63" s="67"/>
    </row>
    <row r="64" spans="1:22" x14ac:dyDescent="0.25">
      <c r="J64" s="67"/>
    </row>
    <row r="65" spans="1:16" x14ac:dyDescent="0.25">
      <c r="J65" s="67"/>
    </row>
    <row r="66" spans="1:16" x14ac:dyDescent="0.25">
      <c r="J66" s="67"/>
    </row>
    <row r="67" spans="1:16" x14ac:dyDescent="0.25">
      <c r="F67" s="106" t="s">
        <v>76</v>
      </c>
    </row>
    <row r="68" spans="1:16" x14ac:dyDescent="0.25">
      <c r="G68" s="109" t="s">
        <v>1</v>
      </c>
      <c r="H68" s="109" t="s">
        <v>67</v>
      </c>
    </row>
    <row r="69" spans="1:16" x14ac:dyDescent="0.25">
      <c r="A69" t="s">
        <v>60</v>
      </c>
      <c r="B69" t="s">
        <v>56</v>
      </c>
      <c r="F69" s="69" t="s">
        <v>66</v>
      </c>
      <c r="G69" s="69"/>
      <c r="H69" s="69"/>
    </row>
    <row r="70" spans="1:16" x14ac:dyDescent="0.25">
      <c r="A70" t="s">
        <v>55</v>
      </c>
      <c r="B70" t="s">
        <v>57</v>
      </c>
      <c r="F70" s="69" t="s">
        <v>68</v>
      </c>
      <c r="G70" s="69"/>
      <c r="H70" s="69"/>
    </row>
    <row r="71" spans="1:16" x14ac:dyDescent="0.25">
      <c r="A71" t="s">
        <v>58</v>
      </c>
      <c r="B71">
        <v>5</v>
      </c>
      <c r="F71" s="69" t="s">
        <v>71</v>
      </c>
      <c r="G71" s="69"/>
      <c r="H71" s="69"/>
    </row>
    <row r="72" spans="1:16" x14ac:dyDescent="0.25">
      <c r="A72" t="s">
        <v>59</v>
      </c>
      <c r="B72">
        <v>7</v>
      </c>
      <c r="F72" s="69" t="s">
        <v>72</v>
      </c>
      <c r="G72" s="69"/>
      <c r="H72" s="69"/>
    </row>
    <row r="73" spans="1:16" x14ac:dyDescent="0.25">
      <c r="A73" t="s">
        <v>26</v>
      </c>
      <c r="B73" t="s">
        <v>61</v>
      </c>
      <c r="C73" t="s">
        <v>62</v>
      </c>
      <c r="D73" t="s">
        <v>63</v>
      </c>
      <c r="E73" s="13"/>
      <c r="F73" s="102" t="s">
        <v>27</v>
      </c>
      <c r="G73" s="102"/>
      <c r="H73" s="102">
        <f>+H69+H70+H71+H72</f>
        <v>0</v>
      </c>
      <c r="I73" s="13"/>
      <c r="J73" s="13"/>
      <c r="K73" s="13"/>
      <c r="L73" s="13"/>
      <c r="M73" s="13"/>
      <c r="N73" s="13"/>
      <c r="O73" s="13"/>
      <c r="P73" s="13"/>
    </row>
    <row r="74" spans="1:16" x14ac:dyDescent="0.25">
      <c r="B74" s="66">
        <v>0.05</v>
      </c>
      <c r="C74" s="66">
        <v>0.1</v>
      </c>
      <c r="D74" s="66">
        <v>0.15</v>
      </c>
      <c r="E74" s="13"/>
      <c r="F74" s="69"/>
      <c r="G74" s="108" t="s">
        <v>69</v>
      </c>
      <c r="H74" s="108" t="s">
        <v>28</v>
      </c>
      <c r="I74" s="13"/>
      <c r="J74" s="13"/>
      <c r="K74" s="13"/>
      <c r="L74" s="13"/>
      <c r="M74" s="13"/>
      <c r="N74" s="13"/>
      <c r="O74" s="13"/>
      <c r="P74" s="13"/>
    </row>
    <row r="75" spans="1:16" x14ac:dyDescent="0.25">
      <c r="B75" t="s">
        <v>64</v>
      </c>
      <c r="C75" t="s">
        <v>65</v>
      </c>
      <c r="E75" s="13"/>
      <c r="F75" s="102" t="s">
        <v>26</v>
      </c>
      <c r="G75" s="103"/>
      <c r="H75" s="104"/>
      <c r="I75" s="101"/>
      <c r="J75" s="101"/>
      <c r="K75" s="101"/>
      <c r="L75" s="13"/>
      <c r="M75" s="13"/>
      <c r="N75" s="13"/>
      <c r="O75" s="13"/>
      <c r="P75" s="13"/>
    </row>
    <row r="76" spans="1:16" x14ac:dyDescent="0.25">
      <c r="B76" s="66">
        <v>0.2</v>
      </c>
      <c r="C76" s="66">
        <v>0.25</v>
      </c>
      <c r="E76" s="13"/>
      <c r="F76" s="103" t="s">
        <v>70</v>
      </c>
      <c r="G76" s="105"/>
      <c r="H76" s="105"/>
      <c r="I76" s="39"/>
      <c r="J76" s="39"/>
      <c r="K76" s="13"/>
      <c r="L76" s="13"/>
      <c r="M76" s="683"/>
      <c r="N76" s="683"/>
      <c r="O76" s="683"/>
      <c r="P76" s="13"/>
    </row>
    <row r="77" spans="1:16" x14ac:dyDescent="0.25">
      <c r="E77" s="13"/>
      <c r="F77" s="98"/>
      <c r="G77" s="98"/>
      <c r="H77" s="98"/>
      <c r="I77" s="98"/>
      <c r="J77" s="91"/>
      <c r="K77" s="129"/>
      <c r="L77" s="129"/>
      <c r="M77" s="684"/>
      <c r="N77" s="684"/>
      <c r="O77" s="684"/>
      <c r="P77" s="13"/>
    </row>
    <row r="78" spans="1:16" x14ac:dyDescent="0.25">
      <c r="E78" s="13"/>
      <c r="F78" s="98"/>
      <c r="G78" s="98"/>
      <c r="H78" s="98"/>
      <c r="I78" s="98"/>
      <c r="J78" s="91"/>
      <c r="K78" s="129"/>
      <c r="L78" s="129"/>
      <c r="M78" s="98"/>
      <c r="N78" s="98"/>
      <c r="O78" s="98"/>
      <c r="P78" s="13"/>
    </row>
    <row r="79" spans="1:16" x14ac:dyDescent="0.25">
      <c r="E79" s="13"/>
      <c r="F79" s="98"/>
      <c r="G79" s="98"/>
      <c r="H79" s="98"/>
      <c r="I79" s="98"/>
      <c r="J79" s="91"/>
      <c r="K79" s="129"/>
      <c r="L79" s="129"/>
      <c r="M79" s="98"/>
      <c r="N79" s="98"/>
      <c r="O79" s="98"/>
      <c r="P79" s="13"/>
    </row>
    <row r="80" spans="1:16" x14ac:dyDescent="0.25">
      <c r="E80" s="13"/>
      <c r="F80" s="98"/>
      <c r="G80" s="98"/>
      <c r="H80" s="98"/>
      <c r="I80" s="98"/>
      <c r="J80" s="91"/>
      <c r="K80" s="129"/>
      <c r="L80" s="129"/>
      <c r="M80" s="98"/>
      <c r="N80" s="98"/>
      <c r="O80" s="98"/>
      <c r="P80" s="13"/>
    </row>
    <row r="81" spans="5:16" x14ac:dyDescent="0.25">
      <c r="E81" s="13"/>
      <c r="F81" s="98" t="s">
        <v>77</v>
      </c>
      <c r="G81" s="98"/>
      <c r="H81" s="98"/>
      <c r="I81" s="98"/>
      <c r="J81" s="91"/>
      <c r="K81" s="129"/>
      <c r="L81" s="129"/>
      <c r="M81" s="98"/>
      <c r="N81" s="98"/>
      <c r="O81" s="98"/>
      <c r="P81" s="13"/>
    </row>
    <row r="82" spans="5:16" ht="15.75" thickBot="1" x14ac:dyDescent="0.3">
      <c r="E82" s="13"/>
      <c r="F82" s="98"/>
      <c r="G82" s="98"/>
      <c r="H82" s="98"/>
      <c r="I82" s="98"/>
      <c r="J82" s="98"/>
      <c r="K82" s="129"/>
      <c r="L82" s="129"/>
      <c r="M82" s="98"/>
      <c r="N82" s="98"/>
      <c r="O82" s="98"/>
      <c r="P82" s="13"/>
    </row>
    <row r="83" spans="5:16" ht="15.75" thickBot="1" x14ac:dyDescent="0.3">
      <c r="E83" s="13"/>
      <c r="F83" s="75" t="s">
        <v>31</v>
      </c>
      <c r="G83" s="76" t="s">
        <v>30</v>
      </c>
      <c r="H83" s="76" t="s">
        <v>29</v>
      </c>
      <c r="I83" s="110" t="s">
        <v>33</v>
      </c>
      <c r="J83" s="38"/>
      <c r="K83" s="92"/>
      <c r="L83" s="11"/>
      <c r="M83" s="93"/>
      <c r="N83" s="93"/>
      <c r="O83" s="94"/>
      <c r="P83" s="62"/>
    </row>
    <row r="84" spans="5:16" x14ac:dyDescent="0.25">
      <c r="E84" s="13"/>
      <c r="F84" s="111"/>
      <c r="G84" s="112"/>
      <c r="H84" s="112"/>
      <c r="I84" s="113"/>
      <c r="J84" s="38"/>
      <c r="K84" s="92"/>
      <c r="L84" s="11"/>
      <c r="M84" s="93"/>
      <c r="N84" s="93"/>
      <c r="O84" s="94"/>
      <c r="P84" s="62"/>
    </row>
    <row r="85" spans="5:16" x14ac:dyDescent="0.25">
      <c r="E85" s="13"/>
      <c r="F85" s="38"/>
      <c r="G85" s="39"/>
      <c r="H85" s="39"/>
      <c r="I85" s="92"/>
      <c r="J85" s="38"/>
      <c r="K85" s="92"/>
      <c r="L85" s="11"/>
      <c r="M85" s="93"/>
      <c r="N85" s="93"/>
      <c r="O85" s="94"/>
      <c r="P85" s="62"/>
    </row>
    <row r="86" spans="5:16" x14ac:dyDescent="0.25"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</row>
  </sheetData>
  <mergeCells count="36">
    <mergeCell ref="A14:C14"/>
    <mergeCell ref="A27:D27"/>
    <mergeCell ref="K27:K28"/>
    <mergeCell ref="J27:J28"/>
    <mergeCell ref="K15:K16"/>
    <mergeCell ref="A21:C21"/>
    <mergeCell ref="F22:F23"/>
    <mergeCell ref="K22:K23"/>
    <mergeCell ref="G22:J22"/>
    <mergeCell ref="M76:O76"/>
    <mergeCell ref="M77:O77"/>
    <mergeCell ref="A33:C33"/>
    <mergeCell ref="K33:K34"/>
    <mergeCell ref="J33:J34"/>
    <mergeCell ref="M39:O39"/>
    <mergeCell ref="C40:D40"/>
    <mergeCell ref="M40:O40"/>
    <mergeCell ref="T6:V6"/>
    <mergeCell ref="T40:V40"/>
    <mergeCell ref="F49:K49"/>
    <mergeCell ref="M50:O50"/>
    <mergeCell ref="K51:K52"/>
    <mergeCell ref="L51:L52"/>
    <mergeCell ref="M51:O51"/>
    <mergeCell ref="T51:V51"/>
    <mergeCell ref="K40:K41"/>
    <mergeCell ref="L40:L41"/>
    <mergeCell ref="L15:L16"/>
    <mergeCell ref="M15:O15"/>
    <mergeCell ref="F4:K4"/>
    <mergeCell ref="A5:C5"/>
    <mergeCell ref="A10:C10"/>
    <mergeCell ref="M5:O5"/>
    <mergeCell ref="K6:K7"/>
    <mergeCell ref="L6:L7"/>
    <mergeCell ref="M6:O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U48"/>
  <sheetViews>
    <sheetView topLeftCell="C1" workbookViewId="0">
      <selection activeCell="S1" sqref="C1:S50"/>
    </sheetView>
  </sheetViews>
  <sheetFormatPr defaultRowHeight="15" x14ac:dyDescent="0.25"/>
  <cols>
    <col min="1" max="1" width="25.7109375" bestFit="1" customWidth="1"/>
  </cols>
  <sheetData>
    <row r="2" spans="1:21" x14ac:dyDescent="0.25">
      <c r="F2" s="670" t="s">
        <v>304</v>
      </c>
      <c r="G2" s="670"/>
      <c r="H2" s="670"/>
      <c r="I2" s="670"/>
    </row>
    <row r="3" spans="1:21" x14ac:dyDescent="0.25">
      <c r="F3" s="36" t="s">
        <v>305</v>
      </c>
    </row>
    <row r="4" spans="1:21" x14ac:dyDescent="0.25">
      <c r="F4" s="521" t="s">
        <v>306</v>
      </c>
      <c r="G4" s="521"/>
      <c r="H4" s="521"/>
      <c r="I4" s="521"/>
      <c r="J4" s="521"/>
      <c r="K4" s="521"/>
      <c r="L4" s="521"/>
    </row>
    <row r="5" spans="1:21" ht="15.75" thickBot="1" x14ac:dyDescent="0.3">
      <c r="F5" s="2" t="s">
        <v>307</v>
      </c>
      <c r="G5" s="2"/>
      <c r="H5" s="2"/>
      <c r="I5" s="2"/>
      <c r="J5" s="2"/>
      <c r="U5" s="89"/>
    </row>
    <row r="6" spans="1:21" x14ac:dyDescent="0.25">
      <c r="B6" t="s">
        <v>2</v>
      </c>
      <c r="C6" t="s">
        <v>8</v>
      </c>
      <c r="D6" t="s">
        <v>128</v>
      </c>
      <c r="F6" s="47" t="s">
        <v>0</v>
      </c>
      <c r="G6" s="18" t="s">
        <v>1</v>
      </c>
      <c r="H6" s="6" t="s">
        <v>2</v>
      </c>
      <c r="I6" s="6" t="s">
        <v>3</v>
      </c>
      <c r="J6" s="518" t="s">
        <v>0</v>
      </c>
      <c r="K6" s="197" t="s">
        <v>37</v>
      </c>
      <c r="L6" s="534" t="s">
        <v>4</v>
      </c>
      <c r="M6" s="21" t="s">
        <v>23</v>
      </c>
      <c r="N6" s="410" t="s">
        <v>11</v>
      </c>
    </row>
    <row r="7" spans="1:21" ht="25.5" x14ac:dyDescent="0.25">
      <c r="A7" t="s">
        <v>115</v>
      </c>
      <c r="B7">
        <v>10</v>
      </c>
      <c r="C7">
        <v>7.5</v>
      </c>
      <c r="D7">
        <v>0.1</v>
      </c>
      <c r="F7" s="535"/>
      <c r="G7" s="536" t="s">
        <v>6</v>
      </c>
      <c r="H7" s="537" t="s">
        <v>7</v>
      </c>
      <c r="I7" s="537" t="s">
        <v>13</v>
      </c>
      <c r="J7" s="537" t="s">
        <v>8</v>
      </c>
      <c r="K7" s="538" t="s">
        <v>127</v>
      </c>
      <c r="L7" s="539"/>
      <c r="M7" s="540" t="s">
        <v>24</v>
      </c>
      <c r="N7" s="541" t="s">
        <v>12</v>
      </c>
      <c r="T7" s="542"/>
    </row>
    <row r="8" spans="1:21" x14ac:dyDescent="0.25">
      <c r="A8" t="s">
        <v>116</v>
      </c>
      <c r="B8">
        <v>15</v>
      </c>
      <c r="C8">
        <v>10</v>
      </c>
      <c r="D8">
        <v>0.1</v>
      </c>
      <c r="F8" s="543" t="s">
        <v>90</v>
      </c>
      <c r="G8" s="19">
        <v>9</v>
      </c>
      <c r="H8" s="19">
        <v>15</v>
      </c>
      <c r="I8" s="8">
        <f>+G8/H8</f>
        <v>0.6</v>
      </c>
      <c r="J8" s="73">
        <v>48</v>
      </c>
      <c r="K8" s="544">
        <f>+J8*I8</f>
        <v>28.799999999999997</v>
      </c>
      <c r="L8" s="545">
        <f>+K8*1.2</f>
        <v>34.559999999999995</v>
      </c>
      <c r="M8" s="540">
        <f>+G8*0.1</f>
        <v>0.9</v>
      </c>
      <c r="N8" s="546">
        <f>+M8+L8</f>
        <v>35.459999999999994</v>
      </c>
      <c r="Q8" t="s">
        <v>145</v>
      </c>
      <c r="R8" t="s">
        <v>308</v>
      </c>
      <c r="S8" t="s">
        <v>148</v>
      </c>
      <c r="T8" s="542"/>
    </row>
    <row r="9" spans="1:21" x14ac:dyDescent="0.25">
      <c r="A9" t="s">
        <v>117</v>
      </c>
      <c r="B9">
        <v>15</v>
      </c>
      <c r="C9">
        <v>48</v>
      </c>
      <c r="F9" s="543" t="s">
        <v>309</v>
      </c>
      <c r="G9" s="19">
        <v>10</v>
      </c>
      <c r="H9" s="19">
        <v>10</v>
      </c>
      <c r="I9" s="8">
        <f>+G9/H9</f>
        <v>1</v>
      </c>
      <c r="J9" s="73">
        <v>7.5</v>
      </c>
      <c r="K9" s="544">
        <f>+J9*I9</f>
        <v>7.5</v>
      </c>
      <c r="L9" s="545">
        <f>+K9*1.2</f>
        <v>9</v>
      </c>
      <c r="M9" s="540">
        <f>+G9*0.1</f>
        <v>1</v>
      </c>
      <c r="N9" s="546">
        <f>+M9+L9</f>
        <v>10</v>
      </c>
      <c r="Q9" t="s">
        <v>145</v>
      </c>
      <c r="R9" t="s">
        <v>310</v>
      </c>
      <c r="S9" t="s">
        <v>311</v>
      </c>
      <c r="T9" s="542"/>
    </row>
    <row r="10" spans="1:21" x14ac:dyDescent="0.25">
      <c r="A10" t="s">
        <v>118</v>
      </c>
      <c r="B10">
        <v>20</v>
      </c>
      <c r="C10" t="s">
        <v>119</v>
      </c>
      <c r="F10" s="543" t="s">
        <v>309</v>
      </c>
      <c r="G10" s="19">
        <v>8</v>
      </c>
      <c r="H10" s="19">
        <v>10</v>
      </c>
      <c r="I10" s="8">
        <f>+G10/H10</f>
        <v>0.8</v>
      </c>
      <c r="J10" s="73">
        <v>7.5</v>
      </c>
      <c r="K10" s="544">
        <f>+J10*I10</f>
        <v>6</v>
      </c>
      <c r="L10" s="545">
        <f>+K10*1.2</f>
        <v>7.1999999999999993</v>
      </c>
      <c r="M10" s="540">
        <f>+G10*0.1</f>
        <v>0.8</v>
      </c>
      <c r="N10" s="546">
        <f>+M10+L10</f>
        <v>7.9999999999999991</v>
      </c>
      <c r="Q10" t="s">
        <v>312</v>
      </c>
      <c r="R10" t="s">
        <v>308</v>
      </c>
      <c r="S10" t="s">
        <v>148</v>
      </c>
      <c r="T10" s="542"/>
    </row>
    <row r="11" spans="1:21" ht="15.75" thickBot="1" x14ac:dyDescent="0.3">
      <c r="F11" s="547" t="s">
        <v>313</v>
      </c>
      <c r="G11" s="20">
        <v>6</v>
      </c>
      <c r="H11" s="20">
        <v>10</v>
      </c>
      <c r="I11" s="8">
        <f>+G11/H11</f>
        <v>0.6</v>
      </c>
      <c r="J11" s="73">
        <v>10</v>
      </c>
      <c r="K11" s="544">
        <f>+J11*I11</f>
        <v>6</v>
      </c>
      <c r="L11" s="545">
        <f>+K11*1.2</f>
        <v>7.1999999999999993</v>
      </c>
      <c r="M11" s="540">
        <f>+G11*0.1</f>
        <v>0.60000000000000009</v>
      </c>
      <c r="N11" s="546">
        <f>+M11+L11</f>
        <v>7.7999999999999989</v>
      </c>
      <c r="Q11" t="s">
        <v>145</v>
      </c>
      <c r="R11" t="s">
        <v>310</v>
      </c>
      <c r="S11" t="s">
        <v>311</v>
      </c>
      <c r="T11" s="542"/>
    </row>
    <row r="12" spans="1:21" x14ac:dyDescent="0.25">
      <c r="E12" s="201" t="s">
        <v>126</v>
      </c>
      <c r="F12" s="203">
        <v>4</v>
      </c>
      <c r="G12" s="203">
        <f>SUM(G8:G11)</f>
        <v>33</v>
      </c>
      <c r="H12" s="548"/>
      <c r="I12" s="203"/>
      <c r="J12" s="203"/>
      <c r="K12" s="203">
        <f>SUM(K8:K11)</f>
        <v>48.3</v>
      </c>
      <c r="L12" s="203"/>
      <c r="M12" s="203"/>
      <c r="N12" s="203">
        <f>SUM(N8:N11)</f>
        <v>61.259999999999991</v>
      </c>
      <c r="T12" s="549"/>
    </row>
    <row r="13" spans="1:21" x14ac:dyDescent="0.25">
      <c r="H13" s="11"/>
      <c r="T13" s="549"/>
    </row>
    <row r="14" spans="1:21" x14ac:dyDescent="0.25">
      <c r="H14" s="11"/>
      <c r="T14" s="549"/>
    </row>
    <row r="15" spans="1:21" x14ac:dyDescent="0.25">
      <c r="F15" s="36" t="s">
        <v>314</v>
      </c>
      <c r="G15" s="36" t="s">
        <v>198</v>
      </c>
      <c r="H15" s="11"/>
      <c r="T15" s="549"/>
    </row>
    <row r="16" spans="1:21" x14ac:dyDescent="0.25">
      <c r="H16" s="11"/>
      <c r="T16" s="549"/>
    </row>
    <row r="17" spans="1:20" x14ac:dyDescent="0.25">
      <c r="F17" s="38"/>
      <c r="G17" s="39"/>
      <c r="H17" s="39"/>
      <c r="I17" s="92"/>
      <c r="J17" s="38"/>
      <c r="K17" s="339"/>
      <c r="T17" s="549"/>
    </row>
    <row r="18" spans="1:20" x14ac:dyDescent="0.25">
      <c r="F18" s="670" t="s">
        <v>315</v>
      </c>
      <c r="G18" s="670"/>
      <c r="H18" s="670"/>
      <c r="J18" s="67"/>
    </row>
    <row r="19" spans="1:20" ht="15.75" thickBot="1" x14ac:dyDescent="0.3">
      <c r="J19" s="67"/>
      <c r="T19" s="74"/>
    </row>
    <row r="20" spans="1:20" ht="15.75" thickBot="1" x14ac:dyDescent="0.3">
      <c r="B20" t="s">
        <v>67</v>
      </c>
      <c r="F20" s="340" t="s">
        <v>79</v>
      </c>
      <c r="G20" s="341" t="s">
        <v>85</v>
      </c>
      <c r="H20" s="341" t="s">
        <v>86</v>
      </c>
      <c r="I20" s="341" t="s">
        <v>80</v>
      </c>
      <c r="J20" s="341" t="s">
        <v>82</v>
      </c>
      <c r="K20" s="342" t="s">
        <v>67</v>
      </c>
      <c r="O20" s="67"/>
    </row>
    <row r="21" spans="1:20" ht="15.75" thickBot="1" x14ac:dyDescent="0.3">
      <c r="A21" t="s">
        <v>83</v>
      </c>
      <c r="B21">
        <v>15</v>
      </c>
      <c r="F21" s="597" t="s">
        <v>316</v>
      </c>
      <c r="G21" s="598"/>
      <c r="H21" s="598"/>
      <c r="I21" s="598"/>
      <c r="J21" s="599" t="s">
        <v>124</v>
      </c>
      <c r="K21" s="600">
        <v>5</v>
      </c>
      <c r="O21" s="67"/>
    </row>
    <row r="22" spans="1:20" x14ac:dyDescent="0.25">
      <c r="A22" t="s">
        <v>84</v>
      </c>
      <c r="B22">
        <v>25</v>
      </c>
      <c r="F22" s="13"/>
      <c r="G22" s="567"/>
      <c r="H22" s="567"/>
      <c r="I22" s="567"/>
      <c r="J22" s="550"/>
      <c r="K22" s="567"/>
      <c r="L22" s="37"/>
      <c r="M22" s="37"/>
    </row>
    <row r="23" spans="1:20" x14ac:dyDescent="0.25">
      <c r="A23" t="s">
        <v>317</v>
      </c>
      <c r="B23">
        <v>5</v>
      </c>
      <c r="E23" s="201" t="s">
        <v>126</v>
      </c>
      <c r="F23" s="552">
        <v>1</v>
      </c>
      <c r="G23" s="553"/>
      <c r="H23" s="553"/>
      <c r="I23" s="553"/>
      <c r="J23" s="553"/>
      <c r="K23" s="201">
        <f ca="1">SUM(K21:K27)</f>
        <v>5</v>
      </c>
      <c r="L23" s="37"/>
      <c r="M23" s="37"/>
    </row>
    <row r="24" spans="1:20" x14ac:dyDescent="0.25">
      <c r="F24" s="13"/>
      <c r="G24" s="567"/>
      <c r="H24" s="567"/>
      <c r="I24" s="567"/>
      <c r="J24" s="550"/>
      <c r="K24" s="595"/>
      <c r="L24" s="37"/>
      <c r="M24" s="37"/>
    </row>
    <row r="25" spans="1:20" x14ac:dyDescent="0.25">
      <c r="F25" s="596"/>
      <c r="G25" s="37"/>
      <c r="H25" s="567"/>
      <c r="I25" s="567"/>
      <c r="J25" s="550"/>
      <c r="K25" s="595"/>
      <c r="L25" s="37"/>
      <c r="M25" s="37"/>
    </row>
    <row r="26" spans="1:20" x14ac:dyDescent="0.25">
      <c r="F26" s="13"/>
      <c r="G26" s="567"/>
      <c r="H26" s="567"/>
      <c r="I26" s="567"/>
      <c r="J26" s="550"/>
      <c r="K26" s="567"/>
      <c r="L26" s="37"/>
      <c r="M26" s="37"/>
      <c r="N26" s="13"/>
      <c r="O26" s="520"/>
      <c r="P26" s="520"/>
      <c r="Q26" s="520"/>
      <c r="R26" s="550"/>
      <c r="S26" s="520"/>
    </row>
    <row r="27" spans="1:20" x14ac:dyDescent="0.25">
      <c r="J27" s="67"/>
      <c r="N27" s="13"/>
      <c r="O27" s="520"/>
      <c r="P27" s="520"/>
      <c r="Q27" s="520"/>
      <c r="R27" s="550"/>
      <c r="S27" s="551"/>
    </row>
    <row r="28" spans="1:20" x14ac:dyDescent="0.25">
      <c r="N28" s="13"/>
      <c r="O28" s="520"/>
      <c r="P28" s="520"/>
      <c r="Q28" s="520"/>
      <c r="R28" s="550"/>
      <c r="S28" s="520"/>
    </row>
    <row r="29" spans="1:20" x14ac:dyDescent="0.25">
      <c r="F29" s="106" t="s">
        <v>318</v>
      </c>
    </row>
    <row r="30" spans="1:20" x14ac:dyDescent="0.25">
      <c r="G30" s="109" t="s">
        <v>1</v>
      </c>
      <c r="H30" s="109" t="s">
        <v>67</v>
      </c>
      <c r="J30" s="13"/>
      <c r="K30" s="13"/>
      <c r="L30" s="522"/>
      <c r="M30" s="522"/>
    </row>
    <row r="31" spans="1:20" x14ac:dyDescent="0.25">
      <c r="A31" t="s">
        <v>60</v>
      </c>
      <c r="B31" t="s">
        <v>56</v>
      </c>
      <c r="F31" s="69" t="s">
        <v>66</v>
      </c>
      <c r="G31" s="69">
        <v>33</v>
      </c>
      <c r="H31" s="69">
        <f>+G31*1</f>
        <v>33</v>
      </c>
      <c r="J31" s="13"/>
      <c r="K31" s="13"/>
      <c r="L31" s="13"/>
      <c r="M31" s="13"/>
    </row>
    <row r="32" spans="1:20" x14ac:dyDescent="0.25">
      <c r="A32" t="s">
        <v>55</v>
      </c>
      <c r="B32" t="s">
        <v>57</v>
      </c>
      <c r="F32" s="69" t="s">
        <v>68</v>
      </c>
      <c r="G32" s="69">
        <v>0</v>
      </c>
      <c r="H32" s="69">
        <f>+G32*2</f>
        <v>0</v>
      </c>
      <c r="J32" s="13"/>
      <c r="K32" s="13"/>
      <c r="L32" s="13"/>
      <c r="M32" s="13"/>
    </row>
    <row r="33" spans="1:13" x14ac:dyDescent="0.25">
      <c r="A33" t="s">
        <v>58</v>
      </c>
      <c r="B33">
        <v>5</v>
      </c>
      <c r="F33" s="69" t="s">
        <v>171</v>
      </c>
      <c r="G33" s="69" t="s">
        <v>124</v>
      </c>
      <c r="H33" s="69">
        <v>10</v>
      </c>
      <c r="J33" s="13"/>
      <c r="K33" s="13"/>
      <c r="L33" s="13"/>
      <c r="M33" s="13"/>
    </row>
    <row r="34" spans="1:13" x14ac:dyDescent="0.25">
      <c r="A34" t="s">
        <v>59</v>
      </c>
      <c r="B34">
        <v>7</v>
      </c>
      <c r="F34" s="69" t="s">
        <v>319</v>
      </c>
      <c r="G34" s="69" t="s">
        <v>124</v>
      </c>
      <c r="H34" s="69">
        <v>5</v>
      </c>
      <c r="J34" s="13"/>
      <c r="K34" s="13"/>
      <c r="L34" s="13"/>
      <c r="M34" s="13"/>
    </row>
    <row r="35" spans="1:13" x14ac:dyDescent="0.25">
      <c r="A35" t="s">
        <v>26</v>
      </c>
      <c r="B35" t="s">
        <v>61</v>
      </c>
      <c r="C35" t="s">
        <v>62</v>
      </c>
      <c r="D35" t="s">
        <v>63</v>
      </c>
      <c r="E35" s="13"/>
      <c r="F35" s="102" t="s">
        <v>27</v>
      </c>
      <c r="G35" s="102"/>
      <c r="H35" s="204">
        <f>+H31+H32+H33+H34</f>
        <v>48</v>
      </c>
      <c r="I35" s="13"/>
      <c r="J35" s="13"/>
      <c r="K35" s="13"/>
      <c r="L35" s="13"/>
      <c r="M35" s="240"/>
    </row>
    <row r="36" spans="1:13" x14ac:dyDescent="0.25">
      <c r="B36" s="66">
        <v>0.05</v>
      </c>
      <c r="C36" s="66">
        <v>0.1</v>
      </c>
      <c r="D36" s="66">
        <v>0.15</v>
      </c>
      <c r="E36" s="13"/>
      <c r="F36" s="69"/>
      <c r="G36" s="108" t="s">
        <v>69</v>
      </c>
      <c r="H36" s="108" t="s">
        <v>28</v>
      </c>
      <c r="I36" s="13"/>
      <c r="J36" s="13"/>
      <c r="K36" s="13"/>
      <c r="L36" s="522"/>
      <c r="M36" s="522"/>
    </row>
    <row r="37" spans="1:13" x14ac:dyDescent="0.25">
      <c r="B37" t="s">
        <v>64</v>
      </c>
      <c r="C37" t="s">
        <v>65</v>
      </c>
      <c r="E37" s="13"/>
      <c r="F37" s="102" t="s">
        <v>26</v>
      </c>
      <c r="G37" s="103">
        <v>70</v>
      </c>
      <c r="H37" s="554">
        <f>+H35*0.25</f>
        <v>12</v>
      </c>
      <c r="I37" s="101"/>
      <c r="J37" s="101"/>
      <c r="K37" s="13"/>
      <c r="L37" s="101"/>
      <c r="M37" s="555"/>
    </row>
    <row r="38" spans="1:13" x14ac:dyDescent="0.25">
      <c r="B38" s="66">
        <v>0.2</v>
      </c>
      <c r="C38" s="66">
        <v>0.25</v>
      </c>
      <c r="E38" s="13"/>
      <c r="F38" s="103"/>
      <c r="G38" s="105"/>
      <c r="H38" s="200"/>
      <c r="I38" s="39"/>
      <c r="J38" s="39"/>
      <c r="K38" s="101"/>
      <c r="L38" s="39"/>
      <c r="M38" s="423"/>
    </row>
    <row r="39" spans="1:13" x14ac:dyDescent="0.25">
      <c r="E39" s="13"/>
      <c r="F39" s="517"/>
      <c r="G39" s="517"/>
      <c r="H39" s="517"/>
      <c r="I39" s="517"/>
      <c r="J39" s="91"/>
      <c r="K39" s="129"/>
      <c r="L39" s="13"/>
      <c r="M39" s="13"/>
    </row>
    <row r="40" spans="1:13" x14ac:dyDescent="0.25">
      <c r="E40" s="201" t="s">
        <v>126</v>
      </c>
      <c r="F40" s="553"/>
      <c r="G40" s="553"/>
      <c r="H40" s="556">
        <f>+H35+H37</f>
        <v>60</v>
      </c>
      <c r="I40" s="517"/>
      <c r="J40" s="91"/>
      <c r="K40" s="13"/>
      <c r="L40" s="13"/>
      <c r="M40" s="557"/>
    </row>
    <row r="41" spans="1:13" x14ac:dyDescent="0.25">
      <c r="E41" s="13"/>
      <c r="F41" s="517"/>
      <c r="G41" s="517"/>
      <c r="H41" s="517"/>
      <c r="I41" s="517"/>
      <c r="J41" s="91"/>
      <c r="K41" s="129"/>
    </row>
    <row r="42" spans="1:13" x14ac:dyDescent="0.25">
      <c r="E42" s="13"/>
      <c r="F42" s="517"/>
      <c r="G42" s="517"/>
      <c r="H42" s="517"/>
      <c r="I42" s="517"/>
      <c r="J42" s="91"/>
      <c r="K42" s="129"/>
    </row>
    <row r="43" spans="1:13" x14ac:dyDescent="0.25">
      <c r="E43" s="13"/>
      <c r="F43" s="517" t="s">
        <v>77</v>
      </c>
      <c r="G43" s="517"/>
      <c r="H43" s="517"/>
      <c r="I43" s="517"/>
      <c r="J43" s="91"/>
      <c r="K43" s="129"/>
    </row>
    <row r="44" spans="1:13" ht="15.75" thickBot="1" x14ac:dyDescent="0.3">
      <c r="E44" s="13"/>
      <c r="F44" s="517"/>
      <c r="G44" s="517"/>
      <c r="H44" s="517"/>
      <c r="I44" s="517"/>
      <c r="J44" s="517"/>
      <c r="K44" s="129"/>
    </row>
    <row r="45" spans="1:13" ht="15.75" thickBot="1" x14ac:dyDescent="0.3">
      <c r="E45" s="13"/>
      <c r="F45" s="75" t="s">
        <v>31</v>
      </c>
      <c r="G45" s="76" t="s">
        <v>30</v>
      </c>
      <c r="H45" s="76" t="s">
        <v>29</v>
      </c>
      <c r="I45" s="205" t="s">
        <v>33</v>
      </c>
      <c r="J45" s="38"/>
      <c r="K45" s="92"/>
    </row>
    <row r="46" spans="1:13" x14ac:dyDescent="0.25">
      <c r="F46" s="69" t="s">
        <v>320</v>
      </c>
      <c r="G46" s="69" t="s">
        <v>122</v>
      </c>
      <c r="H46" s="69">
        <v>260</v>
      </c>
      <c r="I46" s="69">
        <v>375</v>
      </c>
    </row>
    <row r="47" spans="1:13" x14ac:dyDescent="0.25">
      <c r="I47" s="10"/>
    </row>
    <row r="48" spans="1:13" x14ac:dyDescent="0.25">
      <c r="E48" s="201" t="s">
        <v>126</v>
      </c>
      <c r="F48" s="558">
        <v>1</v>
      </c>
      <c r="G48" s="553"/>
      <c r="H48" s="556"/>
      <c r="I48" s="407">
        <f>SUM(I46:I47)</f>
        <v>375</v>
      </c>
    </row>
  </sheetData>
  <mergeCells count="2">
    <mergeCell ref="F2:I2"/>
    <mergeCell ref="F18:H18"/>
  </mergeCells>
  <pageMargins left="0.7" right="0.7" top="0.75" bottom="0.75" header="0.3" footer="0.3"/>
  <pageSetup paperSize="9" scale="84" fitToHeight="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S74"/>
  <sheetViews>
    <sheetView topLeftCell="D16" workbookViewId="0">
      <selection activeCell="S34" sqref="S34"/>
    </sheetView>
  </sheetViews>
  <sheetFormatPr defaultRowHeight="15" x14ac:dyDescent="0.25"/>
  <cols>
    <col min="1" max="1" width="23.140625" bestFit="1" customWidth="1"/>
    <col min="5" max="5" width="12.7109375" customWidth="1"/>
    <col min="6" max="6" width="10.28515625" customWidth="1"/>
    <col min="7" max="7" width="19.7109375" customWidth="1"/>
    <col min="8" max="8" width="10.140625" customWidth="1"/>
    <col min="12" max="12" width="9.5703125" bestFit="1" customWidth="1"/>
    <col min="13" max="13" width="9.28515625" customWidth="1"/>
    <col min="16" max="17" width="12.5703125" customWidth="1"/>
    <col min="19" max="20" width="11" customWidth="1"/>
    <col min="21" max="23" width="21.5703125" customWidth="1"/>
    <col min="25" max="25" width="18.85546875" bestFit="1" customWidth="1"/>
    <col min="29" max="29" width="7" customWidth="1"/>
    <col min="30" max="30" width="12.7109375" customWidth="1"/>
  </cols>
  <sheetData>
    <row r="1" spans="1:45" x14ac:dyDescent="0.25">
      <c r="A1" s="335" t="s">
        <v>39</v>
      </c>
      <c r="B1" s="335"/>
      <c r="C1" s="335"/>
      <c r="G1" s="670" t="s">
        <v>16</v>
      </c>
      <c r="H1" s="670"/>
      <c r="I1" s="670"/>
      <c r="J1" s="670"/>
      <c r="K1" s="670"/>
      <c r="L1" s="670"/>
    </row>
    <row r="2" spans="1:45" x14ac:dyDescent="0.25">
      <c r="B2" t="s">
        <v>2</v>
      </c>
      <c r="C2" t="s">
        <v>8</v>
      </c>
      <c r="G2" s="670" t="s">
        <v>219</v>
      </c>
      <c r="H2" s="670"/>
      <c r="I2" s="670"/>
      <c r="J2" s="670"/>
      <c r="K2" s="670"/>
      <c r="L2" s="670"/>
      <c r="AC2" s="13"/>
      <c r="AD2" s="615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</row>
    <row r="3" spans="1:45" ht="15.75" thickBot="1" x14ac:dyDescent="0.3">
      <c r="A3" t="s">
        <v>15</v>
      </c>
      <c r="B3">
        <v>15</v>
      </c>
      <c r="C3">
        <v>60</v>
      </c>
      <c r="D3" s="97"/>
      <c r="G3" t="s">
        <v>159</v>
      </c>
      <c r="H3" s="2"/>
      <c r="I3" s="2"/>
      <c r="J3" s="2"/>
      <c r="K3" s="2"/>
      <c r="N3" s="672"/>
      <c r="O3" s="672"/>
      <c r="P3" s="252"/>
      <c r="Q3" s="373"/>
      <c r="R3" s="252"/>
      <c r="AC3" s="13"/>
      <c r="AD3" s="718"/>
      <c r="AE3" s="718"/>
      <c r="AF3" s="718"/>
      <c r="AG3" s="718"/>
      <c r="AH3" s="718"/>
      <c r="AI3" s="718"/>
      <c r="AJ3" s="13"/>
      <c r="AK3" s="13"/>
      <c r="AL3" s="13"/>
      <c r="AM3" s="13"/>
      <c r="AN3" s="13"/>
      <c r="AO3" s="13"/>
      <c r="AP3" s="13"/>
      <c r="AQ3" s="13"/>
      <c r="AR3" s="13"/>
      <c r="AS3" s="13"/>
    </row>
    <row r="4" spans="1:45" ht="15.75" thickBot="1" x14ac:dyDescent="0.3">
      <c r="A4" t="s">
        <v>40</v>
      </c>
      <c r="B4">
        <v>20</v>
      </c>
      <c r="C4">
        <v>80</v>
      </c>
      <c r="G4" s="121" t="s">
        <v>0</v>
      </c>
      <c r="H4" s="18" t="s">
        <v>1</v>
      </c>
      <c r="I4" s="70" t="s">
        <v>2</v>
      </c>
      <c r="J4" s="298" t="s">
        <v>3</v>
      </c>
      <c r="K4" s="278" t="s">
        <v>0</v>
      </c>
      <c r="L4" s="197" t="s">
        <v>37</v>
      </c>
      <c r="M4" s="675" t="s">
        <v>4</v>
      </c>
      <c r="N4" s="677" t="s">
        <v>5</v>
      </c>
      <c r="O4" s="678"/>
      <c r="P4" s="704" t="s">
        <v>230</v>
      </c>
      <c r="Q4" s="334"/>
      <c r="R4" s="253"/>
      <c r="S4" s="240"/>
      <c r="T4" s="240"/>
      <c r="X4" t="s">
        <v>142</v>
      </c>
      <c r="Y4" s="710"/>
      <c r="Z4" s="710"/>
      <c r="AA4" s="710"/>
      <c r="AC4" s="13"/>
      <c r="AD4" s="13"/>
      <c r="AE4" s="39"/>
      <c r="AF4" s="39"/>
      <c r="AG4" s="39"/>
      <c r="AH4" s="39"/>
      <c r="AI4" s="13"/>
      <c r="AJ4" s="13"/>
      <c r="AK4" s="683"/>
      <c r="AL4" s="683"/>
      <c r="AM4" s="571"/>
      <c r="AN4" s="13"/>
      <c r="AO4" s="13"/>
      <c r="AP4" s="13"/>
      <c r="AQ4" s="13"/>
      <c r="AR4" s="13"/>
      <c r="AS4" s="13"/>
    </row>
    <row r="5" spans="1:45" ht="30.75" thickBot="1" x14ac:dyDescent="0.3">
      <c r="E5" t="s">
        <v>129</v>
      </c>
      <c r="F5" s="523" t="s">
        <v>282</v>
      </c>
      <c r="G5" s="276"/>
      <c r="H5" s="33" t="s">
        <v>6</v>
      </c>
      <c r="I5" s="120" t="s">
        <v>7</v>
      </c>
      <c r="J5" s="299"/>
      <c r="K5" s="27" t="s">
        <v>8</v>
      </c>
      <c r="L5" s="198" t="s">
        <v>127</v>
      </c>
      <c r="M5" s="676"/>
      <c r="N5" s="34" t="s">
        <v>9</v>
      </c>
      <c r="O5" s="30" t="s">
        <v>10</v>
      </c>
      <c r="P5" s="705"/>
      <c r="Q5" s="334"/>
      <c r="R5" s="253"/>
      <c r="S5" s="240"/>
      <c r="T5" s="240" t="s">
        <v>359</v>
      </c>
      <c r="U5" t="s">
        <v>352</v>
      </c>
      <c r="V5" t="s">
        <v>353</v>
      </c>
      <c r="X5" t="s">
        <v>142</v>
      </c>
      <c r="Y5" s="37"/>
      <c r="Z5" s="37"/>
      <c r="AA5" s="37"/>
      <c r="AC5" s="13"/>
      <c r="AD5" s="572"/>
      <c r="AE5" s="572"/>
      <c r="AF5" s="572"/>
      <c r="AG5" s="572"/>
      <c r="AH5" s="91"/>
      <c r="AI5" s="189"/>
      <c r="AJ5" s="719"/>
      <c r="AK5" s="684"/>
      <c r="AL5" s="684"/>
      <c r="AM5" s="720"/>
      <c r="AN5" s="13"/>
      <c r="AO5" s="13"/>
      <c r="AP5" s="13"/>
      <c r="AQ5" s="13"/>
      <c r="AR5" s="13"/>
      <c r="AS5" s="13"/>
    </row>
    <row r="6" spans="1:45" ht="15.75" thickBot="1" x14ac:dyDescent="0.3">
      <c r="A6" s="335" t="s">
        <v>41</v>
      </c>
      <c r="B6" s="335"/>
      <c r="C6" s="335"/>
      <c r="E6">
        <f>30*2</f>
        <v>60</v>
      </c>
      <c r="G6" s="478" t="s">
        <v>15</v>
      </c>
      <c r="H6" s="667">
        <v>4</v>
      </c>
      <c r="I6" s="343">
        <v>15</v>
      </c>
      <c r="J6" s="344">
        <f>+H6/I6</f>
        <v>0.26666666666666666</v>
      </c>
      <c r="K6" s="345">
        <v>60</v>
      </c>
      <c r="L6" s="300">
        <f>+K6*J6</f>
        <v>16</v>
      </c>
      <c r="M6" s="346">
        <f>+L6*0.8</f>
        <v>12.8</v>
      </c>
      <c r="N6" s="347">
        <v>1</v>
      </c>
      <c r="O6" s="716">
        <f>+N7*L7</f>
        <v>64</v>
      </c>
      <c r="P6" s="267">
        <f>+M6</f>
        <v>12.8</v>
      </c>
      <c r="Q6" s="376"/>
      <c r="R6" s="94"/>
      <c r="S6" s="269"/>
      <c r="T6" s="269">
        <f>222*W6</f>
        <v>7.6321443919209289</v>
      </c>
      <c r="U6" t="s">
        <v>191</v>
      </c>
      <c r="V6" s="666">
        <f>+L8</f>
        <v>20</v>
      </c>
      <c r="W6" s="67">
        <f>+V6/V8</f>
        <v>3.4379028792436615E-2</v>
      </c>
      <c r="X6">
        <v>25</v>
      </c>
      <c r="Y6" s="37" t="s">
        <v>288</v>
      </c>
      <c r="Z6" s="37" t="s">
        <v>247</v>
      </c>
      <c r="AA6" s="37" t="s">
        <v>248</v>
      </c>
      <c r="AC6" s="13"/>
      <c r="AD6" s="572"/>
      <c r="AE6" s="572"/>
      <c r="AF6" s="572"/>
      <c r="AG6" s="572"/>
      <c r="AH6" s="572"/>
      <c r="AI6" s="189"/>
      <c r="AJ6" s="719"/>
      <c r="AK6" s="572"/>
      <c r="AL6" s="572"/>
      <c r="AM6" s="720"/>
      <c r="AN6" s="13"/>
      <c r="AO6" s="13"/>
      <c r="AP6" s="13"/>
      <c r="AQ6" s="13"/>
      <c r="AR6" s="13"/>
      <c r="AS6" s="13"/>
    </row>
    <row r="7" spans="1:45" ht="15.75" thickBot="1" x14ac:dyDescent="0.3">
      <c r="A7" t="s">
        <v>42</v>
      </c>
      <c r="B7">
        <v>10</v>
      </c>
      <c r="C7">
        <v>90</v>
      </c>
      <c r="E7">
        <v>80</v>
      </c>
      <c r="F7">
        <v>64</v>
      </c>
      <c r="G7" s="19" t="s">
        <v>287</v>
      </c>
      <c r="H7" s="667">
        <v>10</v>
      </c>
      <c r="I7" s="343">
        <v>10</v>
      </c>
      <c r="J7" s="344">
        <f t="shared" ref="J7:J8" si="0">+H7/I7</f>
        <v>1</v>
      </c>
      <c r="K7" s="345">
        <v>64</v>
      </c>
      <c r="L7" s="300">
        <f>+K7*J7</f>
        <v>64</v>
      </c>
      <c r="M7" s="346">
        <f>+L7*1</f>
        <v>64</v>
      </c>
      <c r="N7" s="347">
        <v>1</v>
      </c>
      <c r="O7" s="717"/>
      <c r="P7" s="267">
        <f>+M7+O6</f>
        <v>128</v>
      </c>
      <c r="Q7" s="349"/>
      <c r="R7" s="94"/>
      <c r="S7" s="269"/>
      <c r="T7" s="269">
        <f>222*W7</f>
        <v>214.36785560807908</v>
      </c>
      <c r="U7" t="s">
        <v>354</v>
      </c>
      <c r="V7" s="666">
        <f>+L22</f>
        <v>561.75</v>
      </c>
      <c r="W7" s="67">
        <f>+V7/V8</f>
        <v>0.96562097120756341</v>
      </c>
      <c r="X7">
        <v>25</v>
      </c>
      <c r="Y7" t="s">
        <v>286</v>
      </c>
      <c r="Z7" s="37" t="s">
        <v>270</v>
      </c>
      <c r="AA7" s="37" t="s">
        <v>271</v>
      </c>
      <c r="AC7" s="13"/>
      <c r="AD7" s="38"/>
      <c r="AE7" s="38"/>
      <c r="AF7" s="38"/>
      <c r="AG7" s="92"/>
      <c r="AH7" s="38"/>
      <c r="AI7" s="92"/>
      <c r="AJ7" s="11"/>
      <c r="AK7" s="93"/>
      <c r="AL7" s="94"/>
      <c r="AM7" s="269"/>
      <c r="AN7" s="13"/>
      <c r="AO7" s="13"/>
      <c r="AP7" s="13"/>
      <c r="AQ7" s="13"/>
      <c r="AR7" s="13"/>
      <c r="AS7" s="13"/>
    </row>
    <row r="8" spans="1:45" ht="15.75" thickBot="1" x14ac:dyDescent="0.3">
      <c r="E8" s="12">
        <f>240+40.5</f>
        <v>280.5</v>
      </c>
      <c r="F8">
        <v>80</v>
      </c>
      <c r="G8" s="199" t="s">
        <v>292</v>
      </c>
      <c r="H8" s="667">
        <v>5</v>
      </c>
      <c r="I8" s="343">
        <v>20</v>
      </c>
      <c r="J8" s="344">
        <f t="shared" si="0"/>
        <v>0.25</v>
      </c>
      <c r="K8" s="345">
        <v>80</v>
      </c>
      <c r="L8" s="300">
        <f>+K8*J8</f>
        <v>20</v>
      </c>
      <c r="M8" s="346">
        <f>+L8*1.5</f>
        <v>30</v>
      </c>
      <c r="N8" s="347">
        <v>1</v>
      </c>
      <c r="O8" s="348">
        <f>+T6*N8</f>
        <v>7.6321443919209289</v>
      </c>
      <c r="P8" s="267">
        <f>+M8+O8</f>
        <v>37.632144391920932</v>
      </c>
      <c r="Q8" s="349"/>
      <c r="R8" s="94"/>
      <c r="S8" s="269"/>
      <c r="T8" s="269"/>
      <c r="V8" s="12">
        <f>SUM(V6:V7)</f>
        <v>581.75</v>
      </c>
      <c r="X8">
        <v>35</v>
      </c>
      <c r="Y8" s="37" t="s">
        <v>289</v>
      </c>
      <c r="Z8" s="37" t="s">
        <v>290</v>
      </c>
      <c r="AA8" s="37" t="s">
        <v>291</v>
      </c>
      <c r="AC8" s="13"/>
      <c r="AD8" s="38"/>
      <c r="AE8" s="38"/>
      <c r="AF8" s="38"/>
      <c r="AG8" s="92"/>
      <c r="AH8" s="38"/>
      <c r="AI8" s="92"/>
      <c r="AJ8" s="11"/>
      <c r="AK8" s="93"/>
      <c r="AL8" s="94"/>
      <c r="AM8" s="269"/>
      <c r="AN8" s="13"/>
      <c r="AO8" s="13"/>
      <c r="AP8" s="13"/>
      <c r="AQ8" s="13"/>
      <c r="AR8" s="13"/>
      <c r="AS8" s="13"/>
    </row>
    <row r="9" spans="1:45" x14ac:dyDescent="0.25">
      <c r="G9" s="38"/>
      <c r="H9" s="38"/>
      <c r="I9" s="38"/>
      <c r="J9" s="92"/>
      <c r="K9" s="38"/>
      <c r="L9" s="92"/>
      <c r="M9" s="11"/>
      <c r="N9" s="93"/>
      <c r="O9" s="94"/>
      <c r="P9" s="269"/>
      <c r="Q9" s="349"/>
      <c r="R9" s="94"/>
      <c r="S9" s="269"/>
      <c r="T9" s="269"/>
      <c r="Y9" s="37"/>
      <c r="Z9" s="37"/>
      <c r="AA9" s="37"/>
      <c r="AC9" s="13"/>
      <c r="AD9" s="38"/>
      <c r="AE9" s="38"/>
      <c r="AF9" s="38"/>
      <c r="AG9" s="92"/>
      <c r="AH9" s="38"/>
      <c r="AI9" s="92"/>
      <c r="AJ9" s="11"/>
      <c r="AK9" s="93"/>
      <c r="AL9" s="94"/>
      <c r="AM9" s="269"/>
      <c r="AN9" s="13"/>
      <c r="AO9" s="13"/>
      <c r="AP9" s="13"/>
      <c r="AQ9" s="13"/>
      <c r="AR9" s="13"/>
      <c r="AS9" s="13"/>
    </row>
    <row r="10" spans="1:45" x14ac:dyDescent="0.25">
      <c r="D10" s="97"/>
      <c r="F10" s="201" t="s">
        <v>126</v>
      </c>
      <c r="G10" s="201">
        <v>3</v>
      </c>
      <c r="H10" s="201">
        <f>SUM(H6:H9)</f>
        <v>19</v>
      </c>
      <c r="I10" s="201"/>
      <c r="J10" s="235"/>
      <c r="K10" s="201"/>
      <c r="L10" s="235">
        <f>SUM(L6:L9)</f>
        <v>100</v>
      </c>
      <c r="M10" s="201"/>
      <c r="N10" s="201"/>
      <c r="O10" s="201"/>
      <c r="P10" s="441">
        <f>SUM(P6:P9)</f>
        <v>178.43214439192093</v>
      </c>
      <c r="Q10" s="203"/>
      <c r="R10" s="94"/>
      <c r="S10" s="269"/>
      <c r="T10" s="269"/>
      <c r="Y10" s="37"/>
      <c r="Z10" s="37"/>
      <c r="AA10" s="37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</row>
    <row r="11" spans="1:45" x14ac:dyDescent="0.25">
      <c r="G11" s="349"/>
      <c r="H11" s="349"/>
      <c r="I11" s="349"/>
      <c r="J11" s="349"/>
      <c r="K11" s="349"/>
      <c r="L11" s="349"/>
      <c r="M11" s="349"/>
      <c r="N11" s="349"/>
      <c r="O11" s="349"/>
      <c r="P11" s="349"/>
      <c r="Q11" s="349"/>
      <c r="R11" s="94"/>
      <c r="S11" s="269"/>
      <c r="T11" s="269"/>
      <c r="U11" s="13"/>
      <c r="V11" s="13"/>
      <c r="W11" s="13"/>
      <c r="Y11" s="37"/>
      <c r="Z11" s="37"/>
      <c r="AA11" s="37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</row>
    <row r="12" spans="1:45" x14ac:dyDescent="0.25">
      <c r="Y12" s="37"/>
      <c r="Z12" s="37"/>
      <c r="AA12" s="37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</row>
    <row r="13" spans="1:45" x14ac:dyDescent="0.25">
      <c r="G13" s="41" t="s">
        <v>220</v>
      </c>
      <c r="H13" s="41"/>
      <c r="I13" s="41"/>
      <c r="J13" s="41"/>
      <c r="K13" s="41"/>
      <c r="N13" s="1"/>
      <c r="S13" s="37"/>
      <c r="T13" s="37"/>
      <c r="Y13" s="37"/>
      <c r="Z13" s="37"/>
      <c r="AA13" s="37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</row>
    <row r="14" spans="1:45" ht="15.75" thickBot="1" x14ac:dyDescent="0.3">
      <c r="G14" s="2"/>
      <c r="H14" s="2"/>
      <c r="I14" s="2"/>
      <c r="J14" s="2"/>
      <c r="K14" s="2"/>
      <c r="N14" s="302"/>
      <c r="O14" s="302"/>
      <c r="P14" s="373"/>
      <c r="Q14" s="373"/>
      <c r="R14" s="373"/>
      <c r="Y14" s="37"/>
      <c r="Z14" s="37"/>
      <c r="AA14" s="37"/>
      <c r="AC14" s="616"/>
      <c r="AD14" s="616"/>
      <c r="AE14" s="616"/>
      <c r="AF14" s="616"/>
      <c r="AG14" s="616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</row>
    <row r="15" spans="1:45" x14ac:dyDescent="0.25">
      <c r="A15" t="s">
        <v>0</v>
      </c>
      <c r="B15" t="s">
        <v>2</v>
      </c>
      <c r="C15" s="689" t="s">
        <v>8</v>
      </c>
      <c r="D15" s="689"/>
      <c r="G15" s="47" t="s">
        <v>0</v>
      </c>
      <c r="H15" s="18" t="s">
        <v>1</v>
      </c>
      <c r="I15" s="70" t="s">
        <v>2</v>
      </c>
      <c r="J15" s="6" t="s">
        <v>3</v>
      </c>
      <c r="K15" s="45" t="s">
        <v>0</v>
      </c>
      <c r="L15" s="271" t="s">
        <v>37</v>
      </c>
      <c r="M15" s="713" t="s">
        <v>4</v>
      </c>
      <c r="N15" s="714" t="s">
        <v>5</v>
      </c>
      <c r="O15" s="715"/>
      <c r="P15" s="708" t="s">
        <v>224</v>
      </c>
      <c r="Q15" s="709"/>
      <c r="R15" s="706" t="s">
        <v>223</v>
      </c>
      <c r="S15" s="707"/>
      <c r="T15" s="711" t="s">
        <v>99</v>
      </c>
      <c r="U15" t="s">
        <v>340</v>
      </c>
      <c r="X15" t="s">
        <v>142</v>
      </c>
      <c r="Y15" s="710"/>
      <c r="Z15" s="710"/>
      <c r="AA15" s="710"/>
      <c r="AC15" s="39"/>
      <c r="AD15" s="39"/>
      <c r="AE15" s="39"/>
      <c r="AF15" s="39"/>
      <c r="AG15" s="39"/>
      <c r="AH15" s="13"/>
      <c r="AI15" s="13"/>
      <c r="AJ15" s="613"/>
      <c r="AK15" s="613"/>
      <c r="AL15" s="571"/>
      <c r="AM15" s="571"/>
      <c r="AN15" s="571"/>
      <c r="AO15" s="13"/>
      <c r="AP15" s="13"/>
      <c r="AQ15" s="13"/>
      <c r="AR15" s="13"/>
      <c r="AS15" s="13"/>
    </row>
    <row r="16" spans="1:45" ht="30.75" thickBot="1" x14ac:dyDescent="0.3">
      <c r="C16" t="s">
        <v>48</v>
      </c>
      <c r="D16" t="s">
        <v>49</v>
      </c>
      <c r="E16" t="s">
        <v>129</v>
      </c>
      <c r="F16" s="523" t="s">
        <v>282</v>
      </c>
      <c r="G16" s="308"/>
      <c r="H16" s="33" t="s">
        <v>6</v>
      </c>
      <c r="I16" s="120" t="s">
        <v>7</v>
      </c>
      <c r="J16" s="27"/>
      <c r="K16" s="216" t="s">
        <v>8</v>
      </c>
      <c r="L16" s="272" t="s">
        <v>127</v>
      </c>
      <c r="M16" s="676"/>
      <c r="N16" s="34" t="s">
        <v>9</v>
      </c>
      <c r="O16" s="30" t="s">
        <v>10</v>
      </c>
      <c r="P16" s="393" t="s">
        <v>225</v>
      </c>
      <c r="Q16" s="389">
        <v>0.1</v>
      </c>
      <c r="R16" s="403" t="s">
        <v>169</v>
      </c>
      <c r="S16" s="394" t="s">
        <v>170</v>
      </c>
      <c r="T16" s="712"/>
      <c r="U16" t="s">
        <v>355</v>
      </c>
      <c r="Y16" s="37"/>
      <c r="Z16" s="37"/>
      <c r="AA16" s="37"/>
      <c r="AC16" s="572"/>
      <c r="AD16" s="572"/>
      <c r="AE16" s="572"/>
      <c r="AF16" s="572"/>
      <c r="AG16" s="91"/>
      <c r="AH16" s="189"/>
      <c r="AI16" s="719"/>
      <c r="AJ16" s="684"/>
      <c r="AK16" s="684"/>
      <c r="AL16" s="721"/>
      <c r="AM16" s="721"/>
      <c r="AN16" s="721"/>
      <c r="AO16" s="721"/>
      <c r="AP16" s="720"/>
      <c r="AQ16" s="13"/>
      <c r="AR16" s="13"/>
      <c r="AS16" s="13"/>
    </row>
    <row r="17" spans="1:45" ht="15.75" customHeight="1" x14ac:dyDescent="0.25">
      <c r="A17" t="s">
        <v>168</v>
      </c>
      <c r="B17">
        <v>10</v>
      </c>
      <c r="C17">
        <v>180</v>
      </c>
      <c r="E17" s="12">
        <v>281</v>
      </c>
      <c r="F17" s="12">
        <v>180</v>
      </c>
      <c r="G17" s="309" t="s">
        <v>168</v>
      </c>
      <c r="H17" s="570">
        <v>2</v>
      </c>
      <c r="I17" s="275">
        <v>10</v>
      </c>
      <c r="J17" s="456">
        <f>+H17/I17</f>
        <v>0.2</v>
      </c>
      <c r="K17" s="418">
        <v>180</v>
      </c>
      <c r="L17" s="44">
        <f>+K17*J17</f>
        <v>36</v>
      </c>
      <c r="M17" s="42">
        <f>+L17*1.5</f>
        <v>54</v>
      </c>
      <c r="N17" s="81">
        <v>1</v>
      </c>
      <c r="O17" s="301">
        <f>+U17*N17</f>
        <v>12.84</v>
      </c>
      <c r="P17" s="395">
        <f>+M17+O17</f>
        <v>66.84</v>
      </c>
      <c r="Q17" s="115">
        <f>+P17*0.1</f>
        <v>6.6840000000000011</v>
      </c>
      <c r="R17" s="404"/>
      <c r="S17" s="396">
        <f>+R29</f>
        <v>60</v>
      </c>
      <c r="T17" s="401">
        <f>+P17+Q17+R17+S17</f>
        <v>133.524</v>
      </c>
      <c r="U17">
        <f>214*0.06</f>
        <v>12.84</v>
      </c>
      <c r="V17" s="67">
        <f>+L17/L22</f>
        <v>6.4085447263017362E-2</v>
      </c>
      <c r="W17" s="67"/>
      <c r="Y17" s="37" t="s">
        <v>289</v>
      </c>
      <c r="Z17" s="37" t="s">
        <v>290</v>
      </c>
      <c r="AA17" s="37" t="s">
        <v>291</v>
      </c>
      <c r="AC17" s="572"/>
      <c r="AD17" s="572"/>
      <c r="AE17" s="572"/>
      <c r="AF17" s="572"/>
      <c r="AG17" s="572"/>
      <c r="AH17" s="189"/>
      <c r="AI17" s="719"/>
      <c r="AJ17" s="572"/>
      <c r="AK17" s="572"/>
      <c r="AL17" s="489"/>
      <c r="AM17" s="617"/>
      <c r="AN17" s="618"/>
      <c r="AO17" s="618"/>
      <c r="AP17" s="720"/>
      <c r="AQ17" s="13"/>
      <c r="AR17" s="13"/>
      <c r="AS17" s="13"/>
    </row>
    <row r="18" spans="1:45" x14ac:dyDescent="0.25">
      <c r="A18" t="s">
        <v>44</v>
      </c>
      <c r="B18">
        <v>8</v>
      </c>
      <c r="C18">
        <v>210</v>
      </c>
      <c r="E18" s="12">
        <f>240+40.5</f>
        <v>280.5</v>
      </c>
      <c r="F18" s="12">
        <v>210</v>
      </c>
      <c r="G18" s="309" t="s">
        <v>44</v>
      </c>
      <c r="H18" s="241">
        <v>7</v>
      </c>
      <c r="I18" s="275">
        <v>8</v>
      </c>
      <c r="J18" s="456">
        <f>+H18/I18</f>
        <v>0.875</v>
      </c>
      <c r="K18" s="418">
        <v>210</v>
      </c>
      <c r="L18" s="44">
        <f>+K18*J18</f>
        <v>183.75</v>
      </c>
      <c r="M18" s="331">
        <f>+L18*1.2</f>
        <v>220.5</v>
      </c>
      <c r="N18" s="234">
        <v>1</v>
      </c>
      <c r="O18" s="301">
        <f t="shared" ref="O18:O20" si="1">+U18*N18</f>
        <v>68.48</v>
      </c>
      <c r="P18" s="395">
        <f>+M18+O18</f>
        <v>288.98</v>
      </c>
      <c r="Q18" s="115">
        <f>+P18*0.1</f>
        <v>28.898000000000003</v>
      </c>
      <c r="R18" s="404"/>
      <c r="S18" s="396"/>
      <c r="T18" s="402">
        <f>+P18+Q18+R18+S18</f>
        <v>317.87800000000004</v>
      </c>
      <c r="U18">
        <f>214*0.32</f>
        <v>68.48</v>
      </c>
      <c r="V18" s="67">
        <f>+L18/L22</f>
        <v>0.32710280373831774</v>
      </c>
      <c r="W18" s="67"/>
      <c r="Y18" t="s">
        <v>293</v>
      </c>
      <c r="Z18" t="s">
        <v>294</v>
      </c>
      <c r="AA18" t="s">
        <v>295</v>
      </c>
      <c r="AC18" s="13"/>
      <c r="AD18" s="614"/>
      <c r="AE18" s="38"/>
      <c r="AF18" s="92"/>
      <c r="AG18" s="38"/>
      <c r="AH18" s="92"/>
      <c r="AI18" s="92"/>
      <c r="AJ18" s="93"/>
      <c r="AK18" s="619"/>
      <c r="AL18" s="434"/>
      <c r="AM18" s="240"/>
      <c r="AN18" s="435"/>
      <c r="AO18" s="435"/>
      <c r="AP18" s="620"/>
      <c r="AQ18" s="13"/>
      <c r="AR18" s="13"/>
      <c r="AS18" s="13"/>
    </row>
    <row r="19" spans="1:45" x14ac:dyDescent="0.25">
      <c r="A19" t="s">
        <v>45</v>
      </c>
      <c r="B19">
        <v>8</v>
      </c>
      <c r="C19">
        <v>320</v>
      </c>
      <c r="D19">
        <v>210</v>
      </c>
      <c r="E19">
        <v>324</v>
      </c>
      <c r="F19">
        <v>276</v>
      </c>
      <c r="G19" s="282" t="s">
        <v>45</v>
      </c>
      <c r="H19" s="63">
        <v>6</v>
      </c>
      <c r="I19" s="275">
        <v>8</v>
      </c>
      <c r="J19" s="457">
        <f>+H19/I19</f>
        <v>0.75</v>
      </c>
      <c r="K19" s="418">
        <v>276</v>
      </c>
      <c r="L19" s="44">
        <f>+K19*J19</f>
        <v>207</v>
      </c>
      <c r="M19" s="245">
        <f>+L19*1.2</f>
        <v>248.39999999999998</v>
      </c>
      <c r="N19" s="234">
        <v>1</v>
      </c>
      <c r="O19" s="301">
        <f t="shared" si="1"/>
        <v>83.460000000000008</v>
      </c>
      <c r="P19" s="395">
        <f>+M19+O19</f>
        <v>331.86</v>
      </c>
      <c r="Q19" s="115">
        <f>+P19*0.1</f>
        <v>33.186</v>
      </c>
      <c r="R19" s="404">
        <f>+K26+K27</f>
        <v>270</v>
      </c>
      <c r="S19" s="396">
        <f>+R31+R30</f>
        <v>120</v>
      </c>
      <c r="T19" s="402">
        <f>+P19+Q19+R19+S19</f>
        <v>755.04600000000005</v>
      </c>
      <c r="U19">
        <f>214*0.39</f>
        <v>83.460000000000008</v>
      </c>
      <c r="V19" s="67">
        <f>+L19/L22</f>
        <v>0.36849132176234978</v>
      </c>
      <c r="W19" s="67"/>
      <c r="Y19" t="s">
        <v>296</v>
      </c>
      <c r="Z19" t="s">
        <v>297</v>
      </c>
      <c r="AA19" t="s">
        <v>298</v>
      </c>
      <c r="AC19" s="13"/>
      <c r="AD19" s="38"/>
      <c r="AE19" s="38"/>
      <c r="AF19" s="92"/>
      <c r="AG19" s="38"/>
      <c r="AH19" s="92"/>
      <c r="AI19" s="92"/>
      <c r="AJ19" s="93"/>
      <c r="AK19" s="619"/>
      <c r="AL19" s="434"/>
      <c r="AM19" s="240"/>
      <c r="AN19" s="435"/>
      <c r="AO19" s="435"/>
      <c r="AP19" s="620"/>
      <c r="AQ19" s="13"/>
      <c r="AR19" s="13"/>
      <c r="AS19" s="13"/>
    </row>
    <row r="20" spans="1:45" ht="15.75" thickBot="1" x14ac:dyDescent="0.3">
      <c r="A20" t="s">
        <v>46</v>
      </c>
      <c r="B20">
        <v>8</v>
      </c>
      <c r="C20">
        <v>440</v>
      </c>
      <c r="D20">
        <v>360</v>
      </c>
      <c r="E20">
        <v>710</v>
      </c>
      <c r="F20">
        <v>622</v>
      </c>
      <c r="G20" s="149" t="s">
        <v>299</v>
      </c>
      <c r="H20" s="20">
        <v>2</v>
      </c>
      <c r="I20" s="610">
        <v>8</v>
      </c>
      <c r="J20" s="458">
        <f>+H20/I20</f>
        <v>0.25</v>
      </c>
      <c r="K20" s="486">
        <v>540</v>
      </c>
      <c r="L20" s="222">
        <f>+K20*J20</f>
        <v>135</v>
      </c>
      <c r="M20" s="212">
        <f>+L20*1.2</f>
        <v>162</v>
      </c>
      <c r="N20" s="270">
        <v>1</v>
      </c>
      <c r="O20" s="611">
        <f t="shared" si="1"/>
        <v>49.22</v>
      </c>
      <c r="P20" s="397">
        <f>+M20+O20</f>
        <v>211.22</v>
      </c>
      <c r="Q20" s="398">
        <f>+P20*0.1</f>
        <v>21.122</v>
      </c>
      <c r="R20" s="405">
        <f>200+330</f>
        <v>530</v>
      </c>
      <c r="S20" s="488">
        <f>100+60</f>
        <v>160</v>
      </c>
      <c r="T20" s="530">
        <f>+P20+Q20+R20+S20</f>
        <v>922.34199999999998</v>
      </c>
      <c r="U20">
        <f>214*0.23</f>
        <v>49.22</v>
      </c>
      <c r="V20" s="67">
        <f>+L20/L22</f>
        <v>0.24032042723631508</v>
      </c>
      <c r="W20" s="67"/>
      <c r="Y20" t="s">
        <v>293</v>
      </c>
      <c r="Z20" t="s">
        <v>294</v>
      </c>
      <c r="AA20" t="s">
        <v>295</v>
      </c>
      <c r="AC20" s="13"/>
      <c r="AD20" s="38"/>
      <c r="AE20" s="38"/>
      <c r="AF20" s="92"/>
      <c r="AG20" s="38"/>
      <c r="AH20" s="92"/>
      <c r="AI20" s="92"/>
      <c r="AJ20" s="93"/>
      <c r="AK20" s="619"/>
      <c r="AL20" s="434"/>
      <c r="AM20" s="240"/>
      <c r="AN20" s="435"/>
      <c r="AO20" s="435"/>
      <c r="AP20" s="620"/>
      <c r="AQ20" s="13"/>
      <c r="AR20" s="13"/>
      <c r="AS20" s="13"/>
    </row>
    <row r="21" spans="1:45" ht="15.75" thickBot="1" x14ac:dyDescent="0.3">
      <c r="A21" t="s">
        <v>47</v>
      </c>
      <c r="B21">
        <v>8</v>
      </c>
      <c r="C21">
        <v>540</v>
      </c>
      <c r="D21">
        <v>400</v>
      </c>
      <c r="G21" s="601"/>
      <c r="H21" s="199"/>
      <c r="I21" s="275"/>
      <c r="J21" s="344"/>
      <c r="K21" s="602"/>
      <c r="L21" s="44"/>
      <c r="M21" s="603"/>
      <c r="N21" s="604"/>
      <c r="O21" s="605"/>
      <c r="P21" s="606"/>
      <c r="Q21" s="585"/>
      <c r="R21" s="607"/>
      <c r="S21" s="608"/>
      <c r="T21" s="609"/>
      <c r="V21" s="67"/>
      <c r="W21" s="67"/>
      <c r="AC21" s="13"/>
      <c r="AD21" s="38"/>
      <c r="AE21" s="38"/>
      <c r="AF21" s="92"/>
      <c r="AG21" s="38"/>
      <c r="AH21" s="92"/>
      <c r="AI21" s="92"/>
      <c r="AJ21" s="93"/>
      <c r="AK21" s="619"/>
      <c r="AL21" s="434"/>
      <c r="AM21" s="240"/>
      <c r="AN21" s="435"/>
      <c r="AO21" s="435"/>
      <c r="AP21" s="620"/>
      <c r="AQ21" s="13"/>
      <c r="AR21" s="13"/>
      <c r="AS21" s="13"/>
    </row>
    <row r="22" spans="1:45" x14ac:dyDescent="0.25">
      <c r="F22" s="201" t="s">
        <v>126</v>
      </c>
      <c r="G22" s="201">
        <v>4</v>
      </c>
      <c r="H22" s="201">
        <f>SUM(H17:H21)</f>
        <v>17</v>
      </c>
      <c r="I22" s="201"/>
      <c r="J22" s="235"/>
      <c r="K22" s="201"/>
      <c r="L22" s="201">
        <f>SUM(L17:L21)</f>
        <v>561.75</v>
      </c>
      <c r="M22" s="201"/>
      <c r="N22" s="201"/>
      <c r="O22" s="201"/>
      <c r="P22" s="201"/>
      <c r="Q22" s="201"/>
      <c r="R22" s="201">
        <f>SUM(R17:R21)</f>
        <v>800</v>
      </c>
      <c r="S22" s="203">
        <f>SUM(S17:S21)</f>
        <v>340</v>
      </c>
      <c r="T22" s="441">
        <f>SUM(T17:T21)</f>
        <v>2128.79</v>
      </c>
      <c r="U22" s="400"/>
      <c r="V22" s="400"/>
      <c r="W22" s="400"/>
      <c r="AC22" s="13"/>
      <c r="AD22" s="38"/>
      <c r="AE22" s="38"/>
      <c r="AF22" s="92"/>
      <c r="AG22" s="38"/>
      <c r="AH22" s="92"/>
      <c r="AI22" s="92"/>
      <c r="AJ22" s="93"/>
      <c r="AK22" s="619"/>
      <c r="AL22" s="434"/>
      <c r="AM22" s="240"/>
      <c r="AN22" s="435"/>
      <c r="AO22" s="435"/>
      <c r="AP22" s="620"/>
      <c r="AQ22" s="13"/>
      <c r="AR22" s="13"/>
      <c r="AS22" s="13"/>
    </row>
    <row r="23" spans="1:45" x14ac:dyDescent="0.25">
      <c r="AC23" s="573"/>
      <c r="AD23" s="573"/>
      <c r="AE23" s="573"/>
      <c r="AF23" s="621"/>
      <c r="AG23" s="573"/>
      <c r="AH23" s="573"/>
      <c r="AI23" s="573"/>
      <c r="AJ23" s="573"/>
      <c r="AK23" s="573"/>
      <c r="AL23" s="573"/>
      <c r="AM23" s="573"/>
      <c r="AN23" s="573"/>
      <c r="AO23" s="622"/>
      <c r="AP23" s="269"/>
      <c r="AQ23" s="13"/>
      <c r="AR23" s="13"/>
      <c r="AS23" s="13"/>
    </row>
    <row r="24" spans="1:45" x14ac:dyDescent="0.25">
      <c r="S24" s="12"/>
      <c r="T24" s="10"/>
    </row>
    <row r="25" spans="1:45" ht="15.75" x14ac:dyDescent="0.25">
      <c r="L25" s="510" t="s">
        <v>227</v>
      </c>
      <c r="P25" s="36" t="s">
        <v>170</v>
      </c>
      <c r="Q25" s="36" t="s">
        <v>170</v>
      </c>
      <c r="R25" s="36"/>
      <c r="S25" s="12"/>
      <c r="T25" s="10"/>
    </row>
    <row r="26" spans="1:45" ht="15.75" x14ac:dyDescent="0.25">
      <c r="J26" t="s">
        <v>285</v>
      </c>
      <c r="K26">
        <v>135</v>
      </c>
      <c r="L26" s="510" t="s">
        <v>233</v>
      </c>
      <c r="M26" s="379" t="s">
        <v>235</v>
      </c>
      <c r="O26" s="383"/>
      <c r="P26" s="378" t="s">
        <v>272</v>
      </c>
      <c r="Q26" s="378"/>
      <c r="R26" s="528">
        <v>100</v>
      </c>
      <c r="S26" s="380"/>
      <c r="T26" s="377"/>
    </row>
    <row r="27" spans="1:45" ht="15.75" x14ac:dyDescent="0.25">
      <c r="J27" t="s">
        <v>285</v>
      </c>
      <c r="K27">
        <v>135</v>
      </c>
      <c r="L27" s="510" t="s">
        <v>233</v>
      </c>
      <c r="M27" s="381" t="s">
        <v>226</v>
      </c>
      <c r="O27" s="391"/>
      <c r="P27" s="378" t="s">
        <v>272</v>
      </c>
      <c r="Q27" s="382"/>
      <c r="R27" s="529">
        <v>100</v>
      </c>
      <c r="S27" s="382"/>
      <c r="T27" s="377"/>
    </row>
    <row r="28" spans="1:45" ht="15.75" x14ac:dyDescent="0.25">
      <c r="K28">
        <v>200</v>
      </c>
      <c r="L28" s="510" t="s">
        <v>273</v>
      </c>
      <c r="M28" s="387" t="s">
        <v>228</v>
      </c>
      <c r="P28" s="459" t="s">
        <v>272</v>
      </c>
      <c r="Q28" s="390" t="s">
        <v>277</v>
      </c>
      <c r="R28" s="390">
        <v>160</v>
      </c>
      <c r="S28" s="390"/>
      <c r="T28" s="377"/>
    </row>
    <row r="29" spans="1:45" ht="15.75" x14ac:dyDescent="0.25">
      <c r="L29" s="36"/>
      <c r="M29" s="524" t="s">
        <v>274</v>
      </c>
      <c r="N29" s="525"/>
      <c r="O29" s="383"/>
      <c r="P29" s="378" t="s">
        <v>275</v>
      </c>
      <c r="Q29" s="385"/>
      <c r="R29" s="390">
        <v>60</v>
      </c>
      <c r="S29" s="385"/>
      <c r="T29" s="386"/>
    </row>
    <row r="30" spans="1:45" ht="15.75" x14ac:dyDescent="0.25">
      <c r="L30" s="36"/>
      <c r="M30" s="524" t="s">
        <v>276</v>
      </c>
      <c r="N30" s="525"/>
      <c r="O30" s="384"/>
      <c r="P30" s="378" t="s">
        <v>277</v>
      </c>
      <c r="Q30" s="377"/>
      <c r="R30" s="377">
        <v>60</v>
      </c>
      <c r="S30" s="377"/>
      <c r="T30" s="377"/>
    </row>
    <row r="31" spans="1:45" ht="15.75" x14ac:dyDescent="0.25">
      <c r="M31" s="526" t="s">
        <v>278</v>
      </c>
      <c r="N31" s="525"/>
      <c r="O31" s="388"/>
      <c r="P31" s="459" t="s">
        <v>279</v>
      </c>
      <c r="R31" s="377">
        <v>60</v>
      </c>
      <c r="S31" s="12"/>
      <c r="T31" s="10"/>
    </row>
    <row r="32" spans="1:45" ht="15.75" x14ac:dyDescent="0.25">
      <c r="M32" s="512" t="s">
        <v>280</v>
      </c>
      <c r="N32" s="513"/>
      <c r="O32" s="513"/>
      <c r="P32" s="514" t="s">
        <v>275</v>
      </c>
      <c r="Q32" s="513" t="s">
        <v>281</v>
      </c>
      <c r="S32" s="12"/>
      <c r="T32" s="10"/>
    </row>
    <row r="33" spans="1:24" ht="15.75" x14ac:dyDescent="0.25">
      <c r="M33" s="512"/>
      <c r="N33" s="513"/>
      <c r="O33" s="513"/>
      <c r="P33" s="514"/>
      <c r="Q33" s="513"/>
      <c r="S33" s="12"/>
      <c r="T33" s="10"/>
    </row>
    <row r="34" spans="1:24" x14ac:dyDescent="0.25">
      <c r="G34" s="36" t="s">
        <v>180</v>
      </c>
      <c r="M34" s="36"/>
      <c r="N34" s="406"/>
    </row>
    <row r="35" spans="1:24" ht="15.75" thickBot="1" x14ac:dyDescent="0.3">
      <c r="H35" s="60"/>
      <c r="I35" s="60"/>
      <c r="S35" s="87"/>
    </row>
    <row r="36" spans="1:24" ht="14.45" customHeight="1" x14ac:dyDescent="0.25">
      <c r="E36" s="519" t="s">
        <v>130</v>
      </c>
      <c r="F36" s="519" t="s">
        <v>283</v>
      </c>
      <c r="G36" s="700" t="s">
        <v>0</v>
      </c>
      <c r="H36" s="58" t="s">
        <v>1</v>
      </c>
      <c r="I36" s="59" t="s">
        <v>2</v>
      </c>
      <c r="J36" s="6" t="s">
        <v>3</v>
      </c>
      <c r="K36" s="518" t="s">
        <v>0</v>
      </c>
      <c r="L36" s="197" t="s">
        <v>37</v>
      </c>
      <c r="M36" s="675" t="s">
        <v>4</v>
      </c>
      <c r="N36" s="702" t="s">
        <v>193</v>
      </c>
      <c r="O36" s="703"/>
      <c r="P36" s="704" t="s">
        <v>230</v>
      </c>
    </row>
    <row r="37" spans="1:24" ht="26.25" thickBot="1" x14ac:dyDescent="0.3">
      <c r="A37" t="s">
        <v>0</v>
      </c>
      <c r="B37" t="s">
        <v>2</v>
      </c>
      <c r="C37" s="74" t="s">
        <v>8</v>
      </c>
      <c r="E37" t="s">
        <v>131</v>
      </c>
      <c r="F37" t="s">
        <v>0</v>
      </c>
      <c r="G37" s="701"/>
      <c r="H37" s="50" t="s">
        <v>6</v>
      </c>
      <c r="I37" s="26" t="s">
        <v>7</v>
      </c>
      <c r="J37" s="27"/>
      <c r="K37" s="27" t="s">
        <v>8</v>
      </c>
      <c r="L37" s="198" t="s">
        <v>127</v>
      </c>
      <c r="M37" s="676"/>
      <c r="N37" s="414"/>
      <c r="O37" s="415" t="s">
        <v>10</v>
      </c>
      <c r="P37" s="705"/>
    </row>
    <row r="38" spans="1:24" ht="15.75" thickBot="1" x14ac:dyDescent="0.3">
      <c r="A38" t="s">
        <v>54</v>
      </c>
      <c r="B38">
        <v>20</v>
      </c>
      <c r="C38">
        <v>80</v>
      </c>
      <c r="E38">
        <v>60</v>
      </c>
      <c r="G38" s="52" t="s">
        <v>300</v>
      </c>
      <c r="H38" s="259">
        <v>14</v>
      </c>
      <c r="I38" s="259">
        <v>20</v>
      </c>
      <c r="J38" s="54">
        <f>+H38/I38</f>
        <v>0.7</v>
      </c>
      <c r="K38" s="314">
        <v>44</v>
      </c>
      <c r="L38" s="313">
        <f>+K38*J38</f>
        <v>30.799999999999997</v>
      </c>
      <c r="M38" s="56">
        <f>+L38*1.5</f>
        <v>46.199999999999996</v>
      </c>
      <c r="N38" s="413">
        <f>+L38</f>
        <v>30.799999999999997</v>
      </c>
      <c r="O38" s="265">
        <f>+N38*1</f>
        <v>30.799999999999997</v>
      </c>
      <c r="P38" s="267">
        <f>+M38+O38</f>
        <v>77</v>
      </c>
      <c r="S38" s="89">
        <v>0</v>
      </c>
      <c r="T38" s="37" t="s">
        <v>289</v>
      </c>
      <c r="U38" s="37" t="s">
        <v>290</v>
      </c>
      <c r="V38" s="37"/>
      <c r="W38" s="37"/>
      <c r="X38" s="37" t="s">
        <v>291</v>
      </c>
    </row>
    <row r="39" spans="1:24" x14ac:dyDescent="0.25">
      <c r="M39" s="10"/>
      <c r="O39" s="10"/>
      <c r="P39" s="10"/>
      <c r="Q39" s="10"/>
    </row>
    <row r="40" spans="1:24" x14ac:dyDescent="0.25">
      <c r="F40" s="201" t="s">
        <v>126</v>
      </c>
      <c r="G40" s="201">
        <v>1</v>
      </c>
      <c r="H40" s="201">
        <f>SUM(H35:H38)</f>
        <v>14</v>
      </c>
      <c r="I40" s="201"/>
      <c r="J40" s="201"/>
      <c r="K40" s="203">
        <f>SUM(K35:K38)</f>
        <v>44</v>
      </c>
      <c r="L40" s="203">
        <f>SUM(L38:L39)</f>
        <v>30.799999999999997</v>
      </c>
      <c r="M40" s="201"/>
      <c r="N40" s="201"/>
      <c r="O40" s="201"/>
      <c r="P40" s="201"/>
      <c r="Q40" s="201"/>
      <c r="R40" s="441">
        <f>SUM(R35:R38)</f>
        <v>0</v>
      </c>
    </row>
    <row r="41" spans="1:24" x14ac:dyDescent="0.25">
      <c r="S41" s="12"/>
      <c r="T41" s="10"/>
    </row>
    <row r="42" spans="1:24" x14ac:dyDescent="0.25">
      <c r="S42" s="12"/>
      <c r="T42" s="10"/>
    </row>
    <row r="43" spans="1:24" x14ac:dyDescent="0.25">
      <c r="H43" s="670" t="s">
        <v>181</v>
      </c>
      <c r="I43" s="670"/>
      <c r="J43" s="670"/>
      <c r="L43" s="67"/>
      <c r="S43" s="12"/>
      <c r="T43" s="10"/>
    </row>
    <row r="44" spans="1:24" ht="15.75" thickBot="1" x14ac:dyDescent="0.3">
      <c r="L44" s="67"/>
      <c r="S44" s="12"/>
      <c r="T44" s="10"/>
    </row>
    <row r="45" spans="1:24" x14ac:dyDescent="0.25">
      <c r="H45" s="340" t="s">
        <v>79</v>
      </c>
      <c r="I45" s="341" t="s">
        <v>237</v>
      </c>
      <c r="J45" s="341" t="s">
        <v>238</v>
      </c>
      <c r="K45" s="341" t="s">
        <v>80</v>
      </c>
      <c r="L45" s="341" t="s">
        <v>82</v>
      </c>
      <c r="M45" s="342" t="s">
        <v>67</v>
      </c>
      <c r="S45" s="12"/>
      <c r="T45" s="10"/>
    </row>
    <row r="46" spans="1:24" x14ac:dyDescent="0.25">
      <c r="H46" s="531" t="s">
        <v>301</v>
      </c>
      <c r="I46" s="429"/>
      <c r="J46" s="427">
        <v>25</v>
      </c>
      <c r="K46" s="427"/>
      <c r="L46" s="427"/>
      <c r="M46" s="428">
        <f>SUM(I46:L46)</f>
        <v>25</v>
      </c>
      <c r="S46" s="12"/>
      <c r="T46" s="10"/>
    </row>
    <row r="47" spans="1:24" x14ac:dyDescent="0.25">
      <c r="H47" s="532" t="s">
        <v>146</v>
      </c>
      <c r="I47" s="69">
        <v>15</v>
      </c>
      <c r="J47" s="69"/>
      <c r="K47" s="69"/>
      <c r="L47" s="533"/>
      <c r="M47" s="428">
        <f t="shared" ref="M47:M49" si="2">SUM(I47:L47)</f>
        <v>15</v>
      </c>
      <c r="S47" s="12"/>
      <c r="T47" s="10"/>
    </row>
    <row r="48" spans="1:24" x14ac:dyDescent="0.25">
      <c r="H48" s="310" t="s">
        <v>302</v>
      </c>
      <c r="I48" s="69">
        <v>15</v>
      </c>
      <c r="J48" s="69"/>
      <c r="K48" s="69"/>
      <c r="L48" s="533"/>
      <c r="M48" s="428">
        <f t="shared" si="2"/>
        <v>15</v>
      </c>
      <c r="S48" s="12"/>
      <c r="T48" s="10"/>
    </row>
    <row r="49" spans="1:20" x14ac:dyDescent="0.25">
      <c r="H49" s="310" t="s">
        <v>303</v>
      </c>
      <c r="I49" s="69">
        <v>15</v>
      </c>
      <c r="J49" s="69"/>
      <c r="K49" s="69"/>
      <c r="L49" s="533"/>
      <c r="M49" s="428">
        <f t="shared" si="2"/>
        <v>15</v>
      </c>
      <c r="S49" s="12"/>
      <c r="T49" s="10"/>
    </row>
    <row r="50" spans="1:20" ht="15.75" thickBot="1" x14ac:dyDescent="0.3">
      <c r="H50" s="697" t="s">
        <v>126</v>
      </c>
      <c r="I50" s="698"/>
      <c r="J50" s="698"/>
      <c r="K50" s="698"/>
      <c r="L50" s="699"/>
      <c r="M50" s="439">
        <f>SUM(M46:M49)</f>
        <v>70</v>
      </c>
      <c r="S50" s="12"/>
      <c r="T50" s="10"/>
    </row>
    <row r="51" spans="1:20" x14ac:dyDescent="0.25">
      <c r="S51" s="12"/>
      <c r="T51" s="10"/>
    </row>
    <row r="52" spans="1:20" x14ac:dyDescent="0.25">
      <c r="S52" s="12"/>
      <c r="T52" s="10"/>
    </row>
    <row r="53" spans="1:20" x14ac:dyDescent="0.25">
      <c r="K53" s="37"/>
      <c r="L53" s="37"/>
      <c r="M53" s="37"/>
      <c r="N53" s="511"/>
      <c r="O53" s="37"/>
      <c r="P53" s="37"/>
      <c r="Q53" s="37"/>
    </row>
    <row r="54" spans="1:20" x14ac:dyDescent="0.25">
      <c r="G54" s="106" t="s">
        <v>221</v>
      </c>
      <c r="K54" s="37"/>
      <c r="L54" s="37"/>
      <c r="M54" s="37"/>
      <c r="N54" s="106"/>
      <c r="O54" s="37"/>
      <c r="P54" s="37"/>
      <c r="Q54" s="37"/>
    </row>
    <row r="55" spans="1:20" x14ac:dyDescent="0.25">
      <c r="H55" s="109" t="s">
        <v>1</v>
      </c>
      <c r="I55" s="109" t="s">
        <v>67</v>
      </c>
      <c r="K55" s="37"/>
      <c r="L55" s="421"/>
      <c r="M55" s="37"/>
      <c r="N55" s="37"/>
      <c r="O55" s="421"/>
      <c r="P55" s="421"/>
      <c r="Q55" s="37"/>
    </row>
    <row r="56" spans="1:20" x14ac:dyDescent="0.25">
      <c r="A56" t="s">
        <v>60</v>
      </c>
      <c r="B56" t="s">
        <v>56</v>
      </c>
      <c r="G56" s="69" t="s">
        <v>66</v>
      </c>
      <c r="H56" s="69">
        <v>35</v>
      </c>
      <c r="I56" s="69">
        <f>+H56*1</f>
        <v>35</v>
      </c>
      <c r="K56" s="37"/>
      <c r="L56" s="37"/>
      <c r="M56" s="37"/>
      <c r="N56" s="37"/>
      <c r="O56" s="37"/>
      <c r="P56" s="37"/>
      <c r="Q56" s="37"/>
    </row>
    <row r="57" spans="1:20" x14ac:dyDescent="0.25">
      <c r="A57" t="s">
        <v>55</v>
      </c>
      <c r="B57" t="s">
        <v>57</v>
      </c>
      <c r="G57" s="69" t="s">
        <v>68</v>
      </c>
      <c r="H57" s="69">
        <v>17</v>
      </c>
      <c r="I57" s="69">
        <f>+H57*2</f>
        <v>34</v>
      </c>
      <c r="K57" s="37"/>
      <c r="L57" s="37"/>
      <c r="M57" s="37"/>
      <c r="N57" s="37"/>
      <c r="O57" s="37"/>
      <c r="P57" s="37"/>
      <c r="Q57" s="37"/>
    </row>
    <row r="58" spans="1:20" x14ac:dyDescent="0.25">
      <c r="A58" t="s">
        <v>171</v>
      </c>
      <c r="B58">
        <v>10</v>
      </c>
      <c r="G58" s="69" t="s">
        <v>171</v>
      </c>
      <c r="H58" s="69" t="s">
        <v>124</v>
      </c>
      <c r="I58" s="69">
        <v>10</v>
      </c>
      <c r="K58" s="37"/>
      <c r="L58" s="37"/>
      <c r="M58" s="37"/>
      <c r="N58" s="37"/>
      <c r="O58" s="37"/>
      <c r="P58" s="37"/>
      <c r="Q58" s="37"/>
    </row>
    <row r="59" spans="1:20" x14ac:dyDescent="0.25">
      <c r="A59" t="s">
        <v>172</v>
      </c>
      <c r="B59">
        <v>5</v>
      </c>
      <c r="G59" s="69" t="s">
        <v>172</v>
      </c>
      <c r="H59" s="69" t="s">
        <v>124</v>
      </c>
      <c r="I59" s="69">
        <v>5</v>
      </c>
      <c r="K59" s="37"/>
      <c r="L59" s="37"/>
      <c r="M59" s="37"/>
      <c r="N59" s="37"/>
      <c r="O59" s="37"/>
      <c r="P59" s="37"/>
      <c r="Q59" s="37"/>
    </row>
    <row r="60" spans="1:20" x14ac:dyDescent="0.25">
      <c r="A60" t="s">
        <v>26</v>
      </c>
      <c r="B60" t="s">
        <v>61</v>
      </c>
      <c r="C60" t="s">
        <v>62</v>
      </c>
      <c r="D60" t="s">
        <v>63</v>
      </c>
      <c r="E60" s="13"/>
      <c r="F60" s="13"/>
      <c r="G60" s="102" t="s">
        <v>27</v>
      </c>
      <c r="H60" s="102"/>
      <c r="I60" s="204">
        <f>+I56+I57+I58+I59</f>
        <v>84</v>
      </c>
      <c r="J60" s="13"/>
      <c r="K60" s="13"/>
      <c r="L60" s="13"/>
      <c r="M60" s="13"/>
      <c r="N60" s="13"/>
      <c r="O60" s="13"/>
      <c r="P60" s="240"/>
      <c r="Q60" s="13"/>
      <c r="R60" s="13"/>
      <c r="S60" s="13"/>
      <c r="T60" s="13"/>
    </row>
    <row r="61" spans="1:20" x14ac:dyDescent="0.25">
      <c r="B61" s="66">
        <v>0.05</v>
      </c>
      <c r="C61" s="66">
        <v>0.1</v>
      </c>
      <c r="D61" s="66">
        <v>0.15</v>
      </c>
      <c r="E61" s="13"/>
      <c r="F61" s="13"/>
      <c r="G61" s="69"/>
      <c r="H61" s="108" t="s">
        <v>69</v>
      </c>
      <c r="I61" s="108"/>
      <c r="J61" s="13"/>
      <c r="K61" s="37"/>
      <c r="L61" s="509"/>
      <c r="M61" s="13"/>
      <c r="N61" s="37"/>
      <c r="O61" s="509"/>
      <c r="P61" s="509"/>
      <c r="Q61" s="13"/>
      <c r="R61" s="13"/>
      <c r="S61" s="13"/>
      <c r="T61" s="13"/>
    </row>
    <row r="62" spans="1:20" x14ac:dyDescent="0.25">
      <c r="B62" t="s">
        <v>64</v>
      </c>
      <c r="C62" t="s">
        <v>65</v>
      </c>
      <c r="E62" s="13"/>
      <c r="F62" s="13"/>
      <c r="G62" s="102" t="s">
        <v>26</v>
      </c>
      <c r="H62" s="103">
        <v>20</v>
      </c>
      <c r="I62" s="211">
        <f>+I60*0.15</f>
        <v>12.6</v>
      </c>
      <c r="J62" s="101"/>
      <c r="K62" s="13"/>
      <c r="L62" s="101"/>
      <c r="M62" s="13"/>
      <c r="N62" s="13"/>
      <c r="O62" s="101"/>
      <c r="P62" s="422"/>
      <c r="Q62" s="101"/>
      <c r="R62" s="13"/>
      <c r="S62" s="13"/>
      <c r="T62" s="13"/>
    </row>
    <row r="63" spans="1:20" x14ac:dyDescent="0.25">
      <c r="B63" s="66">
        <v>0.2</v>
      </c>
      <c r="C63" s="66">
        <v>0.25</v>
      </c>
      <c r="E63" s="13"/>
      <c r="F63" s="13"/>
      <c r="G63" s="103"/>
      <c r="H63" s="105"/>
      <c r="I63" s="200"/>
      <c r="J63" s="39"/>
      <c r="K63" s="101"/>
      <c r="L63" s="39"/>
      <c r="M63" s="13"/>
      <c r="N63" s="101"/>
      <c r="O63" s="39"/>
      <c r="P63" s="423"/>
      <c r="Q63" s="39"/>
      <c r="R63" s="252"/>
      <c r="S63" s="13"/>
      <c r="T63" s="13"/>
    </row>
    <row r="64" spans="1:20" x14ac:dyDescent="0.25">
      <c r="F64" s="201" t="s">
        <v>126</v>
      </c>
      <c r="G64" s="201"/>
      <c r="H64" s="201"/>
      <c r="I64" s="440">
        <f>+I60+I62</f>
        <v>96.6</v>
      </c>
      <c r="J64" s="90"/>
      <c r="K64" s="516"/>
      <c r="L64" s="516"/>
      <c r="M64" s="516"/>
      <c r="N64" s="516"/>
      <c r="O64" s="516"/>
      <c r="P64" s="527"/>
      <c r="Q64" s="508"/>
      <c r="R64" s="253"/>
      <c r="S64" s="13"/>
      <c r="T64" s="13"/>
    </row>
    <row r="65" spans="5:20" x14ac:dyDescent="0.25">
      <c r="E65" s="13"/>
      <c r="F65" s="13"/>
      <c r="G65" s="96"/>
      <c r="H65" s="96"/>
      <c r="I65" s="96"/>
      <c r="J65" s="96"/>
      <c r="K65" s="91"/>
      <c r="L65" s="129"/>
      <c r="M65" s="129"/>
      <c r="N65" s="96"/>
      <c r="O65" s="96"/>
      <c r="P65" s="253"/>
      <c r="Q65" s="374"/>
      <c r="R65" s="253"/>
      <c r="S65" s="13"/>
      <c r="T65" s="13"/>
    </row>
    <row r="66" spans="5:20" x14ac:dyDescent="0.25">
      <c r="E66" s="13"/>
      <c r="F66" s="13"/>
      <c r="G66" s="96"/>
      <c r="H66" s="96"/>
      <c r="I66" s="96"/>
      <c r="J66" s="96"/>
      <c r="K66" s="91"/>
      <c r="L66" s="129"/>
      <c r="M66" s="129"/>
      <c r="N66" s="96"/>
      <c r="O66" s="96"/>
      <c r="P66" s="253"/>
      <c r="Q66" s="374"/>
      <c r="R66" s="253"/>
      <c r="S66" s="13"/>
      <c r="T66" s="13"/>
    </row>
    <row r="67" spans="5:20" x14ac:dyDescent="0.25">
      <c r="E67" s="13"/>
      <c r="F67" s="13"/>
      <c r="G67" s="96" t="s">
        <v>222</v>
      </c>
      <c r="H67" s="96"/>
      <c r="I67" s="96"/>
      <c r="J67" s="96"/>
      <c r="K67" s="91"/>
      <c r="L67" s="129"/>
      <c r="M67" s="129"/>
      <c r="N67" s="96"/>
      <c r="O67" s="96"/>
      <c r="P67" s="253"/>
      <c r="Q67" s="374"/>
      <c r="R67" s="253"/>
      <c r="S67" s="13"/>
      <c r="T67" s="13"/>
    </row>
    <row r="68" spans="5:20" ht="15.75" thickBot="1" x14ac:dyDescent="0.3">
      <c r="E68" s="13"/>
      <c r="F68" s="13"/>
      <c r="G68" s="90"/>
      <c r="H68" s="90"/>
      <c r="I68" s="90"/>
      <c r="J68" s="90"/>
      <c r="K68" s="90"/>
      <c r="L68" s="129"/>
      <c r="M68" s="129"/>
      <c r="N68" s="90"/>
      <c r="O68" s="90"/>
      <c r="P68" s="253"/>
      <c r="Q68" s="374"/>
      <c r="R68" s="253"/>
      <c r="S68" s="13"/>
      <c r="T68" s="13"/>
    </row>
    <row r="69" spans="5:20" ht="15.75" thickBot="1" x14ac:dyDescent="0.3">
      <c r="E69" s="13"/>
      <c r="F69" s="13"/>
      <c r="G69" s="75" t="s">
        <v>31</v>
      </c>
      <c r="H69" s="76" t="s">
        <v>30</v>
      </c>
      <c r="I69" s="76" t="s">
        <v>29</v>
      </c>
      <c r="J69" s="205" t="s">
        <v>33</v>
      </c>
      <c r="K69" s="38"/>
      <c r="L69" s="92"/>
      <c r="M69" s="11"/>
      <c r="N69" s="93"/>
      <c r="O69" s="94"/>
      <c r="P69" s="94"/>
      <c r="Q69" s="94"/>
      <c r="R69" s="94"/>
      <c r="S69" s="62"/>
      <c r="T69" s="62"/>
    </row>
    <row r="70" spans="5:20" x14ac:dyDescent="0.25">
      <c r="E70" s="13"/>
      <c r="F70" s="13"/>
      <c r="G70" s="111" t="s">
        <v>125</v>
      </c>
      <c r="H70" s="112" t="s">
        <v>122</v>
      </c>
      <c r="I70" s="112">
        <v>224</v>
      </c>
      <c r="J70" s="206">
        <v>450</v>
      </c>
      <c r="K70" s="38"/>
      <c r="L70" s="92"/>
      <c r="M70" s="11"/>
      <c r="N70" s="93"/>
      <c r="O70" s="94"/>
      <c r="P70" s="94"/>
      <c r="Q70" s="94"/>
      <c r="R70" s="94"/>
      <c r="S70" s="62"/>
      <c r="T70" s="62"/>
    </row>
    <row r="71" spans="5:20" x14ac:dyDescent="0.25">
      <c r="E71" s="13"/>
      <c r="F71" s="13"/>
      <c r="G71" s="38"/>
      <c r="H71" s="39"/>
      <c r="I71" s="39"/>
      <c r="J71" s="92"/>
      <c r="K71" s="38"/>
      <c r="L71" s="92"/>
      <c r="M71" s="11"/>
      <c r="N71" s="93"/>
      <c r="O71" s="94"/>
      <c r="P71" s="94"/>
      <c r="Q71" s="94"/>
      <c r="R71" s="94"/>
      <c r="S71" s="62"/>
      <c r="T71" s="62"/>
    </row>
    <row r="72" spans="5:20" x14ac:dyDescent="0.25"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</row>
    <row r="73" spans="5:20" x14ac:dyDescent="0.25"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</row>
    <row r="74" spans="5:20" x14ac:dyDescent="0.25"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</row>
  </sheetData>
  <mergeCells count="31">
    <mergeCell ref="AI16:AI17"/>
    <mergeCell ref="AJ16:AK16"/>
    <mergeCell ref="AL16:AM16"/>
    <mergeCell ref="AN16:AO16"/>
    <mergeCell ref="AP16:AP17"/>
    <mergeCell ref="AD3:AI3"/>
    <mergeCell ref="AK4:AL4"/>
    <mergeCell ref="AJ5:AJ6"/>
    <mergeCell ref="AK5:AL5"/>
    <mergeCell ref="AM5:AM6"/>
    <mergeCell ref="C15:D15"/>
    <mergeCell ref="G1:L1"/>
    <mergeCell ref="N3:O3"/>
    <mergeCell ref="M4:M5"/>
    <mergeCell ref="N4:O4"/>
    <mergeCell ref="G2:L2"/>
    <mergeCell ref="M15:M16"/>
    <mergeCell ref="N15:O15"/>
    <mergeCell ref="O6:O7"/>
    <mergeCell ref="P36:P37"/>
    <mergeCell ref="R15:S15"/>
    <mergeCell ref="P15:Q15"/>
    <mergeCell ref="Y4:AA4"/>
    <mergeCell ref="Y15:AA15"/>
    <mergeCell ref="T15:T16"/>
    <mergeCell ref="P4:P5"/>
    <mergeCell ref="H43:J43"/>
    <mergeCell ref="H50:L50"/>
    <mergeCell ref="G36:G37"/>
    <mergeCell ref="M36:M37"/>
    <mergeCell ref="N36:O36"/>
  </mergeCells>
  <pageMargins left="0.7" right="0.7" top="0.75" bottom="0.75" header="0.3" footer="0.3"/>
  <pageSetup paperSize="9" scale="39" fitToHeight="0" orientation="landscape" horizontalDpi="4294967293" vertic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2:AU61"/>
  <sheetViews>
    <sheetView topLeftCell="T1" zoomScale="124" zoomScaleNormal="124" workbookViewId="0">
      <selection activeCell="AB1" sqref="A1:AB61"/>
    </sheetView>
  </sheetViews>
  <sheetFormatPr defaultRowHeight="15" x14ac:dyDescent="0.25"/>
  <cols>
    <col min="5" max="6" width="8" customWidth="1"/>
    <col min="7" max="7" width="28.7109375" customWidth="1"/>
    <col min="8" max="8" width="10" customWidth="1"/>
    <col min="12" max="12" width="10.5703125" customWidth="1"/>
    <col min="18" max="18" width="13.28515625" customWidth="1"/>
    <col min="19" max="19" width="9.5703125" bestFit="1" customWidth="1"/>
    <col min="29" max="29" width="9.42578125" bestFit="1" customWidth="1"/>
  </cols>
  <sheetData>
    <row r="2" spans="1:47" x14ac:dyDescent="0.25">
      <c r="G2" s="88" t="s">
        <v>14</v>
      </c>
      <c r="H2" s="88"/>
      <c r="I2" s="88"/>
      <c r="Y2" t="s">
        <v>5</v>
      </c>
      <c r="Z2">
        <v>262.5</v>
      </c>
    </row>
    <row r="3" spans="1:47" ht="30" x14ac:dyDescent="0.25">
      <c r="Y3" t="s">
        <v>360</v>
      </c>
      <c r="Z3" s="523" t="s">
        <v>361</v>
      </c>
      <c r="AA3" t="s">
        <v>336</v>
      </c>
      <c r="AB3" t="s">
        <v>362</v>
      </c>
    </row>
    <row r="4" spans="1:47" x14ac:dyDescent="0.25">
      <c r="G4" s="670" t="s">
        <v>178</v>
      </c>
      <c r="H4" s="670"/>
      <c r="I4" s="670"/>
      <c r="J4" s="670"/>
      <c r="K4" s="670"/>
      <c r="L4" s="670"/>
      <c r="Y4" t="s">
        <v>191</v>
      </c>
      <c r="Z4" s="10">
        <f>+L9</f>
        <v>62.999999999999993</v>
      </c>
      <c r="AA4" s="67">
        <f>+Z4/$Z$7</f>
        <v>0.12073302191879266</v>
      </c>
      <c r="AB4" s="12">
        <f>+Z2*AA4</f>
        <v>31.692418253683073</v>
      </c>
    </row>
    <row r="5" spans="1:47" ht="15.75" thickBot="1" x14ac:dyDescent="0.3">
      <c r="A5" s="671" t="s">
        <v>39</v>
      </c>
      <c r="B5" s="671"/>
      <c r="C5" s="671"/>
      <c r="D5" s="186"/>
      <c r="G5" s="36" t="s">
        <v>158</v>
      </c>
      <c r="H5" s="2"/>
      <c r="I5" s="2"/>
      <c r="J5" s="2"/>
      <c r="K5" s="2"/>
      <c r="N5" s="672"/>
      <c r="O5" s="672"/>
      <c r="P5" s="329"/>
      <c r="Q5" s="329"/>
      <c r="S5" s="85"/>
      <c r="Y5" t="s">
        <v>268</v>
      </c>
      <c r="Z5" s="12">
        <f>+L25</f>
        <v>418.3125</v>
      </c>
      <c r="AA5" s="67">
        <f t="shared" ref="AA5:AA6" si="0">+Z5/$Z$7</f>
        <v>0.80165289256198347</v>
      </c>
      <c r="AB5" s="12">
        <f>+Z2*AA5</f>
        <v>210.43388429752065</v>
      </c>
    </row>
    <row r="6" spans="1:47" x14ac:dyDescent="0.25">
      <c r="B6" t="s">
        <v>2</v>
      </c>
      <c r="C6" t="s">
        <v>8</v>
      </c>
      <c r="E6" s="188" t="s">
        <v>130</v>
      </c>
      <c r="F6" s="515" t="s">
        <v>283</v>
      </c>
      <c r="G6" s="47" t="s">
        <v>0</v>
      </c>
      <c r="H6" s="18" t="s">
        <v>1</v>
      </c>
      <c r="I6" s="6" t="s">
        <v>2</v>
      </c>
      <c r="J6" s="6" t="s">
        <v>3</v>
      </c>
      <c r="K6" s="250" t="s">
        <v>0</v>
      </c>
      <c r="L6" s="251" t="s">
        <v>37</v>
      </c>
      <c r="M6" s="675" t="s">
        <v>4</v>
      </c>
      <c r="N6" s="702" t="s">
        <v>262</v>
      </c>
      <c r="O6" s="725"/>
      <c r="P6" s="410" t="s">
        <v>11</v>
      </c>
      <c r="Q6" s="194"/>
      <c r="Y6" t="s">
        <v>192</v>
      </c>
      <c r="Z6" s="12">
        <f>+L37</f>
        <v>40.5</v>
      </c>
      <c r="AA6" s="67">
        <f t="shared" si="0"/>
        <v>7.7614085519223858E-2</v>
      </c>
      <c r="AB6" s="12">
        <f>+Z2*AA6</f>
        <v>20.373697448796264</v>
      </c>
    </row>
    <row r="7" spans="1:47" x14ac:dyDescent="0.25">
      <c r="A7" t="s">
        <v>15</v>
      </c>
      <c r="B7">
        <v>15</v>
      </c>
      <c r="C7">
        <v>60</v>
      </c>
      <c r="E7" t="s">
        <v>131</v>
      </c>
      <c r="F7" t="s">
        <v>0</v>
      </c>
      <c r="G7" s="257"/>
      <c r="H7" s="215" t="s">
        <v>6</v>
      </c>
      <c r="I7" s="216" t="s">
        <v>7</v>
      </c>
      <c r="J7" s="216"/>
      <c r="K7" s="216" t="s">
        <v>8</v>
      </c>
      <c r="L7" s="261" t="s">
        <v>127</v>
      </c>
      <c r="M7" s="724"/>
      <c r="N7" s="217" t="s">
        <v>9</v>
      </c>
      <c r="O7" s="218" t="s">
        <v>10</v>
      </c>
      <c r="P7" s="411" t="s">
        <v>12</v>
      </c>
      <c r="Q7" s="572"/>
      <c r="S7" s="336" t="s">
        <v>174</v>
      </c>
      <c r="Z7" s="10">
        <f>SUM(Z4:Z6)</f>
        <v>521.8125</v>
      </c>
    </row>
    <row r="8" spans="1:47" x14ac:dyDescent="0.25">
      <c r="A8" t="s">
        <v>40</v>
      </c>
      <c r="B8">
        <v>20</v>
      </c>
      <c r="C8">
        <v>80</v>
      </c>
      <c r="E8">
        <f>31*3</f>
        <v>93</v>
      </c>
      <c r="G8" s="95" t="s">
        <v>15</v>
      </c>
      <c r="H8" s="258">
        <v>9</v>
      </c>
      <c r="I8" s="258">
        <v>15</v>
      </c>
      <c r="J8" s="214">
        <f>+H8/I8</f>
        <v>0.6</v>
      </c>
      <c r="K8" s="260">
        <v>60</v>
      </c>
      <c r="L8" s="262">
        <f>+K8*J8</f>
        <v>36</v>
      </c>
      <c r="M8" s="263">
        <f>+L8*1</f>
        <v>36</v>
      </c>
      <c r="N8" s="268"/>
      <c r="O8" s="14">
        <f>+L8*N8</f>
        <v>0</v>
      </c>
      <c r="P8" s="266">
        <f>+M8+O8</f>
        <v>36</v>
      </c>
      <c r="Q8" s="94"/>
      <c r="S8" s="337">
        <v>15</v>
      </c>
      <c r="T8" s="303" t="s">
        <v>325</v>
      </c>
      <c r="U8" s="13" t="s">
        <v>137</v>
      </c>
      <c r="V8" t="s">
        <v>173</v>
      </c>
      <c r="W8" s="1"/>
    </row>
    <row r="9" spans="1:47" ht="15.75" thickBot="1" x14ac:dyDescent="0.3">
      <c r="E9">
        <v>164</v>
      </c>
      <c r="F9">
        <v>132</v>
      </c>
      <c r="G9" s="283" t="s">
        <v>139</v>
      </c>
      <c r="H9" s="259">
        <v>7</v>
      </c>
      <c r="I9" s="259">
        <v>10</v>
      </c>
      <c r="J9" s="49">
        <f>+H9/I9</f>
        <v>0.7</v>
      </c>
      <c r="K9" s="254">
        <v>90</v>
      </c>
      <c r="L9" s="255">
        <f>+K9*J9</f>
        <v>62.999999999999993</v>
      </c>
      <c r="M9" s="212">
        <f>+L9*1</f>
        <v>62.999999999999993</v>
      </c>
      <c r="N9" s="264">
        <v>1</v>
      </c>
      <c r="O9" s="265">
        <v>32</v>
      </c>
      <c r="P9" s="267">
        <f>+M9+O9</f>
        <v>95</v>
      </c>
      <c r="Q9" s="94"/>
      <c r="S9" s="337">
        <v>15</v>
      </c>
      <c r="T9" s="303" t="s">
        <v>325</v>
      </c>
      <c r="U9" s="13" t="s">
        <v>326</v>
      </c>
      <c r="V9" t="s">
        <v>144</v>
      </c>
    </row>
    <row r="10" spans="1:47" x14ac:dyDescent="0.25">
      <c r="A10" s="671" t="s">
        <v>41</v>
      </c>
      <c r="B10" s="671"/>
      <c r="C10" s="671"/>
      <c r="D10" s="186"/>
      <c r="G10" s="281"/>
      <c r="H10" s="38"/>
      <c r="I10" s="38"/>
      <c r="J10" s="92"/>
      <c r="K10" s="38"/>
      <c r="L10" s="92"/>
      <c r="M10" s="92"/>
      <c r="N10" s="192"/>
      <c r="O10" s="94"/>
      <c r="Q10" s="94"/>
      <c r="R10" s="269"/>
      <c r="S10" s="13"/>
      <c r="T10" s="303"/>
      <c r="U10" s="13"/>
    </row>
    <row r="11" spans="1:47" x14ac:dyDescent="0.25">
      <c r="A11" t="s">
        <v>42</v>
      </c>
      <c r="B11">
        <v>10</v>
      </c>
      <c r="C11">
        <v>90</v>
      </c>
      <c r="F11" s="201" t="s">
        <v>126</v>
      </c>
      <c r="G11" s="201">
        <v>2</v>
      </c>
      <c r="H11" s="201">
        <f>SUM(H8:H10)</f>
        <v>16</v>
      </c>
      <c r="I11" s="201"/>
      <c r="J11" s="201"/>
      <c r="K11" s="201"/>
      <c r="L11" s="235">
        <f>+L8+L9</f>
        <v>99</v>
      </c>
      <c r="M11" s="201"/>
      <c r="N11" s="201"/>
      <c r="O11" s="201"/>
      <c r="P11" s="203">
        <f>SUM(P8:P10)</f>
        <v>131</v>
      </c>
      <c r="R11" s="441">
        <f>SUM(R8:R10)</f>
        <v>0</v>
      </c>
      <c r="S11" s="13"/>
      <c r="T11" s="303"/>
      <c r="U11" s="13"/>
    </row>
    <row r="12" spans="1:47" x14ac:dyDescent="0.25">
      <c r="A12" t="s">
        <v>43</v>
      </c>
      <c r="B12">
        <v>10</v>
      </c>
      <c r="C12">
        <v>140</v>
      </c>
      <c r="G12" s="38"/>
      <c r="H12" s="39"/>
      <c r="I12" s="39"/>
      <c r="J12" s="92"/>
      <c r="K12" s="38"/>
      <c r="L12" s="11"/>
      <c r="M12" s="11"/>
      <c r="N12" s="192"/>
      <c r="O12" s="94"/>
      <c r="P12" s="94"/>
      <c r="Q12" s="94"/>
      <c r="S12" s="13"/>
      <c r="T12" s="13"/>
      <c r="U12" s="13"/>
    </row>
    <row r="13" spans="1:47" x14ac:dyDescent="0.25">
      <c r="S13" s="13"/>
      <c r="T13" s="13"/>
      <c r="U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</row>
    <row r="14" spans="1:47" x14ac:dyDescent="0.25">
      <c r="G14" s="13"/>
      <c r="H14" s="38"/>
      <c r="I14" s="39"/>
      <c r="J14" s="62"/>
      <c r="K14" s="62"/>
      <c r="L14" s="13"/>
      <c r="M14" s="62"/>
      <c r="N14" s="13"/>
      <c r="O14" s="84"/>
      <c r="P14" s="84"/>
      <c r="Q14" s="84"/>
      <c r="S14" s="13"/>
      <c r="T14" s="13"/>
      <c r="U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</row>
    <row r="15" spans="1:47" x14ac:dyDescent="0.25">
      <c r="S15" s="13"/>
      <c r="T15" s="13"/>
      <c r="U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</row>
    <row r="16" spans="1:47" x14ac:dyDescent="0.25">
      <c r="G16" s="88" t="s">
        <v>179</v>
      </c>
      <c r="H16" s="41"/>
      <c r="I16" s="41"/>
      <c r="J16" s="41"/>
      <c r="K16" s="41"/>
      <c r="S16" s="13"/>
      <c r="T16" s="13"/>
      <c r="U16" s="13"/>
      <c r="AE16" s="13"/>
      <c r="AF16" s="101"/>
      <c r="AG16" s="616"/>
      <c r="AH16" s="616"/>
      <c r="AI16" s="616"/>
      <c r="AJ16" s="616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</row>
    <row r="17" spans="1:47" ht="15.75" thickBot="1" x14ac:dyDescent="0.3">
      <c r="G17" s="2"/>
      <c r="H17" s="2"/>
      <c r="I17" s="2"/>
      <c r="J17" s="2"/>
      <c r="K17" s="2"/>
      <c r="N17" s="683"/>
      <c r="O17" s="683"/>
      <c r="P17" s="329"/>
      <c r="Q17" s="329"/>
      <c r="S17" s="13"/>
      <c r="T17" s="13"/>
      <c r="U17" s="13"/>
      <c r="AE17" s="13"/>
      <c r="AF17" s="39"/>
      <c r="AG17" s="39"/>
      <c r="AH17" s="39"/>
      <c r="AI17" s="39"/>
      <c r="AJ17" s="39"/>
      <c r="AK17" s="13"/>
      <c r="AL17" s="13"/>
      <c r="AM17" s="683"/>
      <c r="AN17" s="683"/>
      <c r="AO17" s="571"/>
      <c r="AP17" s="571"/>
      <c r="AQ17" s="13"/>
      <c r="AR17" s="13"/>
      <c r="AS17" s="13"/>
      <c r="AT17" s="13"/>
      <c r="AU17" s="13"/>
    </row>
    <row r="18" spans="1:47" ht="15.75" thickBot="1" x14ac:dyDescent="0.3">
      <c r="A18" t="s">
        <v>0</v>
      </c>
      <c r="B18" t="s">
        <v>2</v>
      </c>
      <c r="C18" s="689" t="s">
        <v>8</v>
      </c>
      <c r="D18" s="689"/>
      <c r="E18" s="238" t="s">
        <v>130</v>
      </c>
      <c r="F18" s="515" t="s">
        <v>283</v>
      </c>
      <c r="G18" s="121" t="s">
        <v>0</v>
      </c>
      <c r="H18" s="18" t="s">
        <v>1</v>
      </c>
      <c r="I18" s="6" t="s">
        <v>2</v>
      </c>
      <c r="J18" s="6" t="s">
        <v>3</v>
      </c>
      <c r="K18" s="278" t="s">
        <v>0</v>
      </c>
      <c r="L18" s="197" t="s">
        <v>37</v>
      </c>
      <c r="M18" s="675" t="s">
        <v>4</v>
      </c>
      <c r="N18" s="677" t="s">
        <v>5</v>
      </c>
      <c r="O18" s="679"/>
      <c r="P18" s="708" t="s">
        <v>224</v>
      </c>
      <c r="Q18" s="709"/>
      <c r="R18" s="726" t="s">
        <v>223</v>
      </c>
      <c r="S18" s="709"/>
      <c r="T18" s="722" t="s">
        <v>99</v>
      </c>
      <c r="W18" s="13"/>
      <c r="X18" s="13"/>
      <c r="Y18" t="s">
        <v>5</v>
      </c>
      <c r="Z18">
        <v>214</v>
      </c>
      <c r="AE18" s="13"/>
      <c r="AF18" s="572"/>
      <c r="AG18" s="572"/>
      <c r="AH18" s="572"/>
      <c r="AI18" s="572"/>
      <c r="AJ18" s="91"/>
      <c r="AK18" s="189"/>
      <c r="AL18" s="719"/>
      <c r="AM18" s="684"/>
      <c r="AN18" s="684"/>
      <c r="AO18" s="684"/>
      <c r="AP18" s="684"/>
      <c r="AQ18" s="721"/>
      <c r="AR18" s="721"/>
      <c r="AS18" s="721"/>
      <c r="AT18" s="721"/>
      <c r="AU18" s="13"/>
    </row>
    <row r="19" spans="1:47" ht="30.75" thickBot="1" x14ac:dyDescent="0.3">
      <c r="C19" t="s">
        <v>48</v>
      </c>
      <c r="D19" t="s">
        <v>49</v>
      </c>
      <c r="E19" t="s">
        <v>131</v>
      </c>
      <c r="F19" t="s">
        <v>0</v>
      </c>
      <c r="G19" s="276"/>
      <c r="H19" s="33" t="s">
        <v>6</v>
      </c>
      <c r="I19" s="27" t="s">
        <v>7</v>
      </c>
      <c r="J19" s="27"/>
      <c r="K19" s="27" t="s">
        <v>8</v>
      </c>
      <c r="L19" s="198" t="s">
        <v>127</v>
      </c>
      <c r="M19" s="676"/>
      <c r="N19" s="453" t="s">
        <v>9</v>
      </c>
      <c r="O19" s="437" t="s">
        <v>10</v>
      </c>
      <c r="P19" s="438" t="s">
        <v>225</v>
      </c>
      <c r="Q19" s="420">
        <v>0.1</v>
      </c>
      <c r="R19" s="430" t="s">
        <v>169</v>
      </c>
      <c r="S19" s="431" t="s">
        <v>170</v>
      </c>
      <c r="T19" s="723"/>
      <c r="W19" s="13"/>
      <c r="X19" s="13"/>
      <c r="Y19" t="s">
        <v>0</v>
      </c>
      <c r="Z19" s="523" t="s">
        <v>361</v>
      </c>
      <c r="AA19" t="s">
        <v>336</v>
      </c>
      <c r="AB19" t="s">
        <v>362</v>
      </c>
      <c r="AE19" s="13"/>
      <c r="AF19" s="572"/>
      <c r="AG19" s="572"/>
      <c r="AH19" s="572"/>
      <c r="AI19" s="572"/>
      <c r="AJ19" s="572"/>
      <c r="AK19" s="189"/>
      <c r="AL19" s="719"/>
      <c r="AM19" s="572"/>
      <c r="AN19" s="572"/>
      <c r="AO19" s="572"/>
      <c r="AP19" s="624"/>
      <c r="AQ19" s="489"/>
      <c r="AR19" s="617"/>
      <c r="AS19" s="618"/>
      <c r="AT19" s="618"/>
      <c r="AU19" s="13"/>
    </row>
    <row r="20" spans="1:47" x14ac:dyDescent="0.25">
      <c r="A20" t="s">
        <v>0</v>
      </c>
      <c r="B20" t="s">
        <v>2</v>
      </c>
      <c r="C20" s="689" t="s">
        <v>8</v>
      </c>
      <c r="D20" s="689"/>
      <c r="E20">
        <v>322.5</v>
      </c>
      <c r="G20" s="417" t="s">
        <v>168</v>
      </c>
      <c r="H20" s="416">
        <v>6</v>
      </c>
      <c r="I20" s="350">
        <v>10</v>
      </c>
      <c r="J20" s="243">
        <f>+H20/I20</f>
        <v>0.6</v>
      </c>
      <c r="K20" s="350">
        <v>180</v>
      </c>
      <c r="L20" s="311">
        <f>+K20*J20</f>
        <v>108</v>
      </c>
      <c r="M20" s="449">
        <f>+L20*1</f>
        <v>108</v>
      </c>
      <c r="N20" s="454">
        <v>1</v>
      </c>
      <c r="O20" s="612">
        <f>+AB20</f>
        <v>55.250560286866879</v>
      </c>
      <c r="P20" s="442">
        <f>+L20+O20</f>
        <v>163.25056028686689</v>
      </c>
      <c r="Q20" s="639">
        <f>+P20*0.1</f>
        <v>16.325056028686689</v>
      </c>
      <c r="R20" s="443"/>
      <c r="S20" s="444"/>
      <c r="T20" s="412">
        <f>+P20+Q20+R20+S20</f>
        <v>179.57561631555359</v>
      </c>
      <c r="V20" s="303" t="s">
        <v>140</v>
      </c>
      <c r="W20" s="13" t="s">
        <v>143</v>
      </c>
      <c r="X20" t="s">
        <v>144</v>
      </c>
      <c r="Y20" s="417" t="s">
        <v>168</v>
      </c>
      <c r="Z20" s="311">
        <v>108</v>
      </c>
      <c r="AA20" s="67">
        <f>+Z20/$Z$24</f>
        <v>0.25818018825638728</v>
      </c>
      <c r="AB20" s="666">
        <f>+AA20*$Z$18</f>
        <v>55.250560286866879</v>
      </c>
      <c r="AC20" s="67"/>
      <c r="AE20" s="13"/>
      <c r="AF20" s="623"/>
      <c r="AG20" s="625"/>
      <c r="AH20" s="625"/>
      <c r="AI20" s="92"/>
      <c r="AJ20" s="625"/>
      <c r="AK20" s="92"/>
      <c r="AL20" s="626"/>
      <c r="AM20" s="192"/>
      <c r="AN20" s="625"/>
      <c r="AO20" s="94"/>
      <c r="AP20" s="433"/>
      <c r="AQ20" s="627"/>
      <c r="AR20" s="303"/>
      <c r="AS20" s="628"/>
      <c r="AT20" s="628"/>
      <c r="AU20" s="629"/>
    </row>
    <row r="21" spans="1:47" x14ac:dyDescent="0.25">
      <c r="C21" t="s">
        <v>48</v>
      </c>
      <c r="D21" t="s">
        <v>49</v>
      </c>
      <c r="E21">
        <v>322.5</v>
      </c>
      <c r="G21" s="310" t="s">
        <v>44</v>
      </c>
      <c r="H21" s="312">
        <v>4</v>
      </c>
      <c r="I21" s="312">
        <v>8</v>
      </c>
      <c r="J21" s="243">
        <f>+H21/I21</f>
        <v>0.5</v>
      </c>
      <c r="K21" s="46">
        <v>210</v>
      </c>
      <c r="L21" s="123">
        <f>+K21*J21</f>
        <v>105</v>
      </c>
      <c r="M21" s="450">
        <f>+L21*1</f>
        <v>105</v>
      </c>
      <c r="N21" s="455">
        <v>1</v>
      </c>
      <c r="O21" s="612">
        <f>+AB21</f>
        <v>53.715822501120577</v>
      </c>
      <c r="P21" s="442">
        <f t="shared" ref="P21:P23" si="1">+L21+O21</f>
        <v>158.71582250112058</v>
      </c>
      <c r="Q21" s="639">
        <f t="shared" ref="Q21:Q23" si="2">+P21*0.1</f>
        <v>15.871582250112059</v>
      </c>
      <c r="R21" s="445"/>
      <c r="S21" s="446">
        <v>200</v>
      </c>
      <c r="T21" s="412">
        <f>+P21+Q21+R21+S21</f>
        <v>374.58740475123261</v>
      </c>
      <c r="V21" s="13" t="s">
        <v>138</v>
      </c>
      <c r="W21" s="13" t="s">
        <v>236</v>
      </c>
      <c r="X21" t="s">
        <v>153</v>
      </c>
      <c r="Y21" s="310" t="s">
        <v>44</v>
      </c>
      <c r="Z21" s="123">
        <v>105</v>
      </c>
      <c r="AA21" s="67">
        <f t="shared" ref="AA21:AA23" si="3">+Z21/$Z$24</f>
        <v>0.25100851636037652</v>
      </c>
      <c r="AB21" s="666">
        <f t="shared" ref="AB21:AB23" si="4">+AA21*$Z$18</f>
        <v>53.715822501120577</v>
      </c>
      <c r="AC21" s="67"/>
      <c r="AE21" s="13"/>
      <c r="AF21" s="13"/>
      <c r="AG21" s="38"/>
      <c r="AH21" s="38"/>
      <c r="AI21" s="92"/>
      <c r="AJ21" s="38"/>
      <c r="AK21" s="92"/>
      <c r="AL21" s="92"/>
      <c r="AM21" s="192"/>
      <c r="AN21" s="625"/>
      <c r="AO21" s="94"/>
      <c r="AP21" s="433"/>
      <c r="AQ21" s="627"/>
      <c r="AR21" s="303"/>
      <c r="AS21" s="630"/>
      <c r="AT21" s="630"/>
      <c r="AU21" s="629"/>
    </row>
    <row r="22" spans="1:47" x14ac:dyDescent="0.25">
      <c r="A22" t="s">
        <v>168</v>
      </c>
      <c r="B22">
        <v>10</v>
      </c>
      <c r="C22">
        <v>180</v>
      </c>
      <c r="E22">
        <v>322.5</v>
      </c>
      <c r="F22">
        <v>262</v>
      </c>
      <c r="G22" s="242" t="s">
        <v>45</v>
      </c>
      <c r="H22" s="213">
        <v>5</v>
      </c>
      <c r="I22" s="213">
        <v>8</v>
      </c>
      <c r="J22" s="243">
        <f>+H22/I22</f>
        <v>0.625</v>
      </c>
      <c r="K22" s="73">
        <v>262</v>
      </c>
      <c r="L22" s="244">
        <f>+K22*J22</f>
        <v>163.75</v>
      </c>
      <c r="M22" s="451">
        <f>+L22*1</f>
        <v>163.75</v>
      </c>
      <c r="N22" s="455">
        <v>1</v>
      </c>
      <c r="O22" s="612">
        <f>+AB22</f>
        <v>83.771104138652319</v>
      </c>
      <c r="P22" s="442">
        <f t="shared" si="1"/>
        <v>247.52110413865233</v>
      </c>
      <c r="Q22" s="639">
        <f t="shared" si="2"/>
        <v>24.752110413865235</v>
      </c>
      <c r="R22" s="445"/>
      <c r="S22" s="446"/>
      <c r="T22" s="412">
        <f>+P22+Q22+R22+S22</f>
        <v>272.27321455251757</v>
      </c>
      <c r="V22" s="13" t="s">
        <v>138</v>
      </c>
      <c r="W22" s="13" t="s">
        <v>236</v>
      </c>
      <c r="X22" t="s">
        <v>153</v>
      </c>
      <c r="Y22" s="242" t="s">
        <v>45</v>
      </c>
      <c r="Z22" s="244">
        <v>163.75</v>
      </c>
      <c r="AA22" s="67">
        <f t="shared" si="3"/>
        <v>0.39145375765725382</v>
      </c>
      <c r="AB22" s="666">
        <f t="shared" si="4"/>
        <v>83.771104138652319</v>
      </c>
      <c r="AC22" s="12"/>
      <c r="AE22" s="13"/>
      <c r="AF22" s="13"/>
      <c r="AG22" s="38"/>
      <c r="AH22" s="38"/>
      <c r="AI22" s="92"/>
      <c r="AJ22" s="38"/>
      <c r="AK22" s="92"/>
      <c r="AL22" s="92"/>
      <c r="AM22" s="192"/>
      <c r="AN22" s="94"/>
      <c r="AO22" s="94"/>
      <c r="AP22" s="433"/>
      <c r="AQ22" s="627"/>
      <c r="AR22" s="303"/>
      <c r="AS22" s="630"/>
      <c r="AT22" s="630"/>
      <c r="AU22" s="629"/>
    </row>
    <row r="23" spans="1:47" ht="15.75" thickBot="1" x14ac:dyDescent="0.3">
      <c r="A23" t="s">
        <v>44</v>
      </c>
      <c r="B23">
        <v>8</v>
      </c>
      <c r="C23">
        <v>210</v>
      </c>
      <c r="E23">
        <v>408.5</v>
      </c>
      <c r="F23">
        <v>332.5</v>
      </c>
      <c r="G23" s="408" t="s">
        <v>175</v>
      </c>
      <c r="H23" s="259">
        <v>1</v>
      </c>
      <c r="I23" s="259">
        <v>8</v>
      </c>
      <c r="J23" s="49">
        <f>+H23/I23</f>
        <v>0.125</v>
      </c>
      <c r="K23" s="254">
        <v>332.5</v>
      </c>
      <c r="L23" s="255">
        <f>+K23*J23</f>
        <v>41.5625</v>
      </c>
      <c r="M23" s="452">
        <f>+L23*1</f>
        <v>41.5625</v>
      </c>
      <c r="N23" s="409">
        <v>1</v>
      </c>
      <c r="O23" s="612">
        <f t="shared" ref="O23" si="5">+L23*N23</f>
        <v>41.5625</v>
      </c>
      <c r="P23" s="442">
        <f t="shared" si="1"/>
        <v>83.125</v>
      </c>
      <c r="Q23" s="640">
        <f t="shared" si="2"/>
        <v>8.3125</v>
      </c>
      <c r="R23" s="447">
        <v>135</v>
      </c>
      <c r="S23" s="448"/>
      <c r="T23" s="641">
        <f>+P23+Q23+R23+S23</f>
        <v>226.4375</v>
      </c>
      <c r="V23" s="303" t="s">
        <v>140</v>
      </c>
      <c r="W23" s="13" t="s">
        <v>143</v>
      </c>
      <c r="X23" t="s">
        <v>144</v>
      </c>
      <c r="Y23" s="408" t="s">
        <v>175</v>
      </c>
      <c r="Z23" s="255">
        <v>41.5625</v>
      </c>
      <c r="AA23" s="67">
        <f t="shared" si="3"/>
        <v>9.9357537725982367E-2</v>
      </c>
      <c r="AB23" s="666">
        <f t="shared" si="4"/>
        <v>21.262513073360228</v>
      </c>
      <c r="AC23" s="12"/>
      <c r="AE23" s="13"/>
      <c r="AF23" s="13"/>
      <c r="AG23" s="38"/>
      <c r="AH23" s="38"/>
      <c r="AI23" s="92"/>
      <c r="AJ23" s="38"/>
      <c r="AK23" s="92"/>
      <c r="AL23" s="92"/>
      <c r="AM23" s="192"/>
      <c r="AN23" s="94"/>
      <c r="AO23" s="94"/>
      <c r="AP23" s="433"/>
      <c r="AQ23" s="627"/>
      <c r="AR23" s="303"/>
      <c r="AS23" s="630"/>
      <c r="AT23" s="630"/>
      <c r="AU23" s="629"/>
    </row>
    <row r="24" spans="1:47" x14ac:dyDescent="0.25">
      <c r="A24" t="s">
        <v>45</v>
      </c>
      <c r="B24">
        <v>8</v>
      </c>
      <c r="C24">
        <v>320</v>
      </c>
      <c r="D24">
        <v>210</v>
      </c>
      <c r="G24" s="37"/>
      <c r="H24" s="38"/>
      <c r="I24" s="38"/>
      <c r="J24" s="92"/>
      <c r="K24" s="38"/>
      <c r="L24" s="92"/>
      <c r="M24" s="92"/>
      <c r="N24" s="192"/>
      <c r="O24" s="432"/>
      <c r="P24" s="94"/>
      <c r="Q24" s="433"/>
      <c r="R24" s="434"/>
      <c r="S24" s="240"/>
      <c r="T24" s="435"/>
      <c r="U24" s="435"/>
      <c r="V24" s="436"/>
      <c r="W24" s="338"/>
      <c r="X24" s="13"/>
      <c r="Y24" s="13"/>
      <c r="Z24" s="10">
        <f>SUM(Z20:Z23)</f>
        <v>418.3125</v>
      </c>
      <c r="AB24" s="666">
        <f>SUM(AB20:AB23)</f>
        <v>214</v>
      </c>
      <c r="AC24" s="12"/>
      <c r="AE24" s="13"/>
      <c r="AF24" s="13"/>
      <c r="AG24" s="38"/>
      <c r="AH24" s="38"/>
      <c r="AI24" s="92"/>
      <c r="AJ24" s="38"/>
      <c r="AK24" s="92"/>
      <c r="AL24" s="92"/>
      <c r="AM24" s="192"/>
      <c r="AN24" s="432"/>
      <c r="AO24" s="94"/>
      <c r="AP24" s="433"/>
      <c r="AQ24" s="434"/>
      <c r="AR24" s="240"/>
      <c r="AS24" s="435"/>
      <c r="AT24" s="435"/>
      <c r="AU24" s="13"/>
    </row>
    <row r="25" spans="1:47" x14ac:dyDescent="0.25">
      <c r="A25" t="s">
        <v>46</v>
      </c>
      <c r="B25">
        <v>8</v>
      </c>
      <c r="C25">
        <v>440</v>
      </c>
      <c r="D25">
        <v>360</v>
      </c>
      <c r="F25" s="201" t="s">
        <v>126</v>
      </c>
      <c r="G25" s="201">
        <v>4</v>
      </c>
      <c r="H25" s="203">
        <f>SUM(H20:H23)</f>
        <v>16</v>
      </c>
      <c r="I25" s="201"/>
      <c r="J25" s="201"/>
      <c r="K25" s="203"/>
      <c r="L25" s="203">
        <f>SUM(L20:L23)</f>
        <v>418.3125</v>
      </c>
      <c r="M25" s="201"/>
      <c r="N25" s="201"/>
      <c r="O25" s="496"/>
      <c r="P25" s="201"/>
      <c r="Q25" s="203"/>
      <c r="R25" s="201"/>
      <c r="S25" s="201"/>
      <c r="T25" s="441">
        <f>SUM(T20:T23)</f>
        <v>1052.8737356193037</v>
      </c>
      <c r="U25" s="203"/>
      <c r="AE25" s="13"/>
      <c r="AF25" s="573"/>
      <c r="AG25" s="622"/>
      <c r="AH25" s="573"/>
      <c r="AI25" s="573"/>
      <c r="AJ25" s="622"/>
      <c r="AK25" s="622"/>
      <c r="AL25" s="573"/>
      <c r="AM25" s="573"/>
      <c r="AN25" s="631"/>
      <c r="AO25" s="573"/>
      <c r="AP25" s="622"/>
      <c r="AQ25" s="573"/>
      <c r="AR25" s="573"/>
      <c r="AS25" s="622"/>
      <c r="AT25" s="622"/>
      <c r="AU25" s="629"/>
    </row>
    <row r="26" spans="1:47" x14ac:dyDescent="0.25">
      <c r="A26" t="s">
        <v>47</v>
      </c>
      <c r="B26">
        <v>8</v>
      </c>
      <c r="C26">
        <v>540</v>
      </c>
      <c r="D26">
        <v>400</v>
      </c>
      <c r="O26" s="10"/>
      <c r="T26" s="10"/>
      <c r="U26" s="10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</row>
    <row r="27" spans="1:47" x14ac:dyDescent="0.25">
      <c r="M27" s="36" t="s">
        <v>232</v>
      </c>
      <c r="N27" s="36"/>
      <c r="O27" s="36"/>
      <c r="P27" s="407" t="s">
        <v>170</v>
      </c>
      <c r="S27" s="10"/>
      <c r="T27" s="10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</row>
    <row r="28" spans="1:47" ht="15.75" x14ac:dyDescent="0.25">
      <c r="P28" s="392" t="s">
        <v>239</v>
      </c>
      <c r="Q28" s="378" t="s">
        <v>240</v>
      </c>
      <c r="R28" s="377" t="s">
        <v>241</v>
      </c>
      <c r="S28" s="377" t="s">
        <v>242</v>
      </c>
      <c r="T28" s="377">
        <v>100</v>
      </c>
      <c r="U28" s="377"/>
    </row>
    <row r="29" spans="1:47" ht="15.75" x14ac:dyDescent="0.25">
      <c r="N29" s="36"/>
      <c r="P29" s="377" t="s">
        <v>243</v>
      </c>
      <c r="Q29" s="378" t="s">
        <v>244</v>
      </c>
      <c r="R29" s="377" t="s">
        <v>245</v>
      </c>
      <c r="S29" s="377" t="s">
        <v>242</v>
      </c>
      <c r="T29" s="377">
        <v>100</v>
      </c>
      <c r="U29" s="377"/>
    </row>
    <row r="30" spans="1:47" x14ac:dyDescent="0.25">
      <c r="K30" t="s">
        <v>284</v>
      </c>
      <c r="L30">
        <v>135</v>
      </c>
      <c r="M30" s="36" t="s">
        <v>233</v>
      </c>
      <c r="N30" s="406" t="s">
        <v>231</v>
      </c>
    </row>
    <row r="31" spans="1:47" x14ac:dyDescent="0.25">
      <c r="G31" s="36" t="s">
        <v>180</v>
      </c>
      <c r="M31" s="36"/>
      <c r="N31" s="406"/>
    </row>
    <row r="32" spans="1:47" ht="15.75" thickBot="1" x14ac:dyDescent="0.3">
      <c r="H32" s="60"/>
      <c r="I32" s="60"/>
      <c r="Q32" s="37"/>
      <c r="S32" s="87"/>
    </row>
    <row r="33" spans="1:29" x14ac:dyDescent="0.25">
      <c r="E33" s="238" t="s">
        <v>130</v>
      </c>
      <c r="F33" s="515" t="s">
        <v>283</v>
      </c>
      <c r="G33" s="700" t="s">
        <v>0</v>
      </c>
      <c r="H33" s="58" t="s">
        <v>1</v>
      </c>
      <c r="I33" s="59" t="s">
        <v>2</v>
      </c>
      <c r="J33" s="6" t="s">
        <v>3</v>
      </c>
      <c r="K33" s="278" t="s">
        <v>0</v>
      </c>
      <c r="L33" s="197" t="s">
        <v>37</v>
      </c>
      <c r="M33" s="675" t="s">
        <v>4</v>
      </c>
      <c r="N33" s="702" t="s">
        <v>262</v>
      </c>
      <c r="O33" s="725"/>
      <c r="P33" s="704" t="s">
        <v>230</v>
      </c>
      <c r="Q33" s="642"/>
      <c r="AB33" s="67"/>
      <c r="AC33" s="12"/>
    </row>
    <row r="34" spans="1:29" ht="15.75" thickBot="1" x14ac:dyDescent="0.3">
      <c r="A34" t="s">
        <v>0</v>
      </c>
      <c r="B34" t="s">
        <v>2</v>
      </c>
      <c r="C34" s="74" t="s">
        <v>8</v>
      </c>
      <c r="E34" t="s">
        <v>131</v>
      </c>
      <c r="F34" t="s">
        <v>0</v>
      </c>
      <c r="G34" s="701"/>
      <c r="H34" s="50" t="s">
        <v>6</v>
      </c>
      <c r="I34" s="26" t="s">
        <v>7</v>
      </c>
      <c r="J34" s="27"/>
      <c r="K34" s="27" t="s">
        <v>8</v>
      </c>
      <c r="L34" s="198" t="s">
        <v>127</v>
      </c>
      <c r="M34" s="676"/>
      <c r="N34" s="29" t="s">
        <v>9</v>
      </c>
      <c r="O34" s="30" t="s">
        <v>10</v>
      </c>
      <c r="P34" s="705"/>
      <c r="Q34" s="642"/>
      <c r="AB34" s="67"/>
      <c r="AC34" s="12"/>
    </row>
    <row r="35" spans="1:29" ht="15.75" thickBot="1" x14ac:dyDescent="0.3">
      <c r="A35" t="s">
        <v>54</v>
      </c>
      <c r="B35">
        <v>20</v>
      </c>
      <c r="C35">
        <v>80</v>
      </c>
      <c r="E35">
        <v>79.5</v>
      </c>
      <c r="F35">
        <v>67.5</v>
      </c>
      <c r="G35" s="52" t="s">
        <v>160</v>
      </c>
      <c r="H35" s="259">
        <v>12</v>
      </c>
      <c r="I35" s="259">
        <v>20</v>
      </c>
      <c r="J35" s="54">
        <f>+H35/I35</f>
        <v>0.6</v>
      </c>
      <c r="K35" s="314">
        <v>67.5</v>
      </c>
      <c r="L35" s="313">
        <f>+K35*J35</f>
        <v>40.5</v>
      </c>
      <c r="M35" s="56">
        <f>+L35*0.8</f>
        <v>32.4</v>
      </c>
      <c r="N35" s="57">
        <v>1</v>
      </c>
      <c r="O35" s="219">
        <v>20</v>
      </c>
      <c r="P35" s="267">
        <f>+M35+O35</f>
        <v>52.4</v>
      </c>
      <c r="Q35" s="643"/>
      <c r="S35" s="89">
        <v>10</v>
      </c>
      <c r="T35" s="303" t="s">
        <v>288</v>
      </c>
      <c r="U35" s="13" t="s">
        <v>141</v>
      </c>
      <c r="V35" t="s">
        <v>176</v>
      </c>
      <c r="X35">
        <v>10</v>
      </c>
      <c r="AB35" s="67"/>
      <c r="AC35" s="12"/>
    </row>
    <row r="36" spans="1:29" x14ac:dyDescent="0.25">
      <c r="M36" s="10"/>
      <c r="O36" s="10"/>
      <c r="P36" s="10"/>
      <c r="Q36" s="10"/>
      <c r="AC36" s="12"/>
    </row>
    <row r="37" spans="1:29" x14ac:dyDescent="0.25">
      <c r="F37" s="201" t="s">
        <v>126</v>
      </c>
      <c r="G37" s="201">
        <v>1</v>
      </c>
      <c r="H37" s="201">
        <f>SUM(H32:H35)</f>
        <v>12</v>
      </c>
      <c r="I37" s="201"/>
      <c r="J37" s="201"/>
      <c r="K37" s="203"/>
      <c r="L37" s="203">
        <f>SUM(L35:L36)</f>
        <v>40.5</v>
      </c>
      <c r="M37" s="201"/>
      <c r="N37" s="201"/>
      <c r="O37" s="201"/>
      <c r="P37" s="441">
        <f>SUM(P35:P36)</f>
        <v>52.4</v>
      </c>
      <c r="Q37" s="201"/>
    </row>
    <row r="38" spans="1:29" x14ac:dyDescent="0.25">
      <c r="K38" s="67"/>
    </row>
    <row r="39" spans="1:29" x14ac:dyDescent="0.25">
      <c r="K39" s="67"/>
      <c r="Q39" s="12"/>
    </row>
    <row r="40" spans="1:29" x14ac:dyDescent="0.25">
      <c r="G40" s="670" t="s">
        <v>181</v>
      </c>
      <c r="H40" s="670"/>
      <c r="I40" s="670"/>
      <c r="K40" s="67"/>
    </row>
    <row r="41" spans="1:29" ht="15.75" thickBot="1" x14ac:dyDescent="0.3">
      <c r="K41" s="67"/>
    </row>
    <row r="42" spans="1:29" ht="15.75" thickBot="1" x14ac:dyDescent="0.3">
      <c r="G42" s="126" t="s">
        <v>79</v>
      </c>
      <c r="H42" s="127" t="s">
        <v>237</v>
      </c>
      <c r="I42" s="127" t="s">
        <v>238</v>
      </c>
      <c r="J42" s="127" t="s">
        <v>80</v>
      </c>
      <c r="K42" s="127" t="s">
        <v>82</v>
      </c>
      <c r="L42" s="128" t="s">
        <v>67</v>
      </c>
    </row>
    <row r="43" spans="1:29" x14ac:dyDescent="0.25">
      <c r="G43" s="316" t="s">
        <v>177</v>
      </c>
      <c r="H43" s="15"/>
      <c r="I43" s="15"/>
      <c r="J43" s="15" t="s">
        <v>124</v>
      </c>
      <c r="K43" s="426"/>
      <c r="L43" s="644">
        <v>5</v>
      </c>
    </row>
    <row r="44" spans="1:29" ht="15.75" thickBot="1" x14ac:dyDescent="0.3">
      <c r="G44" s="697" t="s">
        <v>126</v>
      </c>
      <c r="H44" s="698"/>
      <c r="I44" s="698"/>
      <c r="J44" s="698"/>
      <c r="K44" s="699"/>
      <c r="L44" s="439">
        <f>SUM(L43:L43)</f>
        <v>5</v>
      </c>
      <c r="U44" s="12"/>
    </row>
    <row r="45" spans="1:29" x14ac:dyDescent="0.25">
      <c r="G45" s="307"/>
      <c r="H45" s="307"/>
      <c r="I45" s="307"/>
      <c r="J45" s="307"/>
      <c r="K45" s="307"/>
      <c r="L45" s="13"/>
    </row>
    <row r="46" spans="1:29" ht="15.75" thickBot="1" x14ac:dyDescent="0.3">
      <c r="G46" s="36" t="s">
        <v>182</v>
      </c>
      <c r="K46" s="67"/>
    </row>
    <row r="47" spans="1:29" x14ac:dyDescent="0.25">
      <c r="G47" s="304"/>
      <c r="H47" s="305" t="s">
        <v>1</v>
      </c>
      <c r="I47" s="306" t="s">
        <v>161</v>
      </c>
      <c r="K47" s="37"/>
      <c r="L47" s="421"/>
      <c r="M47" s="421"/>
    </row>
    <row r="48" spans="1:29" x14ac:dyDescent="0.25">
      <c r="A48" t="s">
        <v>60</v>
      </c>
      <c r="B48" t="s">
        <v>250</v>
      </c>
      <c r="G48" s="69" t="s">
        <v>66</v>
      </c>
      <c r="H48" s="574">
        <f>+H35+H25+H11</f>
        <v>44</v>
      </c>
      <c r="I48" s="69">
        <v>44</v>
      </c>
      <c r="K48" s="37"/>
      <c r="L48" s="37"/>
      <c r="M48" s="37"/>
      <c r="N48" s="193"/>
      <c r="O48" s="193"/>
      <c r="P48" s="193"/>
      <c r="Q48" s="193"/>
    </row>
    <row r="49" spans="1:17" x14ac:dyDescent="0.25">
      <c r="A49" t="s">
        <v>55</v>
      </c>
      <c r="B49" t="s">
        <v>57</v>
      </c>
      <c r="G49" s="69" t="s">
        <v>68</v>
      </c>
      <c r="H49" s="574">
        <f>+H25</f>
        <v>16</v>
      </c>
      <c r="I49" s="69">
        <f>+H49*2</f>
        <v>32</v>
      </c>
      <c r="K49" s="37"/>
      <c r="L49" s="37"/>
      <c r="M49" s="37"/>
      <c r="N49" s="194"/>
      <c r="O49" s="194"/>
      <c r="P49" s="194"/>
      <c r="Q49" s="194"/>
    </row>
    <row r="50" spans="1:17" x14ac:dyDescent="0.25">
      <c r="A50" t="s">
        <v>171</v>
      </c>
      <c r="B50">
        <v>10</v>
      </c>
      <c r="G50" s="69" t="s">
        <v>171</v>
      </c>
      <c r="H50" s="69"/>
      <c r="I50" s="69">
        <v>10</v>
      </c>
      <c r="K50" s="37"/>
      <c r="L50" s="37"/>
      <c r="M50" s="37"/>
      <c r="N50" s="187"/>
      <c r="O50" s="187"/>
      <c r="P50" s="330"/>
      <c r="Q50" s="330"/>
    </row>
    <row r="51" spans="1:17" x14ac:dyDescent="0.25">
      <c r="A51" t="s">
        <v>172</v>
      </c>
      <c r="B51">
        <v>5</v>
      </c>
      <c r="G51" s="69" t="s">
        <v>172</v>
      </c>
      <c r="H51" s="69"/>
      <c r="I51" s="69">
        <v>5</v>
      </c>
      <c r="J51" s="13"/>
      <c r="K51" s="37"/>
      <c r="L51" s="37"/>
      <c r="M51" s="37"/>
      <c r="N51" s="190"/>
      <c r="O51" s="191"/>
      <c r="P51" s="191"/>
      <c r="Q51" s="191"/>
    </row>
    <row r="52" spans="1:17" x14ac:dyDescent="0.25">
      <c r="A52" t="s">
        <v>26</v>
      </c>
      <c r="B52" t="s">
        <v>61</v>
      </c>
      <c r="C52" t="s">
        <v>62</v>
      </c>
      <c r="D52" t="s">
        <v>63</v>
      </c>
      <c r="E52" s="13"/>
      <c r="F52" s="13"/>
      <c r="G52" s="102" t="s">
        <v>27</v>
      </c>
      <c r="H52" s="102"/>
      <c r="I52" s="204">
        <f>+I48+I49+I50+I51</f>
        <v>91</v>
      </c>
      <c r="J52" s="13"/>
      <c r="K52" s="13"/>
      <c r="L52" s="13"/>
      <c r="M52" s="240"/>
      <c r="N52" s="192"/>
      <c r="O52" s="94"/>
      <c r="P52" s="94"/>
      <c r="Q52" s="94"/>
    </row>
    <row r="53" spans="1:17" x14ac:dyDescent="0.25">
      <c r="B53" s="66">
        <v>0.05</v>
      </c>
      <c r="C53" s="66">
        <v>0.1</v>
      </c>
      <c r="D53" s="66">
        <v>0.15</v>
      </c>
      <c r="E53" s="13"/>
      <c r="F53" s="13"/>
      <c r="G53" s="69"/>
      <c r="H53" s="108" t="s">
        <v>69</v>
      </c>
      <c r="I53" s="108"/>
      <c r="J53" s="101"/>
      <c r="K53" s="37"/>
      <c r="L53" s="221"/>
      <c r="M53" s="221"/>
      <c r="N53" s="192"/>
      <c r="O53" s="94"/>
      <c r="P53" s="94"/>
      <c r="Q53" s="94"/>
    </row>
    <row r="54" spans="1:17" x14ac:dyDescent="0.25">
      <c r="B54" t="s">
        <v>64</v>
      </c>
      <c r="C54" t="s">
        <v>65</v>
      </c>
      <c r="E54" s="13"/>
      <c r="F54" s="13"/>
      <c r="G54" s="102" t="s">
        <v>26</v>
      </c>
      <c r="H54" s="103">
        <v>35</v>
      </c>
      <c r="I54" s="211">
        <f>+I52*0.2</f>
        <v>18.2</v>
      </c>
      <c r="J54" s="39"/>
      <c r="K54" s="13"/>
      <c r="L54" s="101"/>
      <c r="M54" s="422"/>
      <c r="N54" s="192"/>
      <c r="O54" s="94"/>
      <c r="P54" s="94"/>
      <c r="Q54" s="94"/>
    </row>
    <row r="55" spans="1:17" x14ac:dyDescent="0.25">
      <c r="B55" s="66">
        <v>0.2</v>
      </c>
      <c r="C55" s="66">
        <v>0.25</v>
      </c>
      <c r="E55" s="13"/>
      <c r="F55" s="13"/>
      <c r="G55" s="103"/>
      <c r="H55" s="105"/>
      <c r="I55" s="200"/>
      <c r="J55" s="187"/>
      <c r="K55" s="101"/>
      <c r="L55" s="39"/>
      <c r="M55" s="423"/>
      <c r="N55" s="192"/>
      <c r="O55" s="94"/>
      <c r="P55" s="94"/>
      <c r="Q55" s="94"/>
    </row>
    <row r="56" spans="1:17" x14ac:dyDescent="0.25">
      <c r="E56" s="201" t="s">
        <v>126</v>
      </c>
      <c r="F56" s="201"/>
      <c r="G56" s="201"/>
      <c r="H56" s="201"/>
      <c r="I56" s="440">
        <f>+I52+I54</f>
        <v>109.2</v>
      </c>
      <c r="J56" s="187"/>
      <c r="K56" s="516"/>
      <c r="L56" s="516"/>
      <c r="M56" s="424"/>
      <c r="N56" s="192"/>
      <c r="O56" s="94"/>
      <c r="P56" s="94"/>
      <c r="Q56" s="94"/>
    </row>
    <row r="57" spans="1:17" x14ac:dyDescent="0.25">
      <c r="E57" s="13"/>
      <c r="F57" s="13"/>
      <c r="G57" s="187"/>
      <c r="H57" s="187"/>
      <c r="I57" s="187"/>
      <c r="J57" s="187"/>
      <c r="K57" s="91"/>
      <c r="L57" s="129"/>
    </row>
    <row r="58" spans="1:17" x14ac:dyDescent="0.25">
      <c r="E58" s="13"/>
      <c r="F58" s="13"/>
      <c r="G58" s="187" t="s">
        <v>183</v>
      </c>
      <c r="H58" s="187"/>
      <c r="I58" s="187"/>
      <c r="J58" s="187"/>
      <c r="K58" s="91"/>
      <c r="L58" s="129"/>
    </row>
    <row r="59" spans="1:17" ht="15.75" thickBot="1" x14ac:dyDescent="0.3">
      <c r="E59" s="13"/>
      <c r="F59" s="13"/>
      <c r="G59" s="187"/>
      <c r="H59" s="187"/>
      <c r="I59" s="187"/>
      <c r="J59" s="187"/>
      <c r="K59" s="187"/>
      <c r="L59" s="129"/>
    </row>
    <row r="60" spans="1:17" ht="15.75" thickBot="1" x14ac:dyDescent="0.3">
      <c r="E60" s="13"/>
      <c r="F60" s="13"/>
      <c r="G60" s="75" t="s">
        <v>31</v>
      </c>
      <c r="H60" s="76" t="s">
        <v>30</v>
      </c>
      <c r="I60" s="76" t="s">
        <v>29</v>
      </c>
      <c r="J60" s="205" t="s">
        <v>33</v>
      </c>
      <c r="K60" s="38"/>
      <c r="L60" s="92"/>
    </row>
    <row r="61" spans="1:17" x14ac:dyDescent="0.25">
      <c r="E61" s="13"/>
      <c r="F61" s="13"/>
      <c r="G61" s="111" t="s">
        <v>246</v>
      </c>
      <c r="H61" s="112" t="s">
        <v>122</v>
      </c>
      <c r="I61" s="112">
        <v>137</v>
      </c>
      <c r="J61" s="315">
        <v>250</v>
      </c>
      <c r="K61" s="38"/>
      <c r="L61" s="92"/>
    </row>
  </sheetData>
  <mergeCells count="26">
    <mergeCell ref="AS18:AT18"/>
    <mergeCell ref="AM17:AN17"/>
    <mergeCell ref="AL18:AL19"/>
    <mergeCell ref="AM18:AN18"/>
    <mergeCell ref="AO18:AP18"/>
    <mergeCell ref="AQ18:AR18"/>
    <mergeCell ref="C18:D18"/>
    <mergeCell ref="A5:C5"/>
    <mergeCell ref="A10:C10"/>
    <mergeCell ref="C20:D20"/>
    <mergeCell ref="G44:K44"/>
    <mergeCell ref="G40:I40"/>
    <mergeCell ref="G33:G34"/>
    <mergeCell ref="T18:T19"/>
    <mergeCell ref="P33:P34"/>
    <mergeCell ref="G4:L4"/>
    <mergeCell ref="N5:O5"/>
    <mergeCell ref="M6:M7"/>
    <mergeCell ref="N6:O6"/>
    <mergeCell ref="R18:S18"/>
    <mergeCell ref="P18:Q18"/>
    <mergeCell ref="M33:M34"/>
    <mergeCell ref="N33:O33"/>
    <mergeCell ref="N17:O17"/>
    <mergeCell ref="M18:M19"/>
    <mergeCell ref="N18:O18"/>
  </mergeCells>
  <pageMargins left="0.7" right="0.7" top="0.75" bottom="0.75" header="0.3" footer="0.3"/>
  <pageSetup paperSize="9" scale="46" fitToHeight="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AL58"/>
  <sheetViews>
    <sheetView topLeftCell="AD1" workbookViewId="0">
      <selection activeCell="AM1" sqref="A1:AM58"/>
    </sheetView>
  </sheetViews>
  <sheetFormatPr defaultRowHeight="15" x14ac:dyDescent="0.25"/>
  <cols>
    <col min="1" max="1" width="13.140625" customWidth="1"/>
    <col min="5" max="6" width="11.140625" customWidth="1"/>
    <col min="7" max="7" width="28.5703125" bestFit="1" customWidth="1"/>
    <col min="12" max="12" width="12" customWidth="1"/>
    <col min="16" max="16" width="12.28515625" customWidth="1"/>
    <col min="19" max="19" width="15.5703125" customWidth="1"/>
    <col min="23" max="23" width="14.7109375" customWidth="1"/>
    <col min="37" max="37" width="21.28515625" customWidth="1"/>
  </cols>
  <sheetData>
    <row r="1" spans="1:38" x14ac:dyDescent="0.25">
      <c r="G1" s="670" t="s">
        <v>156</v>
      </c>
      <c r="H1" s="670"/>
      <c r="I1" s="670"/>
      <c r="J1" s="670"/>
      <c r="K1" s="670"/>
    </row>
    <row r="2" spans="1:38" x14ac:dyDescent="0.25">
      <c r="G2" t="s">
        <v>264</v>
      </c>
    </row>
    <row r="3" spans="1:38" ht="45" x14ac:dyDescent="0.25">
      <c r="G3" s="731" t="s">
        <v>265</v>
      </c>
      <c r="H3" s="731"/>
      <c r="I3" s="731"/>
      <c r="J3" s="731"/>
      <c r="K3" s="731"/>
      <c r="L3" s="731"/>
      <c r="M3" s="731"/>
      <c r="AI3" s="523" t="s">
        <v>269</v>
      </c>
      <c r="AJ3" t="s">
        <v>336</v>
      </c>
      <c r="AK3" s="523" t="s">
        <v>364</v>
      </c>
      <c r="AL3" t="s">
        <v>363</v>
      </c>
    </row>
    <row r="4" spans="1:38" x14ac:dyDescent="0.25">
      <c r="G4" t="s">
        <v>263</v>
      </c>
      <c r="N4" s="43"/>
      <c r="O4" s="43"/>
      <c r="P4" s="1"/>
      <c r="Q4" s="1"/>
      <c r="R4" s="1"/>
      <c r="AH4" t="s">
        <v>191</v>
      </c>
      <c r="AI4" s="10">
        <f>+L12</f>
        <v>188.4</v>
      </c>
      <c r="AJ4" s="67">
        <f>+AI4/AI7</f>
        <v>0.38417618270799353</v>
      </c>
      <c r="AK4" s="589">
        <f>84*AJ4</f>
        <v>32.27079934747146</v>
      </c>
      <c r="AL4" s="12">
        <f>66*AJ4</f>
        <v>25.355628058727572</v>
      </c>
    </row>
    <row r="5" spans="1:38" x14ac:dyDescent="0.25">
      <c r="N5" s="568"/>
      <c r="O5" s="568"/>
      <c r="P5" s="1"/>
      <c r="Q5" s="1"/>
      <c r="R5" s="1"/>
      <c r="AH5" t="s">
        <v>268</v>
      </c>
      <c r="AI5" s="10">
        <f>+L20++L21</f>
        <v>234</v>
      </c>
      <c r="AJ5" s="67">
        <f>+AI5/AI7</f>
        <v>0.47716150081566072</v>
      </c>
      <c r="AK5" s="589">
        <f>84*AJ5</f>
        <v>40.0815660685155</v>
      </c>
      <c r="AL5" s="12">
        <f>66*AJ5</f>
        <v>31.492659053833609</v>
      </c>
    </row>
    <row r="6" spans="1:38" ht="15.75" thickBot="1" x14ac:dyDescent="0.3">
      <c r="G6" s="2"/>
      <c r="H6" s="2"/>
      <c r="I6" s="2"/>
      <c r="J6" s="2"/>
      <c r="K6" s="2"/>
      <c r="N6" s="66"/>
      <c r="O6" s="66"/>
      <c r="P6" s="683"/>
      <c r="Q6" s="683"/>
      <c r="R6" s="683"/>
      <c r="AH6" t="s">
        <v>328</v>
      </c>
      <c r="AI6">
        <v>68</v>
      </c>
      <c r="AJ6" s="67">
        <f>+AI6/AI7</f>
        <v>0.13866231647634586</v>
      </c>
      <c r="AK6" s="589">
        <f>+AJ6*84</f>
        <v>11.647634584013051</v>
      </c>
      <c r="AL6" s="12">
        <f>66*AJ6</f>
        <v>9.1517128874388263</v>
      </c>
    </row>
    <row r="7" spans="1:38" ht="15.75" thickBot="1" x14ac:dyDescent="0.3">
      <c r="A7" s="186" t="s">
        <v>39</v>
      </c>
      <c r="B7" s="186"/>
      <c r="C7" s="186"/>
      <c r="G7" s="47" t="s">
        <v>0</v>
      </c>
      <c r="H7" s="375" t="s">
        <v>1</v>
      </c>
      <c r="I7" s="17" t="s">
        <v>2</v>
      </c>
      <c r="J7" s="6" t="s">
        <v>3</v>
      </c>
      <c r="K7" s="278" t="s">
        <v>0</v>
      </c>
      <c r="L7" s="197" t="s">
        <v>37</v>
      </c>
      <c r="M7" s="675" t="s">
        <v>4</v>
      </c>
      <c r="N7" s="677" t="s">
        <v>5</v>
      </c>
      <c r="O7" s="678"/>
      <c r="P7" s="678"/>
      <c r="Q7" s="678"/>
      <c r="R7" s="679"/>
      <c r="S7" s="152" t="s">
        <v>11</v>
      </c>
      <c r="AE7" s="66"/>
      <c r="AI7">
        <f>SUM(AI4:AI6)</f>
        <v>490.4</v>
      </c>
      <c r="AK7" s="569">
        <f>SUM(AK4:AK6)</f>
        <v>84</v>
      </c>
      <c r="AL7" s="12">
        <f>SUM(AL4:AL6)</f>
        <v>66</v>
      </c>
    </row>
    <row r="8" spans="1:38" ht="45.75" thickBot="1" x14ac:dyDescent="0.3">
      <c r="B8" t="s">
        <v>2</v>
      </c>
      <c r="C8" t="s">
        <v>8</v>
      </c>
      <c r="E8" t="s">
        <v>129</v>
      </c>
      <c r="F8" t="s">
        <v>330</v>
      </c>
      <c r="G8" s="308"/>
      <c r="H8" s="419" t="s">
        <v>6</v>
      </c>
      <c r="I8" s="28" t="s">
        <v>7</v>
      </c>
      <c r="J8" s="27" t="s">
        <v>13</v>
      </c>
      <c r="K8" s="27" t="s">
        <v>8</v>
      </c>
      <c r="L8" s="198" t="s">
        <v>127</v>
      </c>
      <c r="M8" s="676"/>
      <c r="N8" s="64" t="s">
        <v>19</v>
      </c>
      <c r="O8" s="64" t="s">
        <v>20</v>
      </c>
      <c r="P8" s="34" t="s">
        <v>337</v>
      </c>
      <c r="Q8" s="50" t="s">
        <v>22</v>
      </c>
      <c r="R8" s="35" t="s">
        <v>10</v>
      </c>
      <c r="S8" s="153" t="s">
        <v>12</v>
      </c>
      <c r="U8" s="523" t="s">
        <v>269</v>
      </c>
      <c r="V8" t="s">
        <v>365</v>
      </c>
      <c r="W8" t="s">
        <v>366</v>
      </c>
      <c r="AE8" s="66"/>
    </row>
    <row r="9" spans="1:38" ht="15.75" thickBot="1" x14ac:dyDescent="0.3">
      <c r="A9" t="s">
        <v>15</v>
      </c>
      <c r="B9">
        <v>15</v>
      </c>
      <c r="C9">
        <v>60</v>
      </c>
      <c r="E9">
        <v>132</v>
      </c>
      <c r="F9">
        <v>80</v>
      </c>
      <c r="G9" s="732" t="s">
        <v>327</v>
      </c>
      <c r="H9" s="507">
        <v>12</v>
      </c>
      <c r="I9" s="497">
        <v>20</v>
      </c>
      <c r="J9" s="498">
        <f>+H9/I9</f>
        <v>0.6</v>
      </c>
      <c r="K9" s="499">
        <v>80</v>
      </c>
      <c r="L9" s="500">
        <f>+K9*J9</f>
        <v>48</v>
      </c>
      <c r="M9" s="501">
        <f>+L9*1</f>
        <v>48</v>
      </c>
      <c r="N9" s="502">
        <v>8</v>
      </c>
      <c r="O9" s="502">
        <v>6</v>
      </c>
      <c r="P9" s="591">
        <f t="shared" ref="P9:P10" si="0">+N9*0.25</f>
        <v>2</v>
      </c>
      <c r="Q9" s="590">
        <f>+O9*2.5</f>
        <v>15</v>
      </c>
      <c r="R9" s="505">
        <f>+P9+Q9</f>
        <v>17</v>
      </c>
      <c r="S9" s="506">
        <f>+L9+R9</f>
        <v>65</v>
      </c>
      <c r="U9" s="67">
        <f>+L9/$L$12</f>
        <v>0.25477707006369427</v>
      </c>
      <c r="V9" s="666">
        <f>32*U9</f>
        <v>8.1528662420382165</v>
      </c>
      <c r="W9" s="12">
        <f>25*U9</f>
        <v>6.369426751592357</v>
      </c>
      <c r="AB9" s="728">
        <v>0</v>
      </c>
      <c r="AC9" s="727" t="s">
        <v>252</v>
      </c>
      <c r="AD9" s="727" t="s">
        <v>154</v>
      </c>
      <c r="AE9" s="727" t="s">
        <v>155</v>
      </c>
      <c r="AJ9" s="67"/>
    </row>
    <row r="10" spans="1:38" ht="15.75" thickBot="1" x14ac:dyDescent="0.3">
      <c r="A10" t="s">
        <v>40</v>
      </c>
      <c r="B10">
        <v>20</v>
      </c>
      <c r="C10">
        <v>80</v>
      </c>
      <c r="E10" s="1"/>
      <c r="F10" s="1">
        <v>108</v>
      </c>
      <c r="G10" s="733"/>
      <c r="H10" s="576">
        <v>3</v>
      </c>
      <c r="I10" s="575">
        <v>10</v>
      </c>
      <c r="J10" s="498">
        <f t="shared" ref="J10" si="1">+H10/I10</f>
        <v>0.3</v>
      </c>
      <c r="K10" s="46">
        <v>108</v>
      </c>
      <c r="L10" s="648">
        <f>+K10*J10</f>
        <v>32.4</v>
      </c>
      <c r="M10" s="23">
        <f>+L10*1</f>
        <v>32.4</v>
      </c>
      <c r="N10" s="649">
        <v>6</v>
      </c>
      <c r="O10" s="502">
        <v>4</v>
      </c>
      <c r="P10" s="591">
        <f t="shared" si="0"/>
        <v>1.5</v>
      </c>
      <c r="Q10" s="590">
        <f>+O10*2.5</f>
        <v>10</v>
      </c>
      <c r="R10" s="505">
        <f>+P10+Q10</f>
        <v>11.5</v>
      </c>
      <c r="S10" s="506">
        <f t="shared" ref="S10:S11" si="2">+L10+R10</f>
        <v>43.9</v>
      </c>
      <c r="U10" s="67">
        <f t="shared" ref="U10:U11" si="3">+L10/$L$12</f>
        <v>0.17197452229299362</v>
      </c>
      <c r="V10" s="666">
        <f>32*U10</f>
        <v>5.5031847133757958</v>
      </c>
      <c r="W10" s="12">
        <f>25*U10</f>
        <v>4.2993630573248405</v>
      </c>
      <c r="AB10" s="728"/>
      <c r="AC10" s="727"/>
      <c r="AD10" s="727"/>
      <c r="AE10" s="727"/>
      <c r="AJ10" s="67"/>
    </row>
    <row r="11" spans="1:38" x14ac:dyDescent="0.25">
      <c r="E11" s="1"/>
      <c r="F11" s="1">
        <v>108</v>
      </c>
      <c r="G11" s="579" t="s">
        <v>329</v>
      </c>
      <c r="H11" s="540">
        <v>12</v>
      </c>
      <c r="I11" s="580">
        <v>10</v>
      </c>
      <c r="J11" s="498">
        <v>1</v>
      </c>
      <c r="K11" s="602">
        <v>108</v>
      </c>
      <c r="L11" s="577">
        <f>+K11*J11</f>
        <v>108</v>
      </c>
      <c r="M11" s="578">
        <f>+L11*1</f>
        <v>108</v>
      </c>
      <c r="N11" s="647">
        <v>18</v>
      </c>
      <c r="O11" s="502">
        <v>14</v>
      </c>
      <c r="P11" s="591">
        <f>+N11*0.25</f>
        <v>4.5</v>
      </c>
      <c r="Q11" s="590">
        <f>+O11*2.5</f>
        <v>35</v>
      </c>
      <c r="R11" s="583">
        <f>+Q11+P11</f>
        <v>39.5</v>
      </c>
      <c r="S11" s="506">
        <f t="shared" si="2"/>
        <v>147.5</v>
      </c>
      <c r="U11" s="67">
        <f t="shared" si="3"/>
        <v>0.57324840764331209</v>
      </c>
      <c r="V11" s="666">
        <f>32*U11</f>
        <v>18.343949044585987</v>
      </c>
      <c r="W11" s="12">
        <f>25*U11</f>
        <v>14.331210191082802</v>
      </c>
      <c r="AB11" s="584">
        <v>0</v>
      </c>
      <c r="AC11" t="s">
        <v>252</v>
      </c>
      <c r="AD11" t="s">
        <v>266</v>
      </c>
      <c r="AE11" t="s">
        <v>267</v>
      </c>
      <c r="AJ11" s="67"/>
    </row>
    <row r="12" spans="1:38" x14ac:dyDescent="0.25">
      <c r="E12" s="201" t="s">
        <v>126</v>
      </c>
      <c r="F12" s="201"/>
      <c r="G12" s="201">
        <v>2</v>
      </c>
      <c r="H12" s="201">
        <f>SUM(H9:H11)</f>
        <v>27</v>
      </c>
      <c r="I12" s="201"/>
      <c r="J12" s="201"/>
      <c r="K12" s="201"/>
      <c r="L12" s="235">
        <f>SUM(L9:L11)</f>
        <v>188.4</v>
      </c>
      <c r="M12" s="235"/>
      <c r="N12" s="201"/>
      <c r="O12" s="201"/>
      <c r="P12" s="201"/>
      <c r="Q12" s="201"/>
      <c r="R12" s="201"/>
      <c r="S12" s="594">
        <f>SUM(S9:S11)</f>
        <v>256.39999999999998</v>
      </c>
      <c r="AB12" s="89"/>
      <c r="AJ12" s="67"/>
    </row>
    <row r="13" spans="1:38" x14ac:dyDescent="0.25">
      <c r="A13" s="186" t="s">
        <v>41</v>
      </c>
      <c r="B13" s="186"/>
      <c r="C13" s="186"/>
      <c r="J13" s="10"/>
      <c r="L13" s="11"/>
      <c r="M13" s="10"/>
      <c r="N13" s="10"/>
      <c r="O13" s="10"/>
      <c r="R13" s="12"/>
    </row>
    <row r="14" spans="1:38" x14ac:dyDescent="0.25">
      <c r="A14" t="s">
        <v>42</v>
      </c>
      <c r="B14">
        <v>10</v>
      </c>
      <c r="C14">
        <v>90</v>
      </c>
    </row>
    <row r="15" spans="1:38" x14ac:dyDescent="0.25">
      <c r="A15" t="s">
        <v>43</v>
      </c>
      <c r="B15">
        <v>10</v>
      </c>
      <c r="C15">
        <v>140</v>
      </c>
    </row>
    <row r="16" spans="1:38" x14ac:dyDescent="0.25">
      <c r="M16" s="280"/>
      <c r="N16" s="43"/>
      <c r="O16" s="13"/>
      <c r="P16" s="13"/>
      <c r="Q16" s="13"/>
    </row>
    <row r="17" spans="1:30" ht="15.75" thickBot="1" x14ac:dyDescent="0.3">
      <c r="E17" s="2"/>
      <c r="F17" s="2"/>
      <c r="G17" s="731" t="s">
        <v>188</v>
      </c>
      <c r="H17" s="731"/>
      <c r="I17" s="731"/>
      <c r="J17" s="731"/>
      <c r="K17" s="731"/>
      <c r="L17" s="731"/>
      <c r="M17" s="731"/>
      <c r="O17" s="672"/>
      <c r="P17" s="672"/>
      <c r="Q17" s="672"/>
    </row>
    <row r="18" spans="1:30" ht="15.75" thickBot="1" x14ac:dyDescent="0.3">
      <c r="A18" t="s">
        <v>0</v>
      </c>
      <c r="B18" t="s">
        <v>2</v>
      </c>
      <c r="C18" s="689" t="s">
        <v>8</v>
      </c>
      <c r="D18" s="689"/>
      <c r="G18" s="16" t="s">
        <v>0</v>
      </c>
      <c r="H18" s="18" t="s">
        <v>1</v>
      </c>
      <c r="I18" s="17" t="s">
        <v>2</v>
      </c>
      <c r="J18" s="6" t="s">
        <v>3</v>
      </c>
      <c r="K18" s="278" t="s">
        <v>0</v>
      </c>
      <c r="L18" s="197" t="s">
        <v>37</v>
      </c>
      <c r="M18" s="675" t="s">
        <v>4</v>
      </c>
      <c r="N18" s="677" t="s">
        <v>5</v>
      </c>
      <c r="O18" s="678"/>
      <c r="P18" s="678"/>
      <c r="Q18" s="678"/>
      <c r="R18" s="678"/>
      <c r="S18" s="729" t="s">
        <v>224</v>
      </c>
      <c r="T18" s="707"/>
      <c r="U18" s="704" t="s">
        <v>99</v>
      </c>
    </row>
    <row r="19" spans="1:30" ht="30.75" thickBot="1" x14ac:dyDescent="0.3">
      <c r="C19" t="s">
        <v>48</v>
      </c>
      <c r="D19" t="s">
        <v>49</v>
      </c>
      <c r="E19" t="s">
        <v>129</v>
      </c>
      <c r="G19" s="469"/>
      <c r="H19" s="215" t="s">
        <v>6</v>
      </c>
      <c r="I19" s="470" t="s">
        <v>7</v>
      </c>
      <c r="J19" s="216"/>
      <c r="K19" s="216" t="s">
        <v>8</v>
      </c>
      <c r="L19" s="471" t="s">
        <v>127</v>
      </c>
      <c r="M19" s="724"/>
      <c r="N19" s="472" t="s">
        <v>19</v>
      </c>
      <c r="O19" s="472" t="s">
        <v>20</v>
      </c>
      <c r="P19" s="217" t="s">
        <v>21</v>
      </c>
      <c r="Q19" s="473" t="s">
        <v>22</v>
      </c>
      <c r="R19" s="474" t="s">
        <v>10</v>
      </c>
      <c r="S19" s="475" t="s">
        <v>225</v>
      </c>
      <c r="T19" s="476">
        <v>0.2</v>
      </c>
      <c r="U19" s="730"/>
      <c r="W19" s="523" t="s">
        <v>269</v>
      </c>
      <c r="X19" t="s">
        <v>365</v>
      </c>
      <c r="Y19" t="s">
        <v>366</v>
      </c>
    </row>
    <row r="20" spans="1:30" ht="15.75" thickBot="1" x14ac:dyDescent="0.3">
      <c r="A20" t="s">
        <v>44</v>
      </c>
      <c r="B20">
        <v>12</v>
      </c>
      <c r="C20">
        <v>210</v>
      </c>
      <c r="E20">
        <v>132</v>
      </c>
      <c r="F20">
        <v>108</v>
      </c>
      <c r="G20" s="477" t="s">
        <v>331</v>
      </c>
      <c r="H20" s="478">
        <v>16</v>
      </c>
      <c r="I20" s="479">
        <v>12</v>
      </c>
      <c r="J20" s="650">
        <f t="shared" ref="J20:J22" si="4">+H20/I20</f>
        <v>1.3333333333333333</v>
      </c>
      <c r="K20" s="480">
        <v>108</v>
      </c>
      <c r="L20" s="481">
        <f>+K20*J20</f>
        <v>144</v>
      </c>
      <c r="M20" s="482">
        <f>+L20*1</f>
        <v>144</v>
      </c>
      <c r="N20" s="651">
        <f>+K20*0.6</f>
        <v>64.8</v>
      </c>
      <c r="O20" s="651">
        <f>+K20*0.4</f>
        <v>43.2</v>
      </c>
      <c r="P20" s="652">
        <f>+N20*0.25</f>
        <v>16.2</v>
      </c>
      <c r="Q20" s="592">
        <f>+O20*2.5</f>
        <v>108</v>
      </c>
      <c r="R20" s="483">
        <f>+P20+Q20</f>
        <v>124.2</v>
      </c>
      <c r="S20" s="484">
        <f>+R20+M20</f>
        <v>268.2</v>
      </c>
      <c r="T20" s="485">
        <f>+S20*0.2</f>
        <v>53.64</v>
      </c>
      <c r="U20" s="401">
        <f>+S20+T20</f>
        <v>321.83999999999997</v>
      </c>
      <c r="W20" s="669">
        <f>+L20/AI5</f>
        <v>0.61538461538461542</v>
      </c>
      <c r="X20" s="12">
        <f>32*W20</f>
        <v>19.692307692307693</v>
      </c>
      <c r="Y20" s="12">
        <f>25*W20</f>
        <v>15.384615384615385</v>
      </c>
      <c r="AB20" t="s">
        <v>252</v>
      </c>
      <c r="AC20" t="s">
        <v>154</v>
      </c>
      <c r="AD20" t="s">
        <v>155</v>
      </c>
    </row>
    <row r="21" spans="1:30" x14ac:dyDescent="0.25">
      <c r="A21" t="s">
        <v>45</v>
      </c>
      <c r="B21">
        <v>12</v>
      </c>
      <c r="C21">
        <v>320</v>
      </c>
      <c r="D21">
        <v>210</v>
      </c>
      <c r="E21">
        <v>132</v>
      </c>
      <c r="F21">
        <v>108</v>
      </c>
      <c r="G21" s="586" t="s">
        <v>367</v>
      </c>
      <c r="H21" s="19">
        <v>10</v>
      </c>
      <c r="I21" s="587">
        <v>12</v>
      </c>
      <c r="J21" s="8">
        <f t="shared" si="4"/>
        <v>0.83333333333333337</v>
      </c>
      <c r="K21" s="418">
        <v>108</v>
      </c>
      <c r="L21" s="581">
        <f>+K21*J21</f>
        <v>90</v>
      </c>
      <c r="M21" s="582">
        <f>+L21*1</f>
        <v>90</v>
      </c>
      <c r="N21" s="653">
        <f>+L21*0.6</f>
        <v>54</v>
      </c>
      <c r="O21" s="653">
        <f>+L21*0.4</f>
        <v>36</v>
      </c>
      <c r="P21" s="652">
        <f>+N21*0.25</f>
        <v>13.5</v>
      </c>
      <c r="Q21" s="592">
        <f>+O21*2.5</f>
        <v>90</v>
      </c>
      <c r="R21" s="654">
        <f t="shared" ref="R21:R22" si="5">+P21+Q21</f>
        <v>103.5</v>
      </c>
      <c r="S21" s="395">
        <f t="shared" ref="S21:S22" si="6">+R21+M21</f>
        <v>193.5</v>
      </c>
      <c r="T21" s="655">
        <f t="shared" ref="T21:T22" si="7">+S21*0.2</f>
        <v>38.700000000000003</v>
      </c>
      <c r="U21" s="656">
        <f t="shared" ref="U21:U22" si="8">+S21+T21</f>
        <v>232.2</v>
      </c>
      <c r="W21" s="669">
        <f>+L21/AI5</f>
        <v>0.38461538461538464</v>
      </c>
      <c r="X21" s="12">
        <f>32*W21</f>
        <v>12.307692307692308</v>
      </c>
      <c r="Y21" s="12">
        <f>25*W21</f>
        <v>9.6153846153846168</v>
      </c>
      <c r="AB21" t="s">
        <v>252</v>
      </c>
      <c r="AC21" t="s">
        <v>266</v>
      </c>
      <c r="AD21" t="s">
        <v>267</v>
      </c>
    </row>
    <row r="22" spans="1:30" ht="15.75" thickBot="1" x14ac:dyDescent="0.3">
      <c r="A22" t="s">
        <v>46</v>
      </c>
      <c r="B22">
        <v>12</v>
      </c>
      <c r="C22">
        <v>440</v>
      </c>
      <c r="D22">
        <v>360</v>
      </c>
      <c r="E22">
        <v>99</v>
      </c>
      <c r="F22">
        <v>63</v>
      </c>
      <c r="G22" s="657" t="s">
        <v>368</v>
      </c>
      <c r="H22" s="20">
        <v>14</v>
      </c>
      <c r="I22" s="658">
        <v>12</v>
      </c>
      <c r="J22" s="49">
        <f t="shared" si="4"/>
        <v>1.1666666666666667</v>
      </c>
      <c r="K22" s="486">
        <v>63</v>
      </c>
      <c r="L22" s="659">
        <f>+K22*J22</f>
        <v>73.5</v>
      </c>
      <c r="M22" s="487">
        <f>+L22*1</f>
        <v>73.5</v>
      </c>
      <c r="N22" s="660"/>
      <c r="O22" s="660">
        <f>+K22*0.4</f>
        <v>25.200000000000003</v>
      </c>
      <c r="P22" s="661">
        <f t="shared" ref="P22" si="9">+N22*0.25</f>
        <v>0</v>
      </c>
      <c r="Q22" s="662">
        <f t="shared" ref="Q22" si="10">+O22*2.5</f>
        <v>63.000000000000007</v>
      </c>
      <c r="R22" s="663">
        <f t="shared" si="5"/>
        <v>63.000000000000007</v>
      </c>
      <c r="S22" s="397">
        <f t="shared" si="6"/>
        <v>136.5</v>
      </c>
      <c r="T22" s="664">
        <f t="shared" si="7"/>
        <v>27.3</v>
      </c>
      <c r="U22" s="665">
        <f t="shared" si="8"/>
        <v>163.80000000000001</v>
      </c>
      <c r="W22" s="668"/>
      <c r="AB22" t="s">
        <v>252</v>
      </c>
      <c r="AC22" t="s">
        <v>266</v>
      </c>
      <c r="AD22" t="s">
        <v>267</v>
      </c>
    </row>
    <row r="23" spans="1:30" x14ac:dyDescent="0.25">
      <c r="A23" t="s">
        <v>47</v>
      </c>
      <c r="B23">
        <v>12</v>
      </c>
      <c r="C23">
        <v>540</v>
      </c>
      <c r="D23">
        <v>400</v>
      </c>
      <c r="E23" s="201" t="s">
        <v>126</v>
      </c>
      <c r="F23" s="201"/>
      <c r="G23" s="201">
        <v>3</v>
      </c>
      <c r="H23" s="201">
        <f>SUM(H20:H22)</f>
        <v>40</v>
      </c>
      <c r="I23" s="201"/>
      <c r="J23" s="201"/>
      <c r="K23" s="201"/>
      <c r="L23" s="201">
        <f>SUM(L20:L22)</f>
        <v>307.5</v>
      </c>
      <c r="M23" s="201"/>
      <c r="N23" s="201"/>
      <c r="O23" s="201"/>
      <c r="P23" s="201"/>
      <c r="Q23" s="201"/>
      <c r="R23" s="201"/>
      <c r="S23" s="351"/>
      <c r="T23" s="203"/>
      <c r="U23" s="593">
        <f>SUM(U20:U22)</f>
        <v>717.83999999999992</v>
      </c>
    </row>
    <row r="24" spans="1:30" x14ac:dyDescent="0.25">
      <c r="S24" s="195"/>
    </row>
    <row r="26" spans="1:30" x14ac:dyDescent="0.25">
      <c r="G26" s="36" t="s">
        <v>180</v>
      </c>
      <c r="M26" s="36"/>
      <c r="N26" s="406"/>
    </row>
    <row r="27" spans="1:30" ht="15.75" thickBot="1" x14ac:dyDescent="0.3">
      <c r="H27" s="60"/>
      <c r="I27" s="60"/>
    </row>
    <row r="28" spans="1:30" ht="14.45" customHeight="1" thickBot="1" x14ac:dyDescent="0.3">
      <c r="E28" s="564" t="s">
        <v>130</v>
      </c>
      <c r="F28" s="564" t="s">
        <v>283</v>
      </c>
      <c r="G28" s="565" t="s">
        <v>0</v>
      </c>
      <c r="H28" s="58" t="s">
        <v>1</v>
      </c>
      <c r="I28" s="59" t="s">
        <v>2</v>
      </c>
      <c r="J28" s="6" t="s">
        <v>3</v>
      </c>
      <c r="K28" s="563" t="s">
        <v>0</v>
      </c>
      <c r="L28" s="197" t="s">
        <v>37</v>
      </c>
      <c r="M28" s="560" t="s">
        <v>4</v>
      </c>
      <c r="N28" s="677" t="s">
        <v>5</v>
      </c>
      <c r="O28" s="678"/>
      <c r="P28" s="678"/>
      <c r="Q28" s="678"/>
      <c r="R28" s="679"/>
      <c r="S28" s="152" t="s">
        <v>11</v>
      </c>
    </row>
    <row r="29" spans="1:30" ht="15.75" thickBot="1" x14ac:dyDescent="0.3">
      <c r="A29" t="s">
        <v>0</v>
      </c>
      <c r="B29" t="s">
        <v>2</v>
      </c>
      <c r="C29" s="74" t="s">
        <v>8</v>
      </c>
      <c r="E29" t="s">
        <v>131</v>
      </c>
      <c r="F29" t="s">
        <v>0</v>
      </c>
      <c r="G29" s="566"/>
      <c r="H29" s="50" t="s">
        <v>6</v>
      </c>
      <c r="I29" s="26" t="s">
        <v>7</v>
      </c>
      <c r="J29" s="27"/>
      <c r="K29" s="27" t="s">
        <v>8</v>
      </c>
      <c r="L29" s="198" t="s">
        <v>127</v>
      </c>
      <c r="M29" s="561"/>
      <c r="N29" s="64" t="s">
        <v>19</v>
      </c>
      <c r="O29" s="64" t="s">
        <v>20</v>
      </c>
      <c r="P29" s="34" t="s">
        <v>21</v>
      </c>
      <c r="Q29" s="50" t="s">
        <v>22</v>
      </c>
      <c r="R29" s="35" t="s">
        <v>10</v>
      </c>
      <c r="S29" s="153" t="s">
        <v>12</v>
      </c>
    </row>
    <row r="30" spans="1:30" ht="15.75" thickBot="1" x14ac:dyDescent="0.3">
      <c r="A30" t="s">
        <v>54</v>
      </c>
      <c r="B30">
        <v>20</v>
      </c>
      <c r="C30">
        <v>80</v>
      </c>
      <c r="E30">
        <v>132</v>
      </c>
      <c r="F30">
        <v>80</v>
      </c>
      <c r="G30" s="52" t="s">
        <v>332</v>
      </c>
      <c r="H30" s="259">
        <v>17</v>
      </c>
      <c r="I30" s="259">
        <v>20</v>
      </c>
      <c r="J30" s="54">
        <f>+H30/I30</f>
        <v>0.85</v>
      </c>
      <c r="K30" s="314">
        <v>80</v>
      </c>
      <c r="L30" s="313">
        <f>+K30*J30</f>
        <v>68</v>
      </c>
      <c r="M30" s="56">
        <f>+L30*0.8</f>
        <v>54.400000000000006</v>
      </c>
      <c r="N30" s="502">
        <v>12</v>
      </c>
      <c r="O30" s="502">
        <v>9</v>
      </c>
      <c r="P30" s="503">
        <f>+N30*0.25</f>
        <v>3</v>
      </c>
      <c r="Q30" s="504">
        <f>+O30*2.5</f>
        <v>22.5</v>
      </c>
      <c r="R30" s="505">
        <f>+P30+Q30</f>
        <v>25.5</v>
      </c>
      <c r="S30" s="506">
        <f>+R30+M30</f>
        <v>79.900000000000006</v>
      </c>
      <c r="V30" s="89">
        <v>0</v>
      </c>
      <c r="W30" t="s">
        <v>333</v>
      </c>
      <c r="X30" t="s">
        <v>334</v>
      </c>
      <c r="Y30" t="s">
        <v>335</v>
      </c>
    </row>
    <row r="31" spans="1:30" x14ac:dyDescent="0.25">
      <c r="M31" s="10"/>
      <c r="O31" s="10"/>
      <c r="P31" s="10"/>
      <c r="Q31" s="10"/>
    </row>
    <row r="32" spans="1:30" x14ac:dyDescent="0.25">
      <c r="F32" s="201" t="s">
        <v>126</v>
      </c>
      <c r="G32" s="201">
        <v>1</v>
      </c>
      <c r="H32" s="201">
        <f>SUM(H27:H30)</f>
        <v>17</v>
      </c>
      <c r="I32" s="201"/>
      <c r="J32" s="201"/>
      <c r="K32" s="203"/>
      <c r="L32" s="203">
        <f>SUM(L30:L31)</f>
        <v>68</v>
      </c>
      <c r="M32" s="201"/>
      <c r="N32" s="201"/>
      <c r="O32" s="201"/>
      <c r="P32" s="201"/>
      <c r="Q32" s="201"/>
      <c r="R32" s="441"/>
      <c r="S32" s="441">
        <f>SUM(S30:S31)</f>
        <v>79.900000000000006</v>
      </c>
    </row>
    <row r="33" spans="1:18" x14ac:dyDescent="0.25">
      <c r="K33" s="67"/>
      <c r="P33" s="328"/>
    </row>
    <row r="34" spans="1:18" ht="15.75" thickBot="1" x14ac:dyDescent="0.3">
      <c r="G34" s="670" t="s">
        <v>189</v>
      </c>
      <c r="H34" s="670"/>
      <c r="I34" s="670"/>
      <c r="K34" s="67"/>
    </row>
    <row r="35" spans="1:18" ht="15.75" thickBot="1" x14ac:dyDescent="0.3">
      <c r="B35" t="s">
        <v>67</v>
      </c>
      <c r="G35" s="126" t="s">
        <v>79</v>
      </c>
      <c r="H35" s="127" t="s">
        <v>85</v>
      </c>
      <c r="I35" s="127" t="s">
        <v>86</v>
      </c>
      <c r="J35" s="127" t="s">
        <v>80</v>
      </c>
      <c r="K35" s="127" t="s">
        <v>82</v>
      </c>
      <c r="L35" s="128" t="s">
        <v>67</v>
      </c>
      <c r="M35" s="13"/>
      <c r="N35" s="13"/>
      <c r="O35" s="13"/>
      <c r="P35" s="193"/>
      <c r="Q35" s="193"/>
      <c r="R35" s="193"/>
    </row>
    <row r="36" spans="1:18" ht="15.75" thickBot="1" x14ac:dyDescent="0.3">
      <c r="A36" t="s">
        <v>83</v>
      </c>
      <c r="B36">
        <v>15</v>
      </c>
      <c r="G36" s="734" t="s">
        <v>126</v>
      </c>
      <c r="H36" s="735"/>
      <c r="I36" s="735"/>
      <c r="J36" s="735"/>
      <c r="K36" s="736"/>
      <c r="L36" s="588">
        <v>0</v>
      </c>
      <c r="M36" s="325"/>
      <c r="N36" s="194"/>
      <c r="O36" s="194"/>
      <c r="P36" s="194"/>
      <c r="Q36" s="194"/>
      <c r="R36" s="194"/>
    </row>
    <row r="37" spans="1:18" x14ac:dyDescent="0.25">
      <c r="A37" t="s">
        <v>84</v>
      </c>
      <c r="B37">
        <v>25</v>
      </c>
      <c r="G37" s="37"/>
      <c r="H37" s="37"/>
      <c r="I37" s="37"/>
      <c r="J37" s="37"/>
      <c r="K37" s="327"/>
      <c r="L37" s="37"/>
      <c r="M37" s="129"/>
      <c r="N37" s="189"/>
      <c r="O37" s="189"/>
      <c r="P37" s="187"/>
      <c r="Q37" s="187"/>
      <c r="R37" s="187"/>
    </row>
    <row r="38" spans="1:18" x14ac:dyDescent="0.25">
      <c r="M38" s="11"/>
      <c r="N38" s="196"/>
      <c r="O38" s="196"/>
      <c r="P38" s="192"/>
      <c r="Q38" s="192"/>
      <c r="R38" s="94"/>
    </row>
    <row r="39" spans="1:18" x14ac:dyDescent="0.25">
      <c r="K39" s="67"/>
    </row>
    <row r="40" spans="1:18" x14ac:dyDescent="0.25">
      <c r="K40" s="67"/>
    </row>
    <row r="41" spans="1:18" x14ac:dyDescent="0.25">
      <c r="G41" s="106" t="s">
        <v>190</v>
      </c>
    </row>
    <row r="42" spans="1:18" x14ac:dyDescent="0.25">
      <c r="H42" s="109" t="s">
        <v>1</v>
      </c>
      <c r="I42" s="109" t="s">
        <v>67</v>
      </c>
      <c r="K42" s="37"/>
      <c r="L42" s="421"/>
      <c r="M42" s="421"/>
    </row>
    <row r="43" spans="1:18" x14ac:dyDescent="0.25">
      <c r="A43" t="s">
        <v>60</v>
      </c>
      <c r="B43" t="s">
        <v>250</v>
      </c>
      <c r="G43" s="69" t="s">
        <v>66</v>
      </c>
      <c r="H43" s="69">
        <v>39</v>
      </c>
      <c r="I43" s="69">
        <f>+H43*1</f>
        <v>39</v>
      </c>
      <c r="K43" s="37"/>
      <c r="L43" s="37"/>
      <c r="M43" s="37"/>
    </row>
    <row r="44" spans="1:18" x14ac:dyDescent="0.25">
      <c r="A44" t="s">
        <v>55</v>
      </c>
      <c r="B44" t="s">
        <v>57</v>
      </c>
      <c r="G44" s="69" t="s">
        <v>68</v>
      </c>
      <c r="H44" s="69">
        <f>+H23</f>
        <v>40</v>
      </c>
      <c r="I44" s="69">
        <f>+H44*2</f>
        <v>80</v>
      </c>
      <c r="K44" s="37"/>
      <c r="L44" s="37"/>
      <c r="M44" s="37"/>
    </row>
    <row r="45" spans="1:18" x14ac:dyDescent="0.25">
      <c r="A45" t="s">
        <v>171</v>
      </c>
      <c r="B45">
        <v>10</v>
      </c>
      <c r="G45" s="69" t="s">
        <v>171</v>
      </c>
      <c r="H45" s="69" t="s">
        <v>124</v>
      </c>
      <c r="I45" s="69">
        <v>10</v>
      </c>
      <c r="K45" s="37"/>
      <c r="L45" s="37"/>
      <c r="M45" s="37"/>
    </row>
    <row r="46" spans="1:18" x14ac:dyDescent="0.25">
      <c r="A46" t="s">
        <v>172</v>
      </c>
      <c r="B46">
        <v>5</v>
      </c>
      <c r="G46" s="69" t="s">
        <v>172</v>
      </c>
      <c r="H46" s="69" t="s">
        <v>124</v>
      </c>
      <c r="I46" s="69">
        <v>5</v>
      </c>
      <c r="K46" s="37"/>
      <c r="L46" s="37"/>
      <c r="M46" s="37"/>
    </row>
    <row r="47" spans="1:18" x14ac:dyDescent="0.25">
      <c r="A47" t="s">
        <v>26</v>
      </c>
      <c r="B47" t="s">
        <v>61</v>
      </c>
      <c r="C47" t="s">
        <v>62</v>
      </c>
      <c r="D47" t="s">
        <v>63</v>
      </c>
      <c r="E47" s="13"/>
      <c r="F47" s="13"/>
      <c r="G47" s="102" t="s">
        <v>27</v>
      </c>
      <c r="H47" s="102"/>
      <c r="I47" s="204">
        <f>+I43+I44+I45+I46</f>
        <v>134</v>
      </c>
      <c r="J47" s="13"/>
      <c r="K47" s="13"/>
      <c r="L47" s="13"/>
      <c r="M47" s="240"/>
    </row>
    <row r="48" spans="1:18" x14ac:dyDescent="0.25">
      <c r="B48" s="66">
        <v>0.05</v>
      </c>
      <c r="C48" s="66">
        <v>0.1</v>
      </c>
      <c r="D48" s="66">
        <v>0.15</v>
      </c>
      <c r="E48" s="13"/>
      <c r="F48" s="13"/>
      <c r="G48" s="69"/>
      <c r="H48" s="108" t="s">
        <v>69</v>
      </c>
      <c r="I48" s="108"/>
      <c r="J48" s="13"/>
      <c r="K48" s="37"/>
      <c r="L48" s="221"/>
      <c r="M48" s="221"/>
    </row>
    <row r="49" spans="2:14" x14ac:dyDescent="0.25">
      <c r="B49" t="s">
        <v>64</v>
      </c>
      <c r="C49" t="s">
        <v>65</v>
      </c>
      <c r="E49" s="13"/>
      <c r="F49" s="13"/>
      <c r="G49" s="102" t="s">
        <v>26</v>
      </c>
      <c r="H49" s="103">
        <v>22</v>
      </c>
      <c r="I49" s="211">
        <f>+I47*0.15</f>
        <v>20.099999999999998</v>
      </c>
      <c r="J49" s="101"/>
      <c r="K49" s="13"/>
      <c r="L49" s="101"/>
      <c r="M49" s="422"/>
    </row>
    <row r="50" spans="2:14" x14ac:dyDescent="0.25">
      <c r="B50" s="66">
        <v>0.2</v>
      </c>
      <c r="C50" s="66">
        <v>0.25</v>
      </c>
      <c r="E50" s="13"/>
      <c r="F50" s="13"/>
      <c r="G50" s="103"/>
      <c r="H50" s="105"/>
      <c r="I50" s="200"/>
      <c r="J50" s="39"/>
      <c r="K50" s="101"/>
      <c r="L50" s="39"/>
      <c r="M50" s="423"/>
    </row>
    <row r="51" spans="2:14" x14ac:dyDescent="0.25">
      <c r="E51" s="201" t="s">
        <v>126</v>
      </c>
      <c r="F51" s="201"/>
      <c r="G51" s="201"/>
      <c r="H51" s="201"/>
      <c r="I51" s="210">
        <f>+I47+I49</f>
        <v>154.1</v>
      </c>
      <c r="J51" s="187"/>
      <c r="K51" s="221"/>
      <c r="L51" s="221"/>
      <c r="M51" s="424"/>
      <c r="N51" s="1"/>
    </row>
    <row r="52" spans="2:14" x14ac:dyDescent="0.25">
      <c r="J52" s="279"/>
      <c r="K52" s="91"/>
      <c r="L52" s="129"/>
    </row>
    <row r="53" spans="2:14" x14ac:dyDescent="0.25">
      <c r="E53" s="13"/>
      <c r="F53" s="13"/>
      <c r="G53" s="187"/>
      <c r="H53" s="187"/>
      <c r="I53" s="187"/>
      <c r="J53" s="187"/>
      <c r="K53" s="91"/>
      <c r="L53" s="129"/>
    </row>
    <row r="54" spans="2:14" x14ac:dyDescent="0.25">
      <c r="E54" s="13"/>
      <c r="F54" s="13"/>
      <c r="G54" s="562" t="s">
        <v>222</v>
      </c>
      <c r="H54" s="562"/>
      <c r="I54" s="562"/>
      <c r="J54" s="562"/>
      <c r="L54" s="129"/>
    </row>
    <row r="55" spans="2:14" ht="15.75" thickBot="1" x14ac:dyDescent="0.3">
      <c r="E55" s="13"/>
      <c r="F55" s="13"/>
      <c r="G55" s="562"/>
      <c r="H55" s="562"/>
      <c r="I55" s="562"/>
      <c r="J55" s="562"/>
      <c r="L55" s="13"/>
    </row>
    <row r="56" spans="2:14" ht="15.75" thickBot="1" x14ac:dyDescent="0.3">
      <c r="E56" s="13"/>
      <c r="F56" s="13"/>
      <c r="G56" s="75" t="s">
        <v>31</v>
      </c>
      <c r="H56" s="76" t="s">
        <v>30</v>
      </c>
      <c r="I56" s="76" t="s">
        <v>29</v>
      </c>
      <c r="J56" s="205" t="s">
        <v>33</v>
      </c>
      <c r="L56" s="13"/>
    </row>
    <row r="57" spans="2:14" x14ac:dyDescent="0.25">
      <c r="F57" s="13"/>
      <c r="G57" s="111" t="s">
        <v>338</v>
      </c>
      <c r="H57" s="112" t="s">
        <v>184</v>
      </c>
      <c r="I57" s="112">
        <v>100</v>
      </c>
      <c r="J57" s="206">
        <v>100</v>
      </c>
    </row>
    <row r="58" spans="2:14" x14ac:dyDescent="0.25">
      <c r="F58" s="13"/>
      <c r="G58" s="38"/>
      <c r="H58" s="39"/>
      <c r="I58" s="39"/>
      <c r="J58" s="92"/>
    </row>
  </sheetData>
  <mergeCells count="20">
    <mergeCell ref="G36:K36"/>
    <mergeCell ref="C18:D18"/>
    <mergeCell ref="G34:I34"/>
    <mergeCell ref="M18:M19"/>
    <mergeCell ref="N18:R18"/>
    <mergeCell ref="N28:R28"/>
    <mergeCell ref="G17:M17"/>
    <mergeCell ref="O17:Q17"/>
    <mergeCell ref="G1:K1"/>
    <mergeCell ref="G3:M3"/>
    <mergeCell ref="P6:R6"/>
    <mergeCell ref="N7:R7"/>
    <mergeCell ref="M7:M8"/>
    <mergeCell ref="G9:G10"/>
    <mergeCell ref="AD9:AD10"/>
    <mergeCell ref="AE9:AE10"/>
    <mergeCell ref="AB9:AB10"/>
    <mergeCell ref="S18:T18"/>
    <mergeCell ref="U18:U19"/>
    <mergeCell ref="AC9:AC10"/>
  </mergeCells>
  <pageMargins left="0.7" right="0.7" top="0.75" bottom="0.75" header="0.3" footer="0.3"/>
  <pageSetup paperSize="9" scale="31" fitToHeight="0" orientation="landscape" horizontalDpi="4294967293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2:V34"/>
  <sheetViews>
    <sheetView topLeftCell="C1" workbookViewId="0">
      <selection activeCell="T1" sqref="C1:T27"/>
    </sheetView>
  </sheetViews>
  <sheetFormatPr defaultRowHeight="15" x14ac:dyDescent="0.25"/>
  <cols>
    <col min="7" max="7" width="16.42578125" customWidth="1"/>
    <col min="12" max="12" width="11.42578125" customWidth="1"/>
  </cols>
  <sheetData>
    <row r="2" spans="1:22" x14ac:dyDescent="0.25">
      <c r="G2" s="671" t="s">
        <v>25</v>
      </c>
      <c r="H2" s="671"/>
      <c r="I2" s="671"/>
      <c r="J2" s="671"/>
      <c r="K2" s="671"/>
    </row>
    <row r="3" spans="1:22" x14ac:dyDescent="0.25">
      <c r="C3">
        <f>15*2.5</f>
        <v>37.5</v>
      </c>
      <c r="O3">
        <v>80</v>
      </c>
    </row>
    <row r="4" spans="1:22" x14ac:dyDescent="0.25">
      <c r="N4">
        <f>80-15</f>
        <v>65</v>
      </c>
      <c r="O4">
        <f>15*1</f>
        <v>15</v>
      </c>
    </row>
    <row r="5" spans="1:22" x14ac:dyDescent="0.25">
      <c r="G5" s="36" t="s">
        <v>324</v>
      </c>
    </row>
    <row r="6" spans="1:22" ht="15.75" thickBot="1" x14ac:dyDescent="0.3">
      <c r="N6" s="66">
        <v>0.6</v>
      </c>
      <c r="O6" s="66">
        <v>0.4</v>
      </c>
    </row>
    <row r="7" spans="1:22" ht="15.75" thickBot="1" x14ac:dyDescent="0.3">
      <c r="G7" s="3" t="s">
        <v>0</v>
      </c>
      <c r="H7" s="4" t="s">
        <v>1</v>
      </c>
      <c r="I7" s="5" t="s">
        <v>2</v>
      </c>
      <c r="J7" s="6" t="s">
        <v>3</v>
      </c>
      <c r="K7" s="7" t="s">
        <v>0</v>
      </c>
      <c r="L7" s="197" t="s">
        <v>37</v>
      </c>
      <c r="M7" s="675" t="s">
        <v>4</v>
      </c>
      <c r="N7" s="677" t="s">
        <v>5</v>
      </c>
      <c r="O7" s="678"/>
      <c r="P7" s="678"/>
      <c r="Q7" s="678"/>
      <c r="R7" s="679"/>
      <c r="S7" s="152" t="s">
        <v>11</v>
      </c>
    </row>
    <row r="8" spans="1:22" ht="45.75" thickBot="1" x14ac:dyDescent="0.3">
      <c r="E8" t="s">
        <v>129</v>
      </c>
      <c r="F8" s="523" t="s">
        <v>282</v>
      </c>
      <c r="G8" s="24"/>
      <c r="H8" s="25" t="s">
        <v>6</v>
      </c>
      <c r="I8" s="26" t="s">
        <v>7</v>
      </c>
      <c r="J8" s="27"/>
      <c r="K8" s="28" t="s">
        <v>8</v>
      </c>
      <c r="L8" s="198" t="s">
        <v>127</v>
      </c>
      <c r="M8" s="676"/>
      <c r="N8" s="64" t="s">
        <v>19</v>
      </c>
      <c r="O8" s="64" t="s">
        <v>20</v>
      </c>
      <c r="P8" s="34" t="s">
        <v>21</v>
      </c>
      <c r="Q8" s="50" t="s">
        <v>22</v>
      </c>
      <c r="R8" s="35" t="s">
        <v>10</v>
      </c>
      <c r="S8" s="153" t="s">
        <v>12</v>
      </c>
    </row>
    <row r="9" spans="1:22" ht="15.75" thickBot="1" x14ac:dyDescent="0.3">
      <c r="A9" t="s">
        <v>0</v>
      </c>
      <c r="B9" t="s">
        <v>2</v>
      </c>
      <c r="C9" s="74" t="s">
        <v>8</v>
      </c>
      <c r="E9">
        <v>85</v>
      </c>
      <c r="G9" s="317" t="s">
        <v>18</v>
      </c>
      <c r="H9" s="318">
        <v>37</v>
      </c>
      <c r="I9" s="53">
        <v>20</v>
      </c>
      <c r="J9" s="54">
        <f>+H9/I9</f>
        <v>1.85</v>
      </c>
      <c r="K9" s="55">
        <v>77</v>
      </c>
      <c r="L9" s="319">
        <f>+K9*J9</f>
        <v>142.45000000000002</v>
      </c>
      <c r="M9" s="56">
        <v>0</v>
      </c>
      <c r="N9" s="320">
        <f>+(K9*60)/100</f>
        <v>46.2</v>
      </c>
      <c r="O9" s="320">
        <f>+(K9*40)/100</f>
        <v>30.8</v>
      </c>
      <c r="P9" s="321">
        <f>+N9*0.25</f>
        <v>11.55</v>
      </c>
      <c r="Q9" s="322">
        <f>+O9*2.5</f>
        <v>77</v>
      </c>
      <c r="R9" s="219">
        <f>+P9+Q9</f>
        <v>88.55</v>
      </c>
      <c r="S9" s="323">
        <f>+R9+M9</f>
        <v>88.55</v>
      </c>
      <c r="V9">
        <v>0</v>
      </c>
    </row>
    <row r="10" spans="1:22" x14ac:dyDescent="0.25">
      <c r="A10" t="s">
        <v>54</v>
      </c>
      <c r="B10">
        <v>20</v>
      </c>
      <c r="C10">
        <v>80</v>
      </c>
    </row>
    <row r="11" spans="1:22" x14ac:dyDescent="0.25">
      <c r="F11" s="201" t="s">
        <v>126</v>
      </c>
      <c r="G11" s="201">
        <v>1</v>
      </c>
      <c r="H11" s="201">
        <f>SUM(H9)</f>
        <v>37</v>
      </c>
      <c r="I11" s="201"/>
      <c r="J11" s="201"/>
      <c r="K11" s="201">
        <f>SUM(K9:K10)</f>
        <v>77</v>
      </c>
      <c r="L11" s="201">
        <f>SUM(L9)</f>
        <v>142.45000000000002</v>
      </c>
      <c r="M11" s="201"/>
      <c r="N11" s="201"/>
      <c r="O11" s="201"/>
      <c r="P11" s="201"/>
      <c r="Q11" s="201"/>
      <c r="R11" s="201"/>
      <c r="S11" s="441">
        <f>SUM(S9)</f>
        <v>88.55</v>
      </c>
    </row>
    <row r="12" spans="1:22" x14ac:dyDescent="0.25">
      <c r="K12" s="67"/>
    </row>
    <row r="13" spans="1:22" x14ac:dyDescent="0.25">
      <c r="K13" s="67"/>
    </row>
    <row r="14" spans="1:22" x14ac:dyDescent="0.25">
      <c r="K14" s="67"/>
    </row>
    <row r="15" spans="1:22" x14ac:dyDescent="0.25">
      <c r="K15" s="67"/>
      <c r="T15" s="67"/>
    </row>
    <row r="16" spans="1:22" x14ac:dyDescent="0.25">
      <c r="G16" s="106" t="s">
        <v>323</v>
      </c>
      <c r="K16" s="13"/>
      <c r="L16" s="13"/>
      <c r="M16" s="13"/>
      <c r="N16" s="13"/>
      <c r="O16" s="13"/>
    </row>
    <row r="17" spans="1:15" x14ac:dyDescent="0.25">
      <c r="H17" s="109" t="s">
        <v>1</v>
      </c>
      <c r="I17" s="109" t="s">
        <v>67</v>
      </c>
      <c r="K17" s="13"/>
      <c r="L17" s="13"/>
      <c r="M17" s="221"/>
      <c r="N17" s="221"/>
      <c r="O17" s="13"/>
    </row>
    <row r="18" spans="1:15" x14ac:dyDescent="0.25">
      <c r="A18" t="s">
        <v>60</v>
      </c>
      <c r="B18" t="s">
        <v>250</v>
      </c>
      <c r="G18" s="69" t="s">
        <v>66</v>
      </c>
      <c r="H18" s="69">
        <v>37</v>
      </c>
      <c r="I18" s="69">
        <f>+H18*1</f>
        <v>37</v>
      </c>
      <c r="K18" s="13"/>
      <c r="L18" s="13"/>
      <c r="M18" s="13"/>
      <c r="N18" s="13"/>
      <c r="O18" s="13"/>
    </row>
    <row r="19" spans="1:15" x14ac:dyDescent="0.25">
      <c r="A19" t="s">
        <v>55</v>
      </c>
      <c r="B19" t="s">
        <v>57</v>
      </c>
      <c r="G19" s="69" t="s">
        <v>68</v>
      </c>
      <c r="H19" s="69">
        <v>0</v>
      </c>
      <c r="I19" s="69">
        <f>+H19*2</f>
        <v>0</v>
      </c>
      <c r="K19" s="13"/>
      <c r="L19" s="13"/>
      <c r="M19" s="13"/>
      <c r="N19" s="13"/>
      <c r="O19" s="13"/>
    </row>
    <row r="20" spans="1:15" x14ac:dyDescent="0.25">
      <c r="A20" t="s">
        <v>171</v>
      </c>
      <c r="B20">
        <v>10</v>
      </c>
      <c r="G20" s="69" t="s">
        <v>171</v>
      </c>
      <c r="H20" s="69" t="s">
        <v>187</v>
      </c>
      <c r="I20" s="69">
        <v>0</v>
      </c>
      <c r="K20" s="13"/>
      <c r="L20" s="13"/>
      <c r="M20" s="13"/>
      <c r="N20" s="13"/>
      <c r="O20" s="13"/>
    </row>
    <row r="21" spans="1:15" x14ac:dyDescent="0.25">
      <c r="A21" t="s">
        <v>172</v>
      </c>
      <c r="B21">
        <v>5</v>
      </c>
      <c r="G21" s="69" t="s">
        <v>172</v>
      </c>
      <c r="H21" s="69"/>
      <c r="I21" s="69">
        <v>5</v>
      </c>
      <c r="K21" s="13"/>
      <c r="L21" s="13"/>
      <c r="M21" s="13"/>
      <c r="N21" s="13"/>
      <c r="O21" s="13"/>
    </row>
    <row r="22" spans="1:15" x14ac:dyDescent="0.25">
      <c r="A22" t="s">
        <v>26</v>
      </c>
      <c r="B22" t="s">
        <v>61</v>
      </c>
      <c r="C22" t="s">
        <v>62</v>
      </c>
      <c r="D22" t="s">
        <v>63</v>
      </c>
      <c r="E22" s="13"/>
      <c r="F22" s="13"/>
      <c r="G22" s="102" t="s">
        <v>27</v>
      </c>
      <c r="H22" s="102"/>
      <c r="I22" s="204">
        <f>+I18+I19+I20+I21</f>
        <v>42</v>
      </c>
      <c r="J22" s="13"/>
      <c r="K22" s="13"/>
      <c r="L22" s="13"/>
      <c r="M22" s="13"/>
      <c r="N22" s="240"/>
      <c r="O22" s="13"/>
    </row>
    <row r="23" spans="1:15" x14ac:dyDescent="0.25">
      <c r="B23" s="66">
        <v>0.05</v>
      </c>
      <c r="C23" s="66">
        <v>0.1</v>
      </c>
      <c r="D23" s="66">
        <v>0.15</v>
      </c>
      <c r="E23" s="13"/>
      <c r="F23" s="13"/>
      <c r="G23" s="69"/>
      <c r="H23" s="108" t="s">
        <v>69</v>
      </c>
      <c r="I23" s="108"/>
      <c r="J23" s="13"/>
      <c r="K23" s="13"/>
      <c r="L23" s="13"/>
      <c r="M23" s="221"/>
      <c r="N23" s="221"/>
      <c r="O23" s="13"/>
    </row>
    <row r="24" spans="1:15" x14ac:dyDescent="0.25">
      <c r="B24" t="s">
        <v>64</v>
      </c>
      <c r="C24" t="s">
        <v>65</v>
      </c>
      <c r="E24" s="13"/>
      <c r="F24" s="13"/>
      <c r="G24" s="102" t="s">
        <v>26</v>
      </c>
      <c r="H24" s="103">
        <v>11</v>
      </c>
      <c r="I24" s="211">
        <f>+I22*0.1</f>
        <v>4.2</v>
      </c>
      <c r="J24" s="101"/>
      <c r="K24" s="101"/>
      <c r="L24" s="13"/>
      <c r="M24" s="101"/>
      <c r="N24" s="422"/>
      <c r="O24" s="13"/>
    </row>
    <row r="25" spans="1:15" x14ac:dyDescent="0.25">
      <c r="B25" s="66">
        <v>0.2</v>
      </c>
      <c r="C25" s="66">
        <v>0.25</v>
      </c>
      <c r="E25" s="13"/>
      <c r="F25" s="13"/>
      <c r="G25" s="103"/>
      <c r="H25" s="105"/>
      <c r="I25" s="200"/>
      <c r="J25" s="39"/>
      <c r="K25" s="39"/>
      <c r="L25" s="101"/>
      <c r="M25" s="39"/>
      <c r="N25" s="423"/>
      <c r="O25" s="13"/>
    </row>
    <row r="26" spans="1:15" x14ac:dyDescent="0.25">
      <c r="F26" s="201" t="s">
        <v>126</v>
      </c>
      <c r="G26" s="201"/>
      <c r="H26" s="201"/>
      <c r="I26" s="210">
        <f>+I22+I24</f>
        <v>46.2</v>
      </c>
      <c r="J26" s="187"/>
      <c r="K26" s="91"/>
      <c r="L26" s="221"/>
      <c r="M26" s="221"/>
      <c r="N26" s="424"/>
      <c r="O26" s="13"/>
    </row>
    <row r="27" spans="1:15" x14ac:dyDescent="0.25">
      <c r="E27" s="399"/>
      <c r="F27" s="399"/>
      <c r="G27" s="399"/>
      <c r="H27" s="399"/>
      <c r="I27" s="424"/>
      <c r="J27" s="187"/>
      <c r="K27" s="91"/>
      <c r="L27" s="129"/>
    </row>
    <row r="28" spans="1:15" x14ac:dyDescent="0.25">
      <c r="E28" s="13"/>
      <c r="F28" s="13"/>
      <c r="G28" s="187"/>
      <c r="H28" s="187"/>
      <c r="I28" s="187"/>
      <c r="J28" s="187"/>
      <c r="K28" s="91"/>
      <c r="L28" s="129"/>
    </row>
    <row r="29" spans="1:15" x14ac:dyDescent="0.25">
      <c r="E29" s="13"/>
      <c r="F29" s="13"/>
      <c r="G29" s="187"/>
      <c r="H29" s="187"/>
      <c r="I29" s="187"/>
      <c r="J29" s="187"/>
      <c r="K29" s="91"/>
      <c r="L29" s="129"/>
    </row>
    <row r="30" spans="1:15" x14ac:dyDescent="0.25">
      <c r="E30" s="13"/>
      <c r="F30" s="13"/>
      <c r="G30" s="13"/>
      <c r="H30" s="13"/>
      <c r="I30" s="13"/>
      <c r="J30" s="13"/>
      <c r="K30" s="13"/>
      <c r="L30" s="13"/>
    </row>
    <row r="31" spans="1:15" x14ac:dyDescent="0.25">
      <c r="E31" s="13"/>
      <c r="F31" s="13"/>
      <c r="G31" s="333"/>
      <c r="H31" s="333"/>
      <c r="I31" s="333"/>
      <c r="J31" s="333"/>
      <c r="K31" s="37"/>
      <c r="L31" s="13"/>
    </row>
    <row r="32" spans="1:15" x14ac:dyDescent="0.25">
      <c r="E32" s="13"/>
      <c r="F32" s="13"/>
      <c r="G32" s="333"/>
      <c r="H32" s="333"/>
      <c r="I32" s="333"/>
      <c r="J32" s="333"/>
      <c r="K32" s="37"/>
    </row>
    <row r="33" spans="5:11" x14ac:dyDescent="0.25">
      <c r="E33" s="13"/>
      <c r="F33" s="13"/>
      <c r="G33" s="37"/>
      <c r="H33" s="37"/>
      <c r="I33" s="37"/>
      <c r="J33" s="334"/>
      <c r="K33" s="37"/>
    </row>
    <row r="34" spans="5:11" x14ac:dyDescent="0.25">
      <c r="E34" s="13"/>
      <c r="F34" s="13"/>
      <c r="G34" s="38"/>
      <c r="H34" s="39"/>
      <c r="I34" s="39"/>
      <c r="J34" s="339"/>
      <c r="K34" s="37"/>
    </row>
  </sheetData>
  <mergeCells count="3">
    <mergeCell ref="M7:M8"/>
    <mergeCell ref="N7:R7"/>
    <mergeCell ref="G2:K2"/>
  </mergeCells>
  <pageMargins left="0.7" right="0.7" top="0.75" bottom="0.75" header="0.3" footer="0.3"/>
  <pageSetup paperSize="9" scale="75" fitToHeight="0" orientation="landscape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X16"/>
  <sheetViews>
    <sheetView topLeftCell="N1" workbookViewId="0">
      <selection activeCell="X1" sqref="C1:X17"/>
    </sheetView>
  </sheetViews>
  <sheetFormatPr defaultRowHeight="15" x14ac:dyDescent="0.25"/>
  <cols>
    <col min="2" max="2" width="14.28515625" customWidth="1"/>
    <col min="3" max="3" width="28.28515625" bestFit="1" customWidth="1"/>
    <col min="6" max="6" width="21.140625" bestFit="1" customWidth="1"/>
    <col min="7" max="7" width="11.140625" bestFit="1" customWidth="1"/>
    <col min="8" max="8" width="11.140625" customWidth="1"/>
    <col min="9" max="9" width="43.85546875" bestFit="1" customWidth="1"/>
  </cols>
  <sheetData>
    <row r="1" spans="1:24" x14ac:dyDescent="0.25">
      <c r="A1" s="13"/>
      <c r="B1" s="176"/>
      <c r="C1" s="13"/>
      <c r="D1" s="13"/>
      <c r="E1" s="62"/>
      <c r="F1" s="13"/>
      <c r="G1" s="13"/>
      <c r="H1" s="13"/>
      <c r="I1" s="13"/>
      <c r="J1" s="13"/>
      <c r="K1" s="13"/>
    </row>
    <row r="2" spans="1:24" x14ac:dyDescent="0.25">
      <c r="A2" s="13"/>
      <c r="B2" s="13"/>
      <c r="I2" s="670" t="s">
        <v>151</v>
      </c>
      <c r="J2" s="670"/>
      <c r="K2" s="670"/>
      <c r="L2" s="670"/>
    </row>
    <row r="3" spans="1:24" x14ac:dyDescent="0.25">
      <c r="A3" s="13"/>
      <c r="B3" s="13"/>
    </row>
    <row r="4" spans="1:24" x14ac:dyDescent="0.25">
      <c r="A4" s="13"/>
      <c r="B4" s="107"/>
      <c r="I4" s="249" t="s">
        <v>185</v>
      </c>
      <c r="J4" s="249"/>
      <c r="K4" s="249"/>
      <c r="L4" s="249"/>
      <c r="M4" s="249"/>
      <c r="N4" s="249"/>
      <c r="O4" s="249"/>
    </row>
    <row r="5" spans="1:24" ht="15.75" thickBot="1" x14ac:dyDescent="0.3">
      <c r="A5" s="13"/>
      <c r="B5" s="107"/>
      <c r="I5" s="239" t="s">
        <v>133</v>
      </c>
      <c r="J5" s="2"/>
      <c r="K5" s="2"/>
      <c r="L5" s="2"/>
      <c r="M5" s="2"/>
    </row>
    <row r="6" spans="1:24" ht="15.75" thickBot="1" x14ac:dyDescent="0.3">
      <c r="A6" s="13"/>
      <c r="B6" s="38"/>
      <c r="D6" t="s">
        <v>2</v>
      </c>
      <c r="E6" t="s">
        <v>8</v>
      </c>
      <c r="F6" t="s">
        <v>128</v>
      </c>
      <c r="I6" s="47" t="s">
        <v>0</v>
      </c>
      <c r="J6" s="18" t="s">
        <v>1</v>
      </c>
      <c r="K6" s="6" t="s">
        <v>2</v>
      </c>
      <c r="L6" s="70" t="s">
        <v>3</v>
      </c>
      <c r="M6" s="246" t="s">
        <v>0</v>
      </c>
      <c r="N6" s="197" t="s">
        <v>37</v>
      </c>
      <c r="O6" s="247" t="s">
        <v>4</v>
      </c>
      <c r="P6" s="21" t="s">
        <v>23</v>
      </c>
      <c r="Q6" s="152" t="s">
        <v>11</v>
      </c>
      <c r="X6" t="s">
        <v>167</v>
      </c>
    </row>
    <row r="7" spans="1:24" ht="30.75" thickBot="1" x14ac:dyDescent="0.3">
      <c r="C7" t="s">
        <v>115</v>
      </c>
      <c r="D7">
        <v>10</v>
      </c>
      <c r="E7">
        <v>7.5</v>
      </c>
      <c r="F7">
        <v>0.1</v>
      </c>
      <c r="G7" t="s">
        <v>129</v>
      </c>
      <c r="H7" s="523" t="s">
        <v>282</v>
      </c>
      <c r="I7" s="48"/>
      <c r="J7" s="33" t="s">
        <v>6</v>
      </c>
      <c r="K7" s="27" t="s">
        <v>7</v>
      </c>
      <c r="L7" s="71" t="s">
        <v>13</v>
      </c>
      <c r="M7" s="27" t="s">
        <v>8</v>
      </c>
      <c r="N7" s="198" t="s">
        <v>127</v>
      </c>
      <c r="O7" s="248"/>
      <c r="P7" s="199" t="s">
        <v>24</v>
      </c>
      <c r="Q7" s="153" t="s">
        <v>12</v>
      </c>
    </row>
    <row r="8" spans="1:24" ht="15.75" thickBot="1" x14ac:dyDescent="0.3">
      <c r="C8" t="s">
        <v>116</v>
      </c>
      <c r="D8">
        <v>15</v>
      </c>
      <c r="E8">
        <v>10</v>
      </c>
      <c r="F8">
        <v>0.1</v>
      </c>
      <c r="G8">
        <v>42</v>
      </c>
      <c r="I8" s="20" t="s">
        <v>147</v>
      </c>
      <c r="J8" s="20">
        <v>17</v>
      </c>
      <c r="K8" s="20">
        <v>15</v>
      </c>
      <c r="L8" s="49">
        <f>+J8/K8</f>
        <v>1.1333333333333333</v>
      </c>
      <c r="M8" s="254">
        <v>10</v>
      </c>
      <c r="N8" s="222">
        <f>+M8*L8</f>
        <v>11.333333333333332</v>
      </c>
      <c r="O8" s="212">
        <f>+N8*1.2</f>
        <v>13.599999999999998</v>
      </c>
      <c r="P8" s="20">
        <f>+J8*0.1</f>
        <v>1.7000000000000002</v>
      </c>
      <c r="Q8" s="256">
        <f>+P8+O8</f>
        <v>15.299999999999997</v>
      </c>
      <c r="S8" s="89">
        <v>25</v>
      </c>
      <c r="T8" t="s">
        <v>145</v>
      </c>
      <c r="U8" t="s">
        <v>321</v>
      </c>
      <c r="V8" t="s">
        <v>322</v>
      </c>
      <c r="X8">
        <v>20</v>
      </c>
    </row>
    <row r="9" spans="1:24" x14ac:dyDescent="0.25">
      <c r="C9" t="s">
        <v>117</v>
      </c>
      <c r="D9">
        <v>15</v>
      </c>
      <c r="E9">
        <v>48</v>
      </c>
    </row>
    <row r="10" spans="1:24" x14ac:dyDescent="0.25">
      <c r="C10" t="s">
        <v>118</v>
      </c>
      <c r="D10">
        <v>20</v>
      </c>
      <c r="E10" t="s">
        <v>119</v>
      </c>
      <c r="G10" s="201" t="s">
        <v>126</v>
      </c>
      <c r="H10" s="201"/>
      <c r="I10" s="201">
        <v>1</v>
      </c>
      <c r="J10" s="201"/>
      <c r="K10" s="202"/>
      <c r="L10" s="201"/>
      <c r="M10" s="201">
        <f ca="1">SUM(M8:M10)</f>
        <v>10</v>
      </c>
      <c r="N10" s="203">
        <f>+N8</f>
        <v>11.333333333333332</v>
      </c>
      <c r="O10" s="201"/>
      <c r="P10" s="201"/>
      <c r="Q10" s="441">
        <f>+Q8</f>
        <v>15.299999999999997</v>
      </c>
    </row>
    <row r="13" spans="1:24" ht="15.75" thickBot="1" x14ac:dyDescent="0.3">
      <c r="C13" s="671" t="s">
        <v>38</v>
      </c>
      <c r="D13" s="671"/>
      <c r="E13" s="671"/>
      <c r="I13" t="s">
        <v>135</v>
      </c>
    </row>
    <row r="14" spans="1:24" x14ac:dyDescent="0.25">
      <c r="D14" t="s">
        <v>67</v>
      </c>
      <c r="I14" s="690" t="s">
        <v>0</v>
      </c>
      <c r="J14" s="694" t="s">
        <v>97</v>
      </c>
      <c r="K14" s="695"/>
      <c r="L14" s="695"/>
      <c r="M14" s="696"/>
      <c r="N14" s="692" t="s">
        <v>99</v>
      </c>
    </row>
    <row r="15" spans="1:24" ht="15.75" thickBot="1" x14ac:dyDescent="0.3">
      <c r="C15" t="s">
        <v>96</v>
      </c>
      <c r="D15">
        <v>5</v>
      </c>
      <c r="I15" s="691"/>
      <c r="J15" s="130" t="s">
        <v>98</v>
      </c>
      <c r="K15" s="130" t="s">
        <v>67</v>
      </c>
      <c r="L15" s="130" t="s">
        <v>36</v>
      </c>
      <c r="M15" s="130" t="s">
        <v>67</v>
      </c>
      <c r="N15" s="693"/>
    </row>
    <row r="16" spans="1:24" ht="15.75" thickBot="1" x14ac:dyDescent="0.3">
      <c r="C16" t="s">
        <v>36</v>
      </c>
      <c r="D16">
        <v>8</v>
      </c>
      <c r="I16" s="236" t="s">
        <v>149</v>
      </c>
      <c r="J16" s="75">
        <v>6</v>
      </c>
      <c r="K16" s="297">
        <f>+J16*D15</f>
        <v>30</v>
      </c>
      <c r="L16" s="76">
        <v>0</v>
      </c>
      <c r="M16" s="127">
        <f>+L16*D16</f>
        <v>0</v>
      </c>
      <c r="N16" s="205">
        <f>+M16+K16</f>
        <v>30</v>
      </c>
    </row>
  </sheetData>
  <mergeCells count="5">
    <mergeCell ref="N14:N15"/>
    <mergeCell ref="I2:L2"/>
    <mergeCell ref="C13:E13"/>
    <mergeCell ref="I14:I15"/>
    <mergeCell ref="J14:M14"/>
  </mergeCells>
  <pageMargins left="0.7" right="0.7" top="0.75" bottom="0.75" header="0.3" footer="0.3"/>
  <pageSetup paperSize="9" scale="48" fitToHeight="0" orientation="landscape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4:U34"/>
  <sheetViews>
    <sheetView topLeftCell="K1" workbookViewId="0">
      <selection activeCell="U1" sqref="A1:U26"/>
    </sheetView>
  </sheetViews>
  <sheetFormatPr defaultRowHeight="15" x14ac:dyDescent="0.25"/>
  <cols>
    <col min="7" max="7" width="20.7109375" customWidth="1"/>
  </cols>
  <sheetData>
    <row r="4" spans="1:21" x14ac:dyDescent="0.25">
      <c r="A4" s="36" t="s">
        <v>249</v>
      </c>
    </row>
    <row r="6" spans="1:21" x14ac:dyDescent="0.25">
      <c r="G6" s="36" t="s">
        <v>186</v>
      </c>
    </row>
    <row r="7" spans="1:21" ht="15.75" thickBot="1" x14ac:dyDescent="0.3">
      <c r="N7" s="66">
        <v>0.6</v>
      </c>
      <c r="O7" s="66">
        <v>0.4</v>
      </c>
    </row>
    <row r="8" spans="1:21" ht="15.75" thickBot="1" x14ac:dyDescent="0.3">
      <c r="G8" s="3" t="s">
        <v>0</v>
      </c>
      <c r="H8" s="4" t="s">
        <v>1</v>
      </c>
      <c r="I8" s="5" t="s">
        <v>2</v>
      </c>
      <c r="J8" s="6" t="s">
        <v>3</v>
      </c>
      <c r="K8" s="7" t="s">
        <v>0</v>
      </c>
      <c r="L8" s="197" t="s">
        <v>37</v>
      </c>
      <c r="M8" s="675" t="s">
        <v>4</v>
      </c>
      <c r="N8" s="677" t="s">
        <v>5</v>
      </c>
      <c r="O8" s="678"/>
      <c r="P8" s="678"/>
      <c r="Q8" s="678"/>
      <c r="R8" s="679"/>
      <c r="S8" s="152" t="s">
        <v>11</v>
      </c>
    </row>
    <row r="9" spans="1:21" ht="45.75" thickBot="1" x14ac:dyDescent="0.3">
      <c r="E9" t="s">
        <v>129</v>
      </c>
      <c r="F9" s="523" t="s">
        <v>282</v>
      </c>
      <c r="G9" s="24"/>
      <c r="H9" s="25" t="s">
        <v>6</v>
      </c>
      <c r="I9" s="26" t="s">
        <v>7</v>
      </c>
      <c r="J9" s="27"/>
      <c r="K9" s="28" t="s">
        <v>8</v>
      </c>
      <c r="L9" s="198" t="s">
        <v>127</v>
      </c>
      <c r="M9" s="676"/>
      <c r="N9" s="64" t="s">
        <v>19</v>
      </c>
      <c r="O9" s="64" t="s">
        <v>20</v>
      </c>
      <c r="P9" s="34" t="s">
        <v>21</v>
      </c>
      <c r="Q9" s="50" t="s">
        <v>22</v>
      </c>
      <c r="R9" s="35" t="s">
        <v>10</v>
      </c>
      <c r="S9" s="153" t="s">
        <v>12</v>
      </c>
    </row>
    <row r="10" spans="1:21" ht="15.75" thickBot="1" x14ac:dyDescent="0.3">
      <c r="A10" t="s">
        <v>0</v>
      </c>
      <c r="B10" t="s">
        <v>2</v>
      </c>
      <c r="C10" s="74" t="s">
        <v>8</v>
      </c>
      <c r="E10">
        <v>98</v>
      </c>
      <c r="F10">
        <v>70</v>
      </c>
      <c r="G10" s="317" t="s">
        <v>251</v>
      </c>
      <c r="H10" s="318">
        <v>16</v>
      </c>
      <c r="I10" s="53">
        <v>20</v>
      </c>
      <c r="J10" s="54">
        <f>+H10/I10</f>
        <v>0.8</v>
      </c>
      <c r="K10" s="55">
        <v>70</v>
      </c>
      <c r="L10" s="319">
        <f>+K10*J10</f>
        <v>56</v>
      </c>
      <c r="M10" s="56">
        <v>0</v>
      </c>
      <c r="N10" s="320">
        <f>+(L10*60)/100</f>
        <v>33.6</v>
      </c>
      <c r="O10" s="320">
        <f>+(L10*40)/100</f>
        <v>22.4</v>
      </c>
      <c r="P10" s="321">
        <f>+N10*0.25</f>
        <v>8.4</v>
      </c>
      <c r="Q10" s="322">
        <f>+O10*2.5</f>
        <v>56</v>
      </c>
      <c r="R10" s="219">
        <f>+P10+Q10</f>
        <v>64.400000000000006</v>
      </c>
      <c r="S10" s="323">
        <f>+R10+M10</f>
        <v>64.400000000000006</v>
      </c>
      <c r="U10" s="89">
        <v>20</v>
      </c>
    </row>
    <row r="11" spans="1:21" x14ac:dyDescent="0.25">
      <c r="A11" t="s">
        <v>54</v>
      </c>
      <c r="B11">
        <v>20</v>
      </c>
      <c r="C11">
        <v>80</v>
      </c>
    </row>
    <row r="12" spans="1:21" x14ac:dyDescent="0.25">
      <c r="F12" s="201" t="s">
        <v>126</v>
      </c>
      <c r="G12" s="201">
        <v>1</v>
      </c>
      <c r="H12" s="201">
        <f>SUM(H10)</f>
        <v>16</v>
      </c>
      <c r="I12" s="201"/>
      <c r="J12" s="201"/>
      <c r="K12" s="201">
        <f>SUM(K10:K11)</f>
        <v>70</v>
      </c>
      <c r="L12" s="201">
        <f>SUM(L10)</f>
        <v>56</v>
      </c>
      <c r="M12" s="201"/>
      <c r="N12" s="201"/>
      <c r="O12" s="201"/>
      <c r="P12" s="201"/>
      <c r="Q12" s="201"/>
      <c r="R12" s="201"/>
      <c r="S12" s="441">
        <f>SUM(S10)</f>
        <v>64.400000000000006</v>
      </c>
    </row>
    <row r="13" spans="1:21" x14ac:dyDescent="0.25">
      <c r="K13" s="67"/>
    </row>
    <row r="15" spans="1:21" x14ac:dyDescent="0.25">
      <c r="G15" s="106" t="s">
        <v>190</v>
      </c>
    </row>
    <row r="16" spans="1:21" x14ac:dyDescent="0.25">
      <c r="H16" s="109" t="s">
        <v>1</v>
      </c>
      <c r="I16" s="109" t="s">
        <v>67</v>
      </c>
    </row>
    <row r="17" spans="1:11" x14ac:dyDescent="0.25">
      <c r="A17" t="s">
        <v>60</v>
      </c>
      <c r="B17" t="s">
        <v>250</v>
      </c>
      <c r="G17" s="69" t="s">
        <v>66</v>
      </c>
      <c r="H17" s="69">
        <v>16</v>
      </c>
      <c r="I17" s="69">
        <f>+H17*1</f>
        <v>16</v>
      </c>
    </row>
    <row r="18" spans="1:11" x14ac:dyDescent="0.25">
      <c r="A18" t="s">
        <v>55</v>
      </c>
      <c r="B18" t="s">
        <v>57</v>
      </c>
      <c r="G18" s="69" t="s">
        <v>68</v>
      </c>
      <c r="H18" s="69">
        <v>0</v>
      </c>
      <c r="I18" s="69">
        <f>+H18*2</f>
        <v>0</v>
      </c>
    </row>
    <row r="19" spans="1:11" x14ac:dyDescent="0.25">
      <c r="A19" t="s">
        <v>171</v>
      </c>
      <c r="B19">
        <v>10</v>
      </c>
      <c r="G19" s="69" t="s">
        <v>171</v>
      </c>
      <c r="H19" s="69" t="s">
        <v>187</v>
      </c>
      <c r="I19" s="69">
        <v>0</v>
      </c>
    </row>
    <row r="20" spans="1:11" x14ac:dyDescent="0.25">
      <c r="A20" t="s">
        <v>172</v>
      </c>
      <c r="B20">
        <v>5</v>
      </c>
      <c r="G20" s="69" t="s">
        <v>172</v>
      </c>
      <c r="H20" s="69" t="s">
        <v>187</v>
      </c>
      <c r="I20" s="69">
        <v>0</v>
      </c>
    </row>
    <row r="21" spans="1:11" x14ac:dyDescent="0.25">
      <c r="A21" t="s">
        <v>26</v>
      </c>
      <c r="B21" t="s">
        <v>61</v>
      </c>
      <c r="C21" t="s">
        <v>62</v>
      </c>
      <c r="D21" t="s">
        <v>63</v>
      </c>
      <c r="E21" s="13"/>
      <c r="F21" s="13"/>
      <c r="G21" s="102" t="s">
        <v>27</v>
      </c>
      <c r="H21" s="102"/>
      <c r="I21" s="204">
        <f>+I17+I18+I19+I20</f>
        <v>16</v>
      </c>
      <c r="J21" s="13"/>
    </row>
    <row r="22" spans="1:11" x14ac:dyDescent="0.25">
      <c r="B22" s="66">
        <v>0.05</v>
      </c>
      <c r="C22" s="66">
        <v>0.1</v>
      </c>
      <c r="D22" s="66">
        <v>0.15</v>
      </c>
      <c r="E22" s="13"/>
      <c r="F22" s="13"/>
      <c r="G22" s="69"/>
      <c r="H22" s="108" t="s">
        <v>69</v>
      </c>
      <c r="I22" s="108"/>
      <c r="J22" s="13"/>
    </row>
    <row r="23" spans="1:11" x14ac:dyDescent="0.25">
      <c r="B23" t="s">
        <v>64</v>
      </c>
      <c r="C23" t="s">
        <v>65</v>
      </c>
      <c r="E23" s="13"/>
      <c r="F23" s="13"/>
      <c r="G23" s="102" t="s">
        <v>26</v>
      </c>
      <c r="H23" s="103">
        <v>10</v>
      </c>
      <c r="I23" s="211">
        <f>+I21*0.05</f>
        <v>0.8</v>
      </c>
      <c r="J23" s="101"/>
      <c r="K23">
        <v>2010</v>
      </c>
    </row>
    <row r="24" spans="1:11" x14ac:dyDescent="0.25">
      <c r="B24" s="66">
        <v>0.2</v>
      </c>
      <c r="C24" s="66">
        <v>0.25</v>
      </c>
      <c r="E24" s="13"/>
      <c r="F24" s="13"/>
      <c r="G24" s="103"/>
      <c r="H24" s="105"/>
      <c r="I24" s="200"/>
      <c r="J24" s="39"/>
    </row>
    <row r="25" spans="1:11" x14ac:dyDescent="0.25">
      <c r="F25" s="201" t="s">
        <v>126</v>
      </c>
      <c r="G25" s="201"/>
      <c r="H25" s="201"/>
      <c r="I25" s="210">
        <f>+I21+I23</f>
        <v>16.8</v>
      </c>
      <c r="J25" s="425"/>
    </row>
    <row r="26" spans="1:11" x14ac:dyDescent="0.25">
      <c r="E26" s="399"/>
      <c r="F26" s="399"/>
      <c r="G26" s="399"/>
      <c r="H26" s="399"/>
      <c r="I26" s="424"/>
      <c r="J26" s="425"/>
    </row>
    <row r="34" spans="8:8" x14ac:dyDescent="0.25">
      <c r="H34">
        <v>0.75</v>
      </c>
    </row>
  </sheetData>
  <mergeCells count="2">
    <mergeCell ref="M8:M9"/>
    <mergeCell ref="N8:R8"/>
  </mergeCells>
  <pageMargins left="0.7" right="0.7" top="0.75" bottom="0.75" header="0.3" footer="0.3"/>
  <pageSetup paperSize="9" scale="64" fitToHeight="0" orientation="landscape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J69"/>
  <sheetViews>
    <sheetView tabSelected="1" topLeftCell="A53" zoomScale="89" zoomScaleNormal="89" workbookViewId="0">
      <selection activeCell="T65" sqref="A1:T65"/>
    </sheetView>
  </sheetViews>
  <sheetFormatPr defaultRowHeight="15" x14ac:dyDescent="0.25"/>
  <cols>
    <col min="2" max="2" width="14.140625" customWidth="1"/>
    <col min="3" max="3" width="14.28515625" customWidth="1"/>
    <col min="7" max="7" width="13.28515625" customWidth="1"/>
    <col min="8" max="8" width="11.7109375" customWidth="1"/>
    <col min="9" max="9" width="12.140625" customWidth="1"/>
    <col min="10" max="10" width="11.7109375" customWidth="1"/>
    <col min="11" max="11" width="11" customWidth="1"/>
    <col min="16" max="16" width="11.7109375" customWidth="1"/>
    <col min="18" max="18" width="11.28515625" customWidth="1"/>
    <col min="21" max="21" width="14" customWidth="1"/>
    <col min="27" max="27" width="11.42578125" customWidth="1"/>
    <col min="33" max="33" width="11.7109375" customWidth="1"/>
  </cols>
  <sheetData>
    <row r="1" spans="2:36" x14ac:dyDescent="0.25"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</row>
    <row r="2" spans="2:36" ht="15.75" x14ac:dyDescent="0.25">
      <c r="B2" s="749" t="s">
        <v>234</v>
      </c>
      <c r="C2" s="749"/>
      <c r="D2" s="749"/>
      <c r="E2" s="749"/>
      <c r="F2" s="749"/>
      <c r="G2" s="749"/>
      <c r="H2" s="749"/>
      <c r="I2" s="749"/>
      <c r="J2" s="749"/>
      <c r="K2" s="749"/>
      <c r="L2" s="749"/>
      <c r="M2" s="749"/>
      <c r="N2" s="749"/>
      <c r="O2" s="749"/>
      <c r="P2" s="749"/>
      <c r="U2" s="750"/>
      <c r="V2" s="750"/>
      <c r="W2" s="750"/>
      <c r="X2" s="750"/>
      <c r="Y2" s="750"/>
      <c r="Z2" s="750"/>
      <c r="AA2" s="750"/>
      <c r="AB2" s="750"/>
      <c r="AC2" s="750"/>
      <c r="AD2" s="750"/>
      <c r="AE2" s="750"/>
      <c r="AF2" s="750"/>
      <c r="AG2" s="750"/>
      <c r="AH2" s="750"/>
      <c r="AI2" s="750"/>
      <c r="AJ2" s="13"/>
    </row>
    <row r="3" spans="2:36" x14ac:dyDescent="0.25"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</row>
    <row r="4" spans="2:36" x14ac:dyDescent="0.25">
      <c r="B4" s="36" t="s">
        <v>162</v>
      </c>
      <c r="I4" s="36" t="s">
        <v>163</v>
      </c>
      <c r="J4" s="36"/>
      <c r="U4" s="489"/>
      <c r="V4" s="13"/>
      <c r="W4" s="13"/>
      <c r="X4" s="13"/>
      <c r="Y4" s="13"/>
      <c r="Z4" s="13"/>
      <c r="AA4" s="13"/>
      <c r="AB4" s="489"/>
      <c r="AC4" s="489"/>
      <c r="AD4" s="13"/>
      <c r="AE4" s="13"/>
      <c r="AF4" s="13"/>
      <c r="AG4" s="13"/>
      <c r="AH4" s="13"/>
      <c r="AI4" s="13"/>
      <c r="AJ4" s="13"/>
    </row>
    <row r="5" spans="2:36" x14ac:dyDescent="0.25">
      <c r="B5" s="88" t="s">
        <v>120</v>
      </c>
      <c r="C5" s="88"/>
      <c r="I5" s="36" t="s">
        <v>164</v>
      </c>
      <c r="J5" s="36"/>
      <c r="U5" s="101"/>
      <c r="V5" s="101"/>
      <c r="W5" s="13"/>
      <c r="X5" s="13"/>
      <c r="Y5" s="13"/>
      <c r="Z5" s="13"/>
      <c r="AA5" s="13"/>
      <c r="AB5" s="489"/>
      <c r="AC5" s="489"/>
      <c r="AD5" s="13"/>
      <c r="AE5" s="13"/>
      <c r="AF5" s="13"/>
      <c r="AG5" s="13"/>
      <c r="AH5" s="13"/>
      <c r="AI5" s="13"/>
      <c r="AJ5" s="13"/>
    </row>
    <row r="6" spans="2:36" x14ac:dyDescent="0.25">
      <c r="B6" s="239" t="s">
        <v>133</v>
      </c>
      <c r="C6" s="239"/>
      <c r="D6" s="239"/>
      <c r="I6" s="36" t="s">
        <v>165</v>
      </c>
      <c r="J6" s="36"/>
      <c r="U6" s="281"/>
      <c r="V6" s="281"/>
      <c r="W6" s="281"/>
      <c r="X6" s="13"/>
      <c r="Y6" s="13"/>
      <c r="Z6" s="13"/>
      <c r="AA6" s="13"/>
      <c r="AB6" s="489"/>
      <c r="AC6" s="489"/>
      <c r="AD6" s="13"/>
      <c r="AE6" s="13"/>
      <c r="AF6" s="13"/>
      <c r="AG6" s="13"/>
      <c r="AH6" s="13"/>
      <c r="AI6" s="13"/>
      <c r="AJ6" s="13"/>
    </row>
    <row r="7" spans="2:36" x14ac:dyDescent="0.25">
      <c r="B7" t="s">
        <v>134</v>
      </c>
      <c r="I7" s="36" t="s">
        <v>166</v>
      </c>
      <c r="J7" s="36"/>
      <c r="K7" s="36"/>
      <c r="U7" s="13"/>
      <c r="V7" s="13"/>
      <c r="W7" s="13"/>
      <c r="X7" s="13"/>
      <c r="Y7" s="13"/>
      <c r="Z7" s="13"/>
      <c r="AA7" s="13"/>
      <c r="AB7" s="489"/>
      <c r="AC7" s="489"/>
      <c r="AD7" s="489"/>
      <c r="AE7" s="13"/>
      <c r="AF7" s="13"/>
      <c r="AG7" s="13"/>
      <c r="AH7" s="13"/>
      <c r="AI7" s="13"/>
      <c r="AJ7" s="13"/>
    </row>
    <row r="8" spans="2:36" x14ac:dyDescent="0.25">
      <c r="B8" t="s">
        <v>135</v>
      </c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</row>
    <row r="9" spans="2:36" x14ac:dyDescent="0.25">
      <c r="B9" t="s">
        <v>158</v>
      </c>
      <c r="H9" s="36"/>
      <c r="I9" s="36"/>
      <c r="J9" s="36"/>
      <c r="U9" s="13"/>
      <c r="V9" s="13"/>
      <c r="W9" s="13"/>
      <c r="X9" s="13"/>
      <c r="Y9" s="13"/>
      <c r="Z9" s="13"/>
      <c r="AA9" s="489"/>
      <c r="AB9" s="489"/>
      <c r="AC9" s="489"/>
      <c r="AD9" s="13"/>
      <c r="AE9" s="13"/>
      <c r="AF9" s="13"/>
      <c r="AG9" s="13"/>
      <c r="AH9" s="13"/>
      <c r="AI9" s="13"/>
      <c r="AJ9" s="13"/>
    </row>
    <row r="10" spans="2:36" x14ac:dyDescent="0.25">
      <c r="B10" s="88" t="s">
        <v>123</v>
      </c>
      <c r="C10" s="74"/>
      <c r="H10" s="36"/>
      <c r="I10" s="36"/>
      <c r="J10" s="36"/>
      <c r="U10" s="101"/>
      <c r="V10" s="39"/>
      <c r="W10" s="13"/>
      <c r="X10" s="13"/>
      <c r="Y10" s="13"/>
      <c r="Z10" s="13"/>
      <c r="AA10" s="489"/>
      <c r="AB10" s="489"/>
      <c r="AC10" s="489"/>
      <c r="AD10" s="13"/>
      <c r="AE10" s="13"/>
      <c r="AF10" s="13"/>
      <c r="AG10" s="13"/>
      <c r="AH10" s="13"/>
      <c r="AI10" s="13"/>
      <c r="AJ10" s="13"/>
    </row>
    <row r="11" spans="2:36" x14ac:dyDescent="0.25">
      <c r="B11" s="36" t="s">
        <v>121</v>
      </c>
      <c r="H11" s="36"/>
      <c r="I11" s="36"/>
      <c r="J11" s="36"/>
      <c r="U11" s="489"/>
      <c r="V11" s="13"/>
      <c r="W11" s="13"/>
      <c r="X11" s="13"/>
      <c r="Y11" s="13"/>
      <c r="Z11" s="13"/>
      <c r="AA11" s="489"/>
      <c r="AB11" s="489"/>
      <c r="AC11" s="489"/>
      <c r="AD11" s="13"/>
      <c r="AE11" s="13"/>
      <c r="AF11" s="13"/>
      <c r="AG11" s="13"/>
      <c r="AH11" s="13"/>
      <c r="AI11" s="13"/>
      <c r="AJ11" s="13"/>
    </row>
    <row r="12" spans="2:36" ht="15.75" thickBot="1" x14ac:dyDescent="0.3"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</row>
    <row r="13" spans="2:36" ht="15.75" thickBot="1" x14ac:dyDescent="0.3">
      <c r="D13" s="737" t="s">
        <v>136</v>
      </c>
      <c r="E13" s="738"/>
      <c r="F13" s="738"/>
      <c r="G13" s="738"/>
      <c r="H13" s="738"/>
      <c r="I13" s="738"/>
      <c r="J13" s="738"/>
      <c r="K13" s="739"/>
      <c r="U13" s="13"/>
      <c r="V13" s="13"/>
      <c r="W13" s="751"/>
      <c r="X13" s="751"/>
      <c r="Y13" s="751"/>
      <c r="Z13" s="751"/>
      <c r="AA13" s="751"/>
      <c r="AB13" s="751"/>
      <c r="AC13" s="751"/>
      <c r="AD13" s="751"/>
      <c r="AE13" s="13"/>
      <c r="AF13" s="13"/>
      <c r="AG13" s="13"/>
      <c r="AH13" s="13"/>
      <c r="AI13" s="13"/>
      <c r="AJ13" s="13"/>
    </row>
    <row r="14" spans="2:36" x14ac:dyDescent="0.25">
      <c r="D14" s="183">
        <v>1</v>
      </c>
      <c r="E14" s="183">
        <v>2</v>
      </c>
      <c r="F14" s="183">
        <v>3</v>
      </c>
      <c r="G14" s="183">
        <v>4</v>
      </c>
      <c r="H14" s="284">
        <v>5</v>
      </c>
      <c r="I14" s="273">
        <v>6</v>
      </c>
      <c r="J14" s="183">
        <v>7</v>
      </c>
      <c r="K14" s="284">
        <v>8</v>
      </c>
      <c r="L14" s="183">
        <v>9</v>
      </c>
      <c r="M14" s="183">
        <v>10</v>
      </c>
      <c r="N14" s="183">
        <v>11</v>
      </c>
      <c r="O14" s="183">
        <v>12</v>
      </c>
      <c r="P14" s="284">
        <v>13</v>
      </c>
      <c r="R14" s="221">
        <v>2019</v>
      </c>
      <c r="S14" t="s">
        <v>351</v>
      </c>
      <c r="U14" s="13"/>
      <c r="V14" s="13"/>
      <c r="W14" s="176"/>
      <c r="X14" s="176"/>
      <c r="Y14" s="176"/>
      <c r="Z14" s="176"/>
      <c r="AA14" s="221"/>
      <c r="AB14" s="176"/>
      <c r="AC14" s="176"/>
      <c r="AD14" s="221"/>
      <c r="AE14" s="176"/>
      <c r="AF14" s="176"/>
      <c r="AG14" s="176"/>
      <c r="AH14" s="176"/>
      <c r="AI14" s="221"/>
      <c r="AJ14" s="13"/>
    </row>
    <row r="15" spans="2:36" ht="15.75" thickBot="1" x14ac:dyDescent="0.3">
      <c r="B15" s="36" t="s">
        <v>34</v>
      </c>
      <c r="C15" s="36" t="s">
        <v>113</v>
      </c>
      <c r="D15" s="184" t="s">
        <v>101</v>
      </c>
      <c r="E15" s="184" t="s">
        <v>102</v>
      </c>
      <c r="F15" s="184" t="s">
        <v>103</v>
      </c>
      <c r="G15" s="184" t="s">
        <v>104</v>
      </c>
      <c r="H15" s="285" t="s">
        <v>132</v>
      </c>
      <c r="I15" s="274" t="s">
        <v>108</v>
      </c>
      <c r="J15" s="184" t="s">
        <v>114</v>
      </c>
      <c r="K15" s="285" t="s">
        <v>150</v>
      </c>
      <c r="L15" s="182" t="s">
        <v>109</v>
      </c>
      <c r="M15" s="182" t="s">
        <v>110</v>
      </c>
      <c r="N15" s="182" t="s">
        <v>112</v>
      </c>
      <c r="O15" s="182" t="s">
        <v>111</v>
      </c>
      <c r="P15" s="285" t="s">
        <v>229</v>
      </c>
      <c r="U15" s="489"/>
      <c r="V15" s="489"/>
      <c r="W15" s="490"/>
      <c r="X15" s="490"/>
      <c r="Y15" s="490"/>
      <c r="Z15" s="490"/>
      <c r="AA15" s="491"/>
      <c r="AB15" s="490"/>
      <c r="AC15" s="490"/>
      <c r="AD15" s="491"/>
      <c r="AE15" s="491"/>
      <c r="AF15" s="491"/>
      <c r="AG15" s="491"/>
      <c r="AH15" s="491"/>
      <c r="AI15" s="491"/>
      <c r="AJ15" s="13"/>
    </row>
    <row r="16" spans="2:36" ht="15" customHeight="1" x14ac:dyDescent="0.25">
      <c r="B16" s="740" t="s">
        <v>194</v>
      </c>
      <c r="C16" s="177" t="s">
        <v>105</v>
      </c>
      <c r="D16" s="223">
        <v>4</v>
      </c>
      <c r="E16" s="223"/>
      <c r="F16" s="223"/>
      <c r="G16" s="223"/>
      <c r="H16" s="286">
        <f t="shared" ref="H16:H44" si="0">+D16+E16+F16+G16</f>
        <v>4</v>
      </c>
      <c r="I16" s="224">
        <v>0</v>
      </c>
      <c r="J16" s="223">
        <v>0</v>
      </c>
      <c r="K16" s="289">
        <v>0</v>
      </c>
      <c r="L16" s="223">
        <v>1</v>
      </c>
      <c r="M16" s="223">
        <v>1</v>
      </c>
      <c r="N16" s="223">
        <v>1</v>
      </c>
      <c r="O16" s="225">
        <v>1</v>
      </c>
      <c r="P16" s="286"/>
      <c r="U16" s="748"/>
      <c r="V16" s="13"/>
      <c r="W16" s="492"/>
      <c r="X16" s="492"/>
      <c r="Y16" s="492"/>
      <c r="Z16" s="492"/>
      <c r="AA16" s="492"/>
      <c r="AB16" s="492"/>
      <c r="AC16" s="492"/>
      <c r="AD16" s="492"/>
      <c r="AE16" s="492"/>
      <c r="AF16" s="492"/>
      <c r="AG16" s="492"/>
      <c r="AH16" s="492"/>
      <c r="AI16" s="492"/>
      <c r="AJ16" s="13"/>
    </row>
    <row r="17" spans="2:36" x14ac:dyDescent="0.25">
      <c r="B17" s="741"/>
      <c r="C17" s="178" t="s">
        <v>106</v>
      </c>
      <c r="D17" s="226">
        <v>33</v>
      </c>
      <c r="E17" s="226"/>
      <c r="F17" s="226"/>
      <c r="G17" s="226"/>
      <c r="H17" s="287">
        <f t="shared" si="0"/>
        <v>33</v>
      </c>
      <c r="I17" s="227"/>
      <c r="J17" s="226"/>
      <c r="K17" s="290">
        <v>0</v>
      </c>
      <c r="L17" s="226"/>
      <c r="M17" s="226"/>
      <c r="N17" s="226"/>
      <c r="O17" s="228"/>
      <c r="P17" s="287"/>
      <c r="U17" s="748"/>
      <c r="V17" s="13"/>
      <c r="W17" s="492"/>
      <c r="X17" s="492"/>
      <c r="Y17" s="492"/>
      <c r="Z17" s="492"/>
      <c r="AA17" s="492"/>
      <c r="AB17" s="492"/>
      <c r="AC17" s="492"/>
      <c r="AD17" s="492"/>
      <c r="AE17" s="492"/>
      <c r="AF17" s="492"/>
      <c r="AG17" s="492"/>
      <c r="AH17" s="492"/>
      <c r="AI17" s="492"/>
      <c r="AJ17" s="13"/>
    </row>
    <row r="18" spans="2:36" x14ac:dyDescent="0.25">
      <c r="B18" s="741"/>
      <c r="C18" s="179" t="s">
        <v>253</v>
      </c>
      <c r="D18" s="229">
        <v>48</v>
      </c>
      <c r="E18" s="229"/>
      <c r="F18" s="229"/>
      <c r="G18" s="229"/>
      <c r="H18" s="287">
        <f t="shared" si="0"/>
        <v>48</v>
      </c>
      <c r="I18" s="230"/>
      <c r="J18" s="229"/>
      <c r="K18" s="290">
        <v>0</v>
      </c>
      <c r="L18" s="229"/>
      <c r="M18" s="229"/>
      <c r="N18" s="229"/>
      <c r="O18" s="231"/>
      <c r="P18" s="287"/>
      <c r="U18" s="748"/>
      <c r="V18" s="13"/>
      <c r="W18" s="492"/>
      <c r="X18" s="492"/>
      <c r="Y18" s="492"/>
      <c r="Z18" s="492"/>
      <c r="AA18" s="492"/>
      <c r="AB18" s="492"/>
      <c r="AC18" s="492"/>
      <c r="AD18" s="492"/>
      <c r="AE18" s="492"/>
      <c r="AF18" s="492"/>
      <c r="AG18" s="492"/>
      <c r="AH18" s="492"/>
      <c r="AI18" s="492"/>
      <c r="AJ18" s="13"/>
    </row>
    <row r="19" spans="2:36" x14ac:dyDescent="0.25">
      <c r="B19" s="741"/>
      <c r="C19" s="180" t="s">
        <v>107</v>
      </c>
      <c r="D19" s="232">
        <v>61</v>
      </c>
      <c r="E19" s="232"/>
      <c r="F19" s="232"/>
      <c r="G19" s="232"/>
      <c r="H19" s="287">
        <f t="shared" si="0"/>
        <v>61</v>
      </c>
      <c r="I19" s="233">
        <v>0</v>
      </c>
      <c r="J19" s="232">
        <v>0</v>
      </c>
      <c r="K19" s="290">
        <v>0</v>
      </c>
      <c r="L19" s="232"/>
      <c r="M19" s="232">
        <v>5</v>
      </c>
      <c r="N19" s="232">
        <v>60</v>
      </c>
      <c r="O19" s="232">
        <v>375</v>
      </c>
      <c r="P19" s="287"/>
      <c r="U19" s="748"/>
      <c r="V19" s="13"/>
      <c r="W19" s="492"/>
      <c r="X19" s="492"/>
      <c r="Y19" s="492"/>
      <c r="Z19" s="492"/>
      <c r="AA19" s="492"/>
      <c r="AB19" s="492"/>
      <c r="AC19" s="492"/>
      <c r="AD19" s="492"/>
      <c r="AE19" s="492"/>
      <c r="AF19" s="492"/>
      <c r="AG19" s="492"/>
      <c r="AH19" s="492"/>
      <c r="AI19" s="492"/>
      <c r="AJ19" s="13"/>
    </row>
    <row r="20" spans="2:36" ht="15.75" thickBot="1" x14ac:dyDescent="0.3">
      <c r="B20" s="741"/>
      <c r="C20" s="181" t="s">
        <v>32</v>
      </c>
      <c r="D20" s="207">
        <f>+D19*$D$62</f>
        <v>280.4597701149425</v>
      </c>
      <c r="E20" s="207">
        <f>+E19*$E$62</f>
        <v>0</v>
      </c>
      <c r="F20" s="207">
        <f>+F19*$F$62</f>
        <v>0</v>
      </c>
      <c r="G20" s="208">
        <f>+G19*$G$62</f>
        <v>0</v>
      </c>
      <c r="H20" s="288">
        <f t="shared" si="0"/>
        <v>280.4597701149425</v>
      </c>
      <c r="I20" s="208">
        <f>+I19*$I$62</f>
        <v>0</v>
      </c>
      <c r="J20" s="208">
        <f>+J19*$J$62</f>
        <v>0</v>
      </c>
      <c r="K20" s="461">
        <f>+H20+I20+J20</f>
        <v>280.4597701149425</v>
      </c>
      <c r="L20" s="207">
        <v>200</v>
      </c>
      <c r="M20" s="208">
        <f>+M19*$M$58</f>
        <v>56.25</v>
      </c>
      <c r="N20" s="207">
        <f>+N19*$N$58</f>
        <v>437.76824034334766</v>
      </c>
      <c r="O20" s="207">
        <f>+O19*$O$58</f>
        <v>319.14893617021278</v>
      </c>
      <c r="P20" s="288">
        <f>+K20+L20+M20+N20+O20</f>
        <v>1293.626946628503</v>
      </c>
      <c r="R20">
        <v>1856.07</v>
      </c>
      <c r="S20" s="67">
        <f>+P20/R20</f>
        <v>0.6969709906568734</v>
      </c>
      <c r="T20" s="277"/>
      <c r="U20" s="748"/>
      <c r="V20" s="13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13"/>
    </row>
    <row r="21" spans="2:36" ht="15" customHeight="1" x14ac:dyDescent="0.25">
      <c r="B21" s="740" t="s">
        <v>16</v>
      </c>
      <c r="C21" s="177" t="s">
        <v>105</v>
      </c>
      <c r="D21" s="223">
        <v>0</v>
      </c>
      <c r="E21" s="223">
        <v>0</v>
      </c>
      <c r="F21" s="223">
        <v>0</v>
      </c>
      <c r="G21" s="292">
        <v>3</v>
      </c>
      <c r="H21" s="286">
        <f t="shared" si="0"/>
        <v>3</v>
      </c>
      <c r="I21" s="224">
        <v>4</v>
      </c>
      <c r="J21" s="225">
        <v>1</v>
      </c>
      <c r="K21" s="286"/>
      <c r="L21" s="224"/>
      <c r="M21" s="223">
        <v>5</v>
      </c>
      <c r="N21" s="223">
        <v>1</v>
      </c>
      <c r="O21" s="223">
        <v>1</v>
      </c>
      <c r="P21" s="286"/>
      <c r="U21" s="748"/>
      <c r="V21" s="13"/>
      <c r="W21" s="492"/>
      <c r="X21" s="492"/>
      <c r="Y21" s="492"/>
      <c r="Z21" s="493"/>
      <c r="AA21" s="492"/>
      <c r="AB21" s="492"/>
      <c r="AC21" s="492"/>
      <c r="AD21" s="492"/>
      <c r="AE21" s="492"/>
      <c r="AF21" s="492"/>
      <c r="AG21" s="492"/>
      <c r="AH21" s="492"/>
      <c r="AI21" s="492"/>
      <c r="AJ21" s="13"/>
    </row>
    <row r="22" spans="2:36" x14ac:dyDescent="0.25">
      <c r="B22" s="741"/>
      <c r="C22" s="178" t="s">
        <v>106</v>
      </c>
      <c r="D22" s="226"/>
      <c r="E22" s="226"/>
      <c r="F22" s="226"/>
      <c r="G22" s="293">
        <v>19</v>
      </c>
      <c r="H22" s="287">
        <f t="shared" si="0"/>
        <v>19</v>
      </c>
      <c r="I22" s="227">
        <v>17</v>
      </c>
      <c r="J22" s="228">
        <v>14</v>
      </c>
      <c r="K22" s="287"/>
      <c r="L22" s="227"/>
      <c r="M22" s="226"/>
      <c r="N22" s="226"/>
      <c r="O22" s="226"/>
      <c r="P22" s="287"/>
      <c r="U22" s="748"/>
      <c r="V22" s="13"/>
      <c r="W22" s="492"/>
      <c r="X22" s="492"/>
      <c r="Y22" s="492"/>
      <c r="Z22" s="493"/>
      <c r="AA22" s="492"/>
      <c r="AB22" s="492"/>
      <c r="AC22" s="492"/>
      <c r="AD22" s="492"/>
      <c r="AE22" s="492"/>
      <c r="AF22" s="492"/>
      <c r="AG22" s="492"/>
      <c r="AH22" s="492"/>
      <c r="AI22" s="492"/>
      <c r="AJ22" s="13"/>
    </row>
    <row r="23" spans="2:36" x14ac:dyDescent="0.25">
      <c r="B23" s="741"/>
      <c r="C23" s="179" t="s">
        <v>253</v>
      </c>
      <c r="D23" s="229"/>
      <c r="E23" s="229"/>
      <c r="F23" s="229"/>
      <c r="G23" s="294">
        <v>96</v>
      </c>
      <c r="H23" s="287">
        <f t="shared" si="0"/>
        <v>96</v>
      </c>
      <c r="I23" s="230">
        <v>561.75</v>
      </c>
      <c r="J23" s="231">
        <v>31</v>
      </c>
      <c r="K23" s="287"/>
      <c r="L23" s="230"/>
      <c r="M23" s="229"/>
      <c r="N23" s="229"/>
      <c r="O23" s="229"/>
      <c r="P23" s="287"/>
      <c r="U23" s="748"/>
      <c r="V23" s="13"/>
      <c r="W23" s="492"/>
      <c r="X23" s="492"/>
      <c r="Y23" s="492"/>
      <c r="Z23" s="493"/>
      <c r="AA23" s="492"/>
      <c r="AB23" s="492"/>
      <c r="AC23" s="492"/>
      <c r="AD23" s="492"/>
      <c r="AE23" s="492"/>
      <c r="AF23" s="492"/>
      <c r="AG23" s="492"/>
      <c r="AH23" s="492"/>
      <c r="AI23" s="492"/>
      <c r="AJ23" s="13"/>
    </row>
    <row r="24" spans="2:36" x14ac:dyDescent="0.25">
      <c r="B24" s="741"/>
      <c r="C24" s="180" t="s">
        <v>107</v>
      </c>
      <c r="D24" s="232"/>
      <c r="E24" s="232"/>
      <c r="F24" s="232"/>
      <c r="G24" s="295">
        <v>178</v>
      </c>
      <c r="H24" s="287">
        <f t="shared" si="0"/>
        <v>178</v>
      </c>
      <c r="I24" s="233">
        <v>2129</v>
      </c>
      <c r="J24" s="468">
        <v>77</v>
      </c>
      <c r="K24" s="287"/>
      <c r="L24" s="233"/>
      <c r="M24" s="232">
        <v>70</v>
      </c>
      <c r="N24" s="232">
        <v>97</v>
      </c>
      <c r="O24" s="232">
        <v>450</v>
      </c>
      <c r="P24" s="287"/>
      <c r="U24" s="748"/>
      <c r="V24" s="13"/>
      <c r="W24" s="492"/>
      <c r="X24" s="492"/>
      <c r="Y24" s="492"/>
      <c r="Z24" s="493"/>
      <c r="AA24" s="492"/>
      <c r="AB24" s="492"/>
      <c r="AC24" s="492"/>
      <c r="AD24" s="492"/>
      <c r="AE24" s="492"/>
      <c r="AF24" s="492"/>
      <c r="AG24" s="492"/>
      <c r="AH24" s="492"/>
      <c r="AI24" s="492"/>
      <c r="AJ24" s="13"/>
    </row>
    <row r="25" spans="2:36" ht="15.75" thickBot="1" x14ac:dyDescent="0.3">
      <c r="B25" s="741"/>
      <c r="C25" s="181" t="s">
        <v>32</v>
      </c>
      <c r="D25" s="207">
        <f>+D24*$D$62</f>
        <v>0</v>
      </c>
      <c r="E25" s="207">
        <v>0</v>
      </c>
      <c r="F25" s="207">
        <f>+F24*$F$62</f>
        <v>0</v>
      </c>
      <c r="G25" s="208">
        <f>+G24*$G$62</f>
        <v>2792.3399790136409</v>
      </c>
      <c r="H25" s="288">
        <f t="shared" si="0"/>
        <v>2792.3399790136409</v>
      </c>
      <c r="I25" s="208">
        <f>+I24*$I$62</f>
        <v>9569.0742397137747</v>
      </c>
      <c r="J25" s="208">
        <f>+J24*$J$62</f>
        <v>498.23529411764707</v>
      </c>
      <c r="K25" s="288">
        <f>+H25+I25+J25</f>
        <v>12859.649512845062</v>
      </c>
      <c r="L25" s="209"/>
      <c r="M25" s="208">
        <f>+M24*$M$58</f>
        <v>787.5</v>
      </c>
      <c r="N25" s="207">
        <f>+N24*$N$58</f>
        <v>707.72532188841205</v>
      </c>
      <c r="O25" s="207">
        <f>+O24*$O$58</f>
        <v>382.97872340425533</v>
      </c>
      <c r="P25" s="288">
        <f>+K25+L25+M25+N25+O25</f>
        <v>14737.853558137731</v>
      </c>
      <c r="R25" s="277">
        <v>15440.53</v>
      </c>
      <c r="S25" s="67">
        <f>+P25/R25</f>
        <v>0.95449142990154678</v>
      </c>
      <c r="T25" s="277"/>
      <c r="U25" s="748"/>
      <c r="V25" s="13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13"/>
    </row>
    <row r="26" spans="2:36" ht="15" customHeight="1" x14ac:dyDescent="0.25">
      <c r="B26" s="742" t="s">
        <v>25</v>
      </c>
      <c r="C26" s="177" t="s">
        <v>105</v>
      </c>
      <c r="D26" s="223"/>
      <c r="E26" s="223"/>
      <c r="F26" s="223"/>
      <c r="G26" s="223"/>
      <c r="H26" s="286">
        <f t="shared" si="0"/>
        <v>0</v>
      </c>
      <c r="I26" s="224"/>
      <c r="J26" s="223">
        <v>1</v>
      </c>
      <c r="K26" s="289">
        <f>+H26+I26+J26</f>
        <v>1</v>
      </c>
      <c r="L26" s="223"/>
      <c r="M26" s="223"/>
      <c r="N26" s="223">
        <v>1</v>
      </c>
      <c r="O26" s="223"/>
      <c r="P26" s="286"/>
      <c r="U26" s="748"/>
      <c r="V26" s="13"/>
      <c r="W26" s="492"/>
      <c r="X26" s="492"/>
      <c r="Y26" s="492"/>
      <c r="Z26" s="492"/>
      <c r="AA26" s="492"/>
      <c r="AB26" s="492"/>
      <c r="AC26" s="492"/>
      <c r="AD26" s="492"/>
      <c r="AE26" s="492"/>
      <c r="AF26" s="492"/>
      <c r="AG26" s="492"/>
      <c r="AH26" s="492"/>
      <c r="AI26" s="492"/>
      <c r="AJ26" s="13"/>
    </row>
    <row r="27" spans="2:36" x14ac:dyDescent="0.25">
      <c r="B27" s="743"/>
      <c r="C27" s="178" t="s">
        <v>106</v>
      </c>
      <c r="D27" s="226"/>
      <c r="E27" s="226"/>
      <c r="F27" s="226"/>
      <c r="G27" s="226"/>
      <c r="H27" s="287">
        <f t="shared" si="0"/>
        <v>0</v>
      </c>
      <c r="I27" s="227"/>
      <c r="J27" s="226">
        <v>37</v>
      </c>
      <c r="K27" s="290">
        <f t="shared" ref="K27:K34" si="1">+H27+I27+J27</f>
        <v>37</v>
      </c>
      <c r="L27" s="226"/>
      <c r="M27" s="226"/>
      <c r="N27" s="226"/>
      <c r="O27" s="226"/>
      <c r="P27" s="287"/>
      <c r="U27" s="748"/>
      <c r="V27" s="13"/>
      <c r="W27" s="492"/>
      <c r="X27" s="492"/>
      <c r="Y27" s="492"/>
      <c r="Z27" s="492"/>
      <c r="AA27" s="492"/>
      <c r="AB27" s="492"/>
      <c r="AC27" s="492"/>
      <c r="AD27" s="492"/>
      <c r="AE27" s="492"/>
      <c r="AF27" s="492"/>
      <c r="AG27" s="492"/>
      <c r="AH27" s="492"/>
      <c r="AI27" s="492"/>
      <c r="AJ27" s="13"/>
    </row>
    <row r="28" spans="2:36" x14ac:dyDescent="0.25">
      <c r="B28" s="743"/>
      <c r="C28" s="179" t="s">
        <v>253</v>
      </c>
      <c r="D28" s="229"/>
      <c r="E28" s="229"/>
      <c r="F28" s="229"/>
      <c r="G28" s="229"/>
      <c r="H28" s="287">
        <f t="shared" si="0"/>
        <v>0</v>
      </c>
      <c r="I28" s="230"/>
      <c r="J28" s="229">
        <v>142.44999999999999</v>
      </c>
      <c r="K28" s="290">
        <f t="shared" si="1"/>
        <v>142.44999999999999</v>
      </c>
      <c r="L28" s="229"/>
      <c r="M28" s="229"/>
      <c r="N28" s="229"/>
      <c r="O28" s="229"/>
      <c r="P28" s="287"/>
      <c r="U28" s="748"/>
      <c r="V28" s="13"/>
      <c r="W28" s="492"/>
      <c r="X28" s="492"/>
      <c r="Y28" s="492"/>
      <c r="Z28" s="492"/>
      <c r="AA28" s="492"/>
      <c r="AB28" s="492"/>
      <c r="AC28" s="492"/>
      <c r="AD28" s="492"/>
      <c r="AE28" s="492"/>
      <c r="AF28" s="492"/>
      <c r="AG28" s="492"/>
      <c r="AH28" s="492"/>
      <c r="AI28" s="492"/>
      <c r="AJ28" s="13"/>
    </row>
    <row r="29" spans="2:36" x14ac:dyDescent="0.25">
      <c r="B29" s="743"/>
      <c r="C29" s="180" t="s">
        <v>107</v>
      </c>
      <c r="D29" s="232"/>
      <c r="E29" s="232"/>
      <c r="F29" s="232"/>
      <c r="G29" s="232"/>
      <c r="H29" s="287">
        <f t="shared" si="0"/>
        <v>0</v>
      </c>
      <c r="I29" s="233"/>
      <c r="J29" s="232">
        <v>88.55</v>
      </c>
      <c r="K29" s="290">
        <f t="shared" si="1"/>
        <v>88.55</v>
      </c>
      <c r="L29" s="232"/>
      <c r="M29" s="232"/>
      <c r="N29" s="232">
        <v>46</v>
      </c>
      <c r="O29" s="232"/>
      <c r="P29" s="287"/>
      <c r="U29" s="748"/>
      <c r="V29" s="13"/>
      <c r="W29" s="492"/>
      <c r="X29" s="492"/>
      <c r="Y29" s="492"/>
      <c r="Z29" s="492"/>
      <c r="AA29" s="492"/>
      <c r="AB29" s="492"/>
      <c r="AC29" s="492"/>
      <c r="AD29" s="492"/>
      <c r="AE29" s="492"/>
      <c r="AF29" s="492"/>
      <c r="AG29" s="492"/>
      <c r="AH29" s="492"/>
      <c r="AI29" s="492"/>
      <c r="AJ29" s="13"/>
    </row>
    <row r="30" spans="2:36" ht="15.75" thickBot="1" x14ac:dyDescent="0.3">
      <c r="B30" s="743"/>
      <c r="C30" s="181" t="s">
        <v>32</v>
      </c>
      <c r="D30" s="207">
        <f>+D29*$D$62</f>
        <v>0</v>
      </c>
      <c r="E30" s="207">
        <f>+E29*$E$58</f>
        <v>0</v>
      </c>
      <c r="F30" s="207">
        <f>+F29*$F$62</f>
        <v>0</v>
      </c>
      <c r="G30" s="208">
        <f>+G29*$G$62</f>
        <v>0</v>
      </c>
      <c r="H30" s="288">
        <f t="shared" si="0"/>
        <v>0</v>
      </c>
      <c r="I30" s="208">
        <f>+I29*$I$62</f>
        <v>0</v>
      </c>
      <c r="J30" s="208">
        <f>+J29*$J$62</f>
        <v>572.97058823529414</v>
      </c>
      <c r="K30" s="291">
        <f>+H30+I30+J30</f>
        <v>572.97058823529414</v>
      </c>
      <c r="L30" s="207"/>
      <c r="M30" s="208">
        <f>+M29*$M$58</f>
        <v>0</v>
      </c>
      <c r="N30" s="207">
        <f>+N29*$N$58</f>
        <v>335.62231759656652</v>
      </c>
      <c r="O30" s="207">
        <f>+O29*$O$58</f>
        <v>0</v>
      </c>
      <c r="P30" s="288">
        <f>+K30+L30+M30+N30+O30</f>
        <v>908.59290583186066</v>
      </c>
      <c r="R30" s="220">
        <v>1027.57</v>
      </c>
      <c r="S30" s="67">
        <f>+P30/R30</f>
        <v>0.88421509564492995</v>
      </c>
      <c r="T30" s="277"/>
      <c r="U30" s="748"/>
      <c r="V30" s="13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13"/>
    </row>
    <row r="31" spans="2:36" ht="15" customHeight="1" x14ac:dyDescent="0.25">
      <c r="B31" s="740" t="s">
        <v>152</v>
      </c>
      <c r="C31" s="177" t="s">
        <v>105</v>
      </c>
      <c r="D31" s="223">
        <v>1</v>
      </c>
      <c r="E31" s="223"/>
      <c r="F31" s="223">
        <v>6</v>
      </c>
      <c r="G31" s="223"/>
      <c r="H31" s="286">
        <f t="shared" si="0"/>
        <v>7</v>
      </c>
      <c r="I31" s="224"/>
      <c r="J31" s="223"/>
      <c r="K31" s="289">
        <f>+H31+I31+J31</f>
        <v>7</v>
      </c>
      <c r="L31" s="223"/>
      <c r="M31" s="223">
        <v>0</v>
      </c>
      <c r="N31" s="223">
        <v>0</v>
      </c>
      <c r="O31" s="225">
        <v>0</v>
      </c>
      <c r="P31" s="286"/>
      <c r="U31" s="748"/>
      <c r="V31" s="13"/>
      <c r="W31" s="492"/>
      <c r="X31" s="492"/>
      <c r="Y31" s="492"/>
      <c r="Z31" s="492"/>
      <c r="AA31" s="492"/>
      <c r="AB31" s="492"/>
      <c r="AC31" s="492"/>
      <c r="AD31" s="492"/>
      <c r="AE31" s="492"/>
      <c r="AF31" s="492"/>
      <c r="AG31" s="492"/>
      <c r="AH31" s="492"/>
      <c r="AI31" s="492"/>
      <c r="AJ31" s="13"/>
    </row>
    <row r="32" spans="2:36" x14ac:dyDescent="0.25">
      <c r="B32" s="741"/>
      <c r="C32" s="178" t="s">
        <v>106</v>
      </c>
      <c r="D32" s="226">
        <v>17</v>
      </c>
      <c r="E32" s="226"/>
      <c r="F32" s="226"/>
      <c r="G32" s="226"/>
      <c r="H32" s="287">
        <f t="shared" si="0"/>
        <v>17</v>
      </c>
      <c r="I32" s="227"/>
      <c r="J32" s="226"/>
      <c r="K32" s="290">
        <f t="shared" si="1"/>
        <v>17</v>
      </c>
      <c r="L32" s="226"/>
      <c r="M32" s="226">
        <v>0</v>
      </c>
      <c r="N32" s="226"/>
      <c r="O32" s="228"/>
      <c r="P32" s="287"/>
      <c r="U32" s="748"/>
      <c r="V32" s="13"/>
      <c r="W32" s="492"/>
      <c r="X32" s="492"/>
      <c r="Y32" s="492"/>
      <c r="Z32" s="492"/>
      <c r="AA32" s="492"/>
      <c r="AB32" s="492"/>
      <c r="AC32" s="492"/>
      <c r="AD32" s="492"/>
      <c r="AE32" s="492"/>
      <c r="AF32" s="492"/>
      <c r="AG32" s="492"/>
      <c r="AH32" s="492"/>
      <c r="AI32" s="492"/>
      <c r="AJ32" s="13"/>
    </row>
    <row r="33" spans="2:36" x14ac:dyDescent="0.25">
      <c r="B33" s="741"/>
      <c r="C33" s="179" t="s">
        <v>253</v>
      </c>
      <c r="D33" s="229">
        <v>11</v>
      </c>
      <c r="E33" s="229"/>
      <c r="F33" s="229"/>
      <c r="G33" s="229"/>
      <c r="H33" s="287">
        <f t="shared" si="0"/>
        <v>11</v>
      </c>
      <c r="I33" s="230"/>
      <c r="J33" s="229"/>
      <c r="K33" s="290">
        <f t="shared" si="1"/>
        <v>11</v>
      </c>
      <c r="L33" s="229"/>
      <c r="M33" s="229">
        <v>0</v>
      </c>
      <c r="N33" s="229"/>
      <c r="O33" s="231"/>
      <c r="P33" s="287"/>
      <c r="U33" s="748"/>
      <c r="V33" s="13"/>
      <c r="W33" s="492"/>
      <c r="X33" s="492"/>
      <c r="Y33" s="492"/>
      <c r="Z33" s="492"/>
      <c r="AA33" s="492"/>
      <c r="AB33" s="492"/>
      <c r="AC33" s="492"/>
      <c r="AD33" s="492"/>
      <c r="AE33" s="492"/>
      <c r="AF33" s="492"/>
      <c r="AG33" s="492"/>
      <c r="AH33" s="492"/>
      <c r="AI33" s="492"/>
      <c r="AJ33" s="13"/>
    </row>
    <row r="34" spans="2:36" x14ac:dyDescent="0.25">
      <c r="B34" s="741"/>
      <c r="C34" s="180" t="s">
        <v>107</v>
      </c>
      <c r="D34" s="232">
        <v>15</v>
      </c>
      <c r="E34" s="232"/>
      <c r="F34" s="232">
        <v>30</v>
      </c>
      <c r="G34" s="232"/>
      <c r="H34" s="287">
        <f t="shared" si="0"/>
        <v>45</v>
      </c>
      <c r="I34" s="233"/>
      <c r="J34" s="232"/>
      <c r="K34" s="290">
        <f t="shared" si="1"/>
        <v>45</v>
      </c>
      <c r="L34" s="232"/>
      <c r="M34" s="232">
        <v>0</v>
      </c>
      <c r="N34" s="232"/>
      <c r="O34" s="232">
        <v>0</v>
      </c>
      <c r="P34" s="287"/>
      <c r="U34" s="748"/>
      <c r="V34" s="13"/>
      <c r="W34" s="492"/>
      <c r="X34" s="492"/>
      <c r="Y34" s="492"/>
      <c r="Z34" s="492"/>
      <c r="AA34" s="492"/>
      <c r="AB34" s="492"/>
      <c r="AC34" s="492"/>
      <c r="AD34" s="492"/>
      <c r="AE34" s="492"/>
      <c r="AF34" s="492"/>
      <c r="AG34" s="492"/>
      <c r="AH34" s="492"/>
      <c r="AI34" s="492"/>
      <c r="AJ34" s="13"/>
    </row>
    <row r="35" spans="2:36" ht="15.75" thickBot="1" x14ac:dyDescent="0.3">
      <c r="B35" s="744"/>
      <c r="C35" s="181" t="s">
        <v>32</v>
      </c>
      <c r="D35" s="207">
        <f>+D34*$D$62</f>
        <v>68.965517241379303</v>
      </c>
      <c r="E35" s="207">
        <v>0</v>
      </c>
      <c r="F35" s="207">
        <f>+F34*$F$62</f>
        <v>1411.7647058823532</v>
      </c>
      <c r="G35" s="208">
        <f>+G34*$G$62</f>
        <v>0</v>
      </c>
      <c r="H35" s="288">
        <f>+D35+E35+F35+G35</f>
        <v>1480.7302231237325</v>
      </c>
      <c r="I35" s="208">
        <f>+I34*$I$62</f>
        <v>0</v>
      </c>
      <c r="J35" s="208">
        <f>+J34*$J$62</f>
        <v>0</v>
      </c>
      <c r="K35" s="291">
        <f t="shared" ref="K35:K50" si="2">+H35+I35+J35</f>
        <v>1480.7302231237325</v>
      </c>
      <c r="L35" s="207"/>
      <c r="M35" s="208">
        <f>+M34*$M$58</f>
        <v>0</v>
      </c>
      <c r="N35" s="207">
        <f>+N34*$N$58</f>
        <v>0</v>
      </c>
      <c r="O35" s="207">
        <f>+O34*$O$58</f>
        <v>0</v>
      </c>
      <c r="P35" s="288">
        <f>+K35+L35+M35+N35+O35</f>
        <v>1480.7302231237325</v>
      </c>
      <c r="R35">
        <v>2533.33</v>
      </c>
      <c r="S35" s="67">
        <f>+P35/R35</f>
        <v>0.58449954136402782</v>
      </c>
      <c r="T35" s="277"/>
      <c r="U35" s="748"/>
      <c r="V35" s="13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13"/>
    </row>
    <row r="36" spans="2:36" ht="15" customHeight="1" x14ac:dyDescent="0.25">
      <c r="B36" s="741" t="s">
        <v>156</v>
      </c>
      <c r="C36" s="462" t="s">
        <v>105</v>
      </c>
      <c r="D36" s="463">
        <v>0</v>
      </c>
      <c r="E36" s="463">
        <v>0</v>
      </c>
      <c r="F36" s="463">
        <v>0</v>
      </c>
      <c r="G36" s="463">
        <v>2</v>
      </c>
      <c r="H36" s="464">
        <f t="shared" si="0"/>
        <v>2</v>
      </c>
      <c r="I36" s="465">
        <v>3</v>
      </c>
      <c r="J36" s="463">
        <v>1</v>
      </c>
      <c r="K36" s="466">
        <f t="shared" si="2"/>
        <v>6</v>
      </c>
      <c r="L36" s="463"/>
      <c r="M36" s="463">
        <v>0</v>
      </c>
      <c r="N36" s="463">
        <v>1</v>
      </c>
      <c r="O36" s="463">
        <v>1</v>
      </c>
      <c r="P36" s="464"/>
      <c r="U36" s="748"/>
      <c r="V36" s="13"/>
      <c r="W36" s="492"/>
      <c r="X36" s="492"/>
      <c r="Y36" s="492"/>
      <c r="Z36" s="492"/>
      <c r="AA36" s="492"/>
      <c r="AB36" s="492"/>
      <c r="AC36" s="492"/>
      <c r="AD36" s="492"/>
      <c r="AE36" s="492"/>
      <c r="AF36" s="492"/>
      <c r="AG36" s="492"/>
      <c r="AH36" s="492"/>
      <c r="AI36" s="492"/>
      <c r="AJ36" s="13"/>
    </row>
    <row r="37" spans="2:36" x14ac:dyDescent="0.25">
      <c r="B37" s="741"/>
      <c r="C37" s="178" t="s">
        <v>106</v>
      </c>
      <c r="D37" s="226">
        <v>0</v>
      </c>
      <c r="E37" s="226">
        <v>0</v>
      </c>
      <c r="F37" s="226">
        <v>0</v>
      </c>
      <c r="G37" s="226">
        <v>27</v>
      </c>
      <c r="H37" s="287">
        <f t="shared" si="0"/>
        <v>27</v>
      </c>
      <c r="I37" s="227">
        <v>40</v>
      </c>
      <c r="J37" s="226">
        <v>17</v>
      </c>
      <c r="K37" s="290">
        <f t="shared" si="2"/>
        <v>84</v>
      </c>
      <c r="L37" s="226"/>
      <c r="M37" s="226"/>
      <c r="N37" s="226"/>
      <c r="O37" s="226"/>
      <c r="P37" s="287"/>
      <c r="U37" s="748"/>
      <c r="V37" s="13"/>
      <c r="W37" s="492"/>
      <c r="X37" s="492"/>
      <c r="Y37" s="492"/>
      <c r="Z37" s="492"/>
      <c r="AA37" s="492"/>
      <c r="AB37" s="492"/>
      <c r="AC37" s="492"/>
      <c r="AD37" s="492"/>
      <c r="AE37" s="492"/>
      <c r="AF37" s="492"/>
      <c r="AG37" s="492"/>
      <c r="AH37" s="492"/>
      <c r="AI37" s="492"/>
      <c r="AJ37" s="13"/>
    </row>
    <row r="38" spans="2:36" x14ac:dyDescent="0.25">
      <c r="B38" s="741"/>
      <c r="C38" s="179" t="s">
        <v>253</v>
      </c>
      <c r="D38" s="229">
        <v>0</v>
      </c>
      <c r="E38" s="229">
        <v>0</v>
      </c>
      <c r="F38" s="229">
        <v>0</v>
      </c>
      <c r="G38" s="229">
        <v>188.4</v>
      </c>
      <c r="H38" s="287">
        <v>188</v>
      </c>
      <c r="I38" s="230">
        <v>307.5</v>
      </c>
      <c r="J38" s="229">
        <v>68</v>
      </c>
      <c r="K38" s="290">
        <f t="shared" si="2"/>
        <v>563.5</v>
      </c>
      <c r="L38" s="229"/>
      <c r="M38" s="229"/>
      <c r="N38" s="229"/>
      <c r="O38" s="229"/>
      <c r="P38" s="287"/>
      <c r="U38" s="748"/>
      <c r="V38" s="13"/>
      <c r="W38" s="492"/>
      <c r="X38" s="492"/>
      <c r="Y38" s="492"/>
      <c r="Z38" s="492"/>
      <c r="AA38" s="492"/>
      <c r="AB38" s="492"/>
      <c r="AC38" s="492"/>
      <c r="AD38" s="492"/>
      <c r="AE38" s="492"/>
      <c r="AF38" s="492"/>
      <c r="AG38" s="492"/>
      <c r="AH38" s="492"/>
      <c r="AI38" s="492"/>
      <c r="AJ38" s="13"/>
    </row>
    <row r="39" spans="2:36" x14ac:dyDescent="0.25">
      <c r="B39" s="741"/>
      <c r="C39" s="180" t="s">
        <v>107</v>
      </c>
      <c r="D39" s="232">
        <v>0</v>
      </c>
      <c r="E39" s="232">
        <v>0</v>
      </c>
      <c r="F39" s="232">
        <v>0</v>
      </c>
      <c r="G39" s="232">
        <v>256</v>
      </c>
      <c r="H39" s="287">
        <v>292</v>
      </c>
      <c r="I39" s="233">
        <v>717.84</v>
      </c>
      <c r="J39" s="232">
        <v>80</v>
      </c>
      <c r="K39" s="290">
        <f t="shared" si="2"/>
        <v>1089.8400000000001</v>
      </c>
      <c r="L39" s="232"/>
      <c r="M39" s="232"/>
      <c r="N39" s="232">
        <v>154</v>
      </c>
      <c r="O39" s="232">
        <v>100</v>
      </c>
      <c r="P39" s="287"/>
      <c r="U39" s="748"/>
      <c r="V39" s="13"/>
      <c r="W39" s="492"/>
      <c r="X39" s="492"/>
      <c r="Y39" s="492"/>
      <c r="Z39" s="492"/>
      <c r="AA39" s="492"/>
      <c r="AB39" s="492"/>
      <c r="AC39" s="492"/>
      <c r="AD39" s="492"/>
      <c r="AE39" s="492"/>
      <c r="AF39" s="492"/>
      <c r="AG39" s="492"/>
      <c r="AH39" s="492"/>
      <c r="AI39" s="492"/>
      <c r="AJ39" s="13"/>
    </row>
    <row r="40" spans="2:36" ht="15.75" thickBot="1" x14ac:dyDescent="0.3">
      <c r="B40" s="744"/>
      <c r="C40" s="181" t="s">
        <v>32</v>
      </c>
      <c r="D40" s="207">
        <f>+D39*$D$62</f>
        <v>0</v>
      </c>
      <c r="E40" s="207">
        <v>0</v>
      </c>
      <c r="F40" s="207">
        <f>+F39*$F$62</f>
        <v>0</v>
      </c>
      <c r="G40" s="208">
        <f>+G39*$G$62</f>
        <v>4015.9496327387196</v>
      </c>
      <c r="H40" s="288">
        <f>+D40+E40+F40+G40</f>
        <v>4015.9496327387196</v>
      </c>
      <c r="I40" s="208">
        <f>+I39*$I$62</f>
        <v>3226.4275491949911</v>
      </c>
      <c r="J40" s="208">
        <f>+J39*$J$62</f>
        <v>517.64705882352939</v>
      </c>
      <c r="K40" s="291">
        <f t="shared" si="2"/>
        <v>7760.0242407572405</v>
      </c>
      <c r="L40" s="207"/>
      <c r="M40" s="208">
        <f>+M39*$M$58</f>
        <v>0</v>
      </c>
      <c r="N40" s="207">
        <f>+N39*$N$58</f>
        <v>1123.6051502145922</v>
      </c>
      <c r="O40" s="207">
        <f>+O39*$O$58</f>
        <v>85.106382978723403</v>
      </c>
      <c r="P40" s="288">
        <f>+K40+L40+M40+N40+O40</f>
        <v>8968.7357739505569</v>
      </c>
      <c r="R40" s="220">
        <v>11101.38</v>
      </c>
      <c r="S40" s="67">
        <f>+P40/R40</f>
        <v>0.80789377302196286</v>
      </c>
      <c r="T40" s="277"/>
      <c r="U40" s="748"/>
      <c r="V40" s="13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13"/>
    </row>
    <row r="41" spans="2:36" ht="15" customHeight="1" x14ac:dyDescent="0.25">
      <c r="B41" s="741" t="s">
        <v>157</v>
      </c>
      <c r="C41" s="462" t="s">
        <v>105</v>
      </c>
      <c r="D41" s="463"/>
      <c r="E41" s="463"/>
      <c r="F41" s="463"/>
      <c r="G41" s="463">
        <v>2</v>
      </c>
      <c r="H41" s="464">
        <f>+D41+E41+F41+G41</f>
        <v>2</v>
      </c>
      <c r="I41" s="465">
        <v>4</v>
      </c>
      <c r="J41" s="463">
        <v>1</v>
      </c>
      <c r="K41" s="466">
        <f t="shared" si="2"/>
        <v>7</v>
      </c>
      <c r="L41" s="463"/>
      <c r="M41" s="463">
        <v>1</v>
      </c>
      <c r="N41" s="463">
        <v>1</v>
      </c>
      <c r="O41" s="467">
        <v>1</v>
      </c>
      <c r="P41" s="464"/>
      <c r="U41" s="748"/>
      <c r="V41" s="13"/>
      <c r="W41" s="492"/>
      <c r="X41" s="492"/>
      <c r="Y41" s="492"/>
      <c r="Z41" s="492"/>
      <c r="AA41" s="492"/>
      <c r="AB41" s="492"/>
      <c r="AC41" s="492"/>
      <c r="AD41" s="492"/>
      <c r="AE41" s="492"/>
      <c r="AF41" s="492"/>
      <c r="AG41" s="492"/>
      <c r="AH41" s="492"/>
      <c r="AI41" s="492"/>
      <c r="AJ41" s="13"/>
    </row>
    <row r="42" spans="2:36" x14ac:dyDescent="0.25">
      <c r="B42" s="741"/>
      <c r="C42" s="178" t="s">
        <v>106</v>
      </c>
      <c r="D42" s="226"/>
      <c r="E42" s="226"/>
      <c r="F42" s="226"/>
      <c r="G42" s="226">
        <v>16</v>
      </c>
      <c r="H42" s="287">
        <f t="shared" si="0"/>
        <v>16</v>
      </c>
      <c r="I42" s="227">
        <v>16</v>
      </c>
      <c r="J42" s="226">
        <v>12</v>
      </c>
      <c r="K42" s="290">
        <f t="shared" si="2"/>
        <v>44</v>
      </c>
      <c r="L42" s="226"/>
      <c r="M42" s="226"/>
      <c r="N42" s="226"/>
      <c r="O42" s="228"/>
      <c r="P42" s="287"/>
      <c r="U42" s="748"/>
      <c r="V42" s="13"/>
      <c r="W42" s="492"/>
      <c r="X42" s="492"/>
      <c r="Y42" s="492"/>
      <c r="Z42" s="492"/>
      <c r="AA42" s="492"/>
      <c r="AB42" s="492"/>
      <c r="AC42" s="492"/>
      <c r="AD42" s="492"/>
      <c r="AE42" s="492"/>
      <c r="AF42" s="492"/>
      <c r="AG42" s="492"/>
      <c r="AH42" s="492"/>
      <c r="AI42" s="492"/>
      <c r="AJ42" s="13"/>
    </row>
    <row r="43" spans="2:36" x14ac:dyDescent="0.25">
      <c r="B43" s="741"/>
      <c r="C43" s="179" t="s">
        <v>253</v>
      </c>
      <c r="D43" s="229"/>
      <c r="E43" s="229"/>
      <c r="F43" s="229"/>
      <c r="G43" s="229">
        <v>99</v>
      </c>
      <c r="H43" s="287">
        <f t="shared" si="0"/>
        <v>99</v>
      </c>
      <c r="I43" s="230">
        <v>418</v>
      </c>
      <c r="J43" s="229">
        <v>41</v>
      </c>
      <c r="K43" s="290">
        <f t="shared" si="2"/>
        <v>558</v>
      </c>
      <c r="L43" s="229"/>
      <c r="M43" s="229"/>
      <c r="N43" s="229"/>
      <c r="O43" s="231"/>
      <c r="P43" s="287"/>
      <c r="U43" s="748"/>
      <c r="V43" s="13"/>
      <c r="W43" s="492"/>
      <c r="X43" s="492"/>
      <c r="Y43" s="492"/>
      <c r="Z43" s="492"/>
      <c r="AA43" s="492"/>
      <c r="AB43" s="492"/>
      <c r="AC43" s="492"/>
      <c r="AD43" s="492"/>
      <c r="AE43" s="492"/>
      <c r="AF43" s="492"/>
      <c r="AG43" s="492"/>
      <c r="AH43" s="492"/>
      <c r="AI43" s="492"/>
      <c r="AJ43" s="13"/>
    </row>
    <row r="44" spans="2:36" x14ac:dyDescent="0.25">
      <c r="B44" s="741"/>
      <c r="C44" s="180" t="s">
        <v>107</v>
      </c>
      <c r="D44" s="232"/>
      <c r="E44" s="232"/>
      <c r="F44" s="232"/>
      <c r="G44" s="232">
        <v>131</v>
      </c>
      <c r="H44" s="287">
        <f t="shared" si="0"/>
        <v>131</v>
      </c>
      <c r="I44" s="233">
        <v>1053</v>
      </c>
      <c r="J44" s="232">
        <v>52</v>
      </c>
      <c r="K44" s="290">
        <f t="shared" si="2"/>
        <v>1236</v>
      </c>
      <c r="L44" s="232"/>
      <c r="M44" s="232">
        <v>5</v>
      </c>
      <c r="N44" s="232">
        <v>109</v>
      </c>
      <c r="O44" s="232">
        <v>250</v>
      </c>
      <c r="P44" s="287"/>
      <c r="R44" s="277"/>
      <c r="U44" s="748"/>
      <c r="V44" s="13"/>
      <c r="W44" s="492"/>
      <c r="X44" s="492"/>
      <c r="Y44" s="492"/>
      <c r="Z44" s="492"/>
      <c r="AA44" s="492"/>
      <c r="AB44" s="492"/>
      <c r="AC44" s="492"/>
      <c r="AD44" s="492"/>
      <c r="AE44" s="492"/>
      <c r="AF44" s="492"/>
      <c r="AG44" s="492"/>
      <c r="AH44" s="492"/>
      <c r="AI44" s="492"/>
      <c r="AJ44" s="13"/>
    </row>
    <row r="45" spans="2:36" ht="15.75" thickBot="1" x14ac:dyDescent="0.3">
      <c r="B45" s="744"/>
      <c r="C45" s="181" t="s">
        <v>32</v>
      </c>
      <c r="D45" s="207">
        <f>+D44*$D$62</f>
        <v>0</v>
      </c>
      <c r="E45" s="207">
        <v>0</v>
      </c>
      <c r="F45" s="207">
        <f>+F44*$F$62</f>
        <v>0</v>
      </c>
      <c r="G45" s="208">
        <f>+G44*$G$62</f>
        <v>2055.0367261280167</v>
      </c>
      <c r="H45" s="288">
        <f t="shared" ref="H45:H50" si="3">+D45+E45+F45+G45</f>
        <v>2055.0367261280167</v>
      </c>
      <c r="I45" s="208">
        <f>+I44*$I$62</f>
        <v>4732.8488372093025</v>
      </c>
      <c r="J45" s="208">
        <f>+J44*$J$62</f>
        <v>336.47058823529414</v>
      </c>
      <c r="K45" s="291">
        <f>+H45+I45+J45</f>
        <v>7124.3561515726124</v>
      </c>
      <c r="L45" s="207"/>
      <c r="M45" s="208">
        <f>+M44*$M$58</f>
        <v>56.25</v>
      </c>
      <c r="N45" s="207">
        <f>+N44*$N$58</f>
        <v>795.27896995708159</v>
      </c>
      <c r="O45" s="207">
        <f>+O44*$O$58</f>
        <v>212.7659574468085</v>
      </c>
      <c r="P45" s="288">
        <f>+K45+L45+M45+N45+O45</f>
        <v>8188.6510789765025</v>
      </c>
      <c r="Q45" s="277"/>
      <c r="R45" s="277">
        <v>12352.04</v>
      </c>
      <c r="S45" s="67">
        <f>+P45/R45</f>
        <v>0.66293916462191682</v>
      </c>
      <c r="T45" s="277"/>
      <c r="U45" s="748"/>
      <c r="V45" s="13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13"/>
    </row>
    <row r="46" spans="2:36" x14ac:dyDescent="0.25">
      <c r="B46" s="646"/>
      <c r="C46" s="462" t="s">
        <v>105</v>
      </c>
      <c r="D46" s="463">
        <v>0</v>
      </c>
      <c r="E46" s="463">
        <v>0</v>
      </c>
      <c r="F46" s="463">
        <v>0</v>
      </c>
      <c r="G46" s="463">
        <v>0</v>
      </c>
      <c r="H46" s="464">
        <f t="shared" si="3"/>
        <v>0</v>
      </c>
      <c r="I46" s="465">
        <v>0</v>
      </c>
      <c r="J46" s="463">
        <v>1</v>
      </c>
      <c r="K46" s="466">
        <f t="shared" si="2"/>
        <v>1</v>
      </c>
      <c r="L46" s="463"/>
      <c r="M46" s="463">
        <v>0</v>
      </c>
      <c r="N46" s="463">
        <v>0</v>
      </c>
      <c r="O46" s="467">
        <v>0</v>
      </c>
      <c r="P46" s="464"/>
      <c r="Q46" s="277"/>
      <c r="S46" s="10"/>
      <c r="T46" s="277"/>
      <c r="U46" s="494"/>
      <c r="V46" s="13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13"/>
    </row>
    <row r="47" spans="2:36" x14ac:dyDescent="0.25">
      <c r="B47" s="741" t="s">
        <v>249</v>
      </c>
      <c r="C47" s="178" t="s">
        <v>106</v>
      </c>
      <c r="D47" s="226"/>
      <c r="E47" s="226"/>
      <c r="F47" s="226"/>
      <c r="G47" s="226"/>
      <c r="H47" s="287">
        <f t="shared" si="3"/>
        <v>0</v>
      </c>
      <c r="I47" s="227"/>
      <c r="J47" s="226">
        <v>16</v>
      </c>
      <c r="K47" s="290">
        <f t="shared" si="2"/>
        <v>16</v>
      </c>
      <c r="L47" s="226"/>
      <c r="M47" s="226"/>
      <c r="N47" s="226"/>
      <c r="O47" s="228"/>
      <c r="P47" s="287"/>
      <c r="Q47" s="277"/>
      <c r="S47" s="10"/>
      <c r="T47" s="277"/>
      <c r="U47" s="494"/>
      <c r="V47" s="13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13"/>
    </row>
    <row r="48" spans="2:36" x14ac:dyDescent="0.25">
      <c r="B48" s="741"/>
      <c r="C48" s="179" t="s">
        <v>253</v>
      </c>
      <c r="D48" s="229"/>
      <c r="E48" s="229"/>
      <c r="F48" s="229"/>
      <c r="G48" s="229"/>
      <c r="H48" s="287">
        <f t="shared" si="3"/>
        <v>0</v>
      </c>
      <c r="I48" s="230"/>
      <c r="J48" s="229">
        <v>56</v>
      </c>
      <c r="K48" s="290">
        <v>56</v>
      </c>
      <c r="L48" s="229"/>
      <c r="M48" s="229"/>
      <c r="N48" s="229"/>
      <c r="O48" s="231"/>
      <c r="P48" s="287"/>
      <c r="Q48" s="277"/>
      <c r="S48" s="10"/>
      <c r="T48" s="277"/>
      <c r="U48" s="494"/>
      <c r="V48" s="13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13"/>
    </row>
    <row r="49" spans="1:36" x14ac:dyDescent="0.25">
      <c r="B49" s="741"/>
      <c r="C49" s="180" t="s">
        <v>107</v>
      </c>
      <c r="D49" s="232"/>
      <c r="E49" s="232"/>
      <c r="F49" s="232"/>
      <c r="G49" s="232"/>
      <c r="H49" s="287">
        <f t="shared" si="3"/>
        <v>0</v>
      </c>
      <c r="I49" s="233"/>
      <c r="J49" s="232">
        <v>64.400000000000006</v>
      </c>
      <c r="K49" s="290">
        <v>64.400000000000006</v>
      </c>
      <c r="L49" s="232"/>
      <c r="M49" s="232"/>
      <c r="N49" s="232">
        <v>0</v>
      </c>
      <c r="O49" s="232"/>
      <c r="P49" s="287"/>
      <c r="Q49" s="277"/>
      <c r="S49" s="10"/>
      <c r="T49" s="277"/>
      <c r="U49" s="494"/>
      <c r="V49" s="13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13"/>
    </row>
    <row r="50" spans="1:36" ht="15.75" thickBot="1" x14ac:dyDescent="0.3">
      <c r="B50" s="646"/>
      <c r="C50" s="181" t="s">
        <v>32</v>
      </c>
      <c r="D50" s="207">
        <f>+D49*$D$62</f>
        <v>0</v>
      </c>
      <c r="E50" s="460">
        <f>+E49*$E$58</f>
        <v>0</v>
      </c>
      <c r="F50" s="207">
        <f>+F49*$F$62</f>
        <v>0</v>
      </c>
      <c r="G50" s="208">
        <f>+G49*$G$62</f>
        <v>0</v>
      </c>
      <c r="H50" s="288">
        <f t="shared" si="3"/>
        <v>0</v>
      </c>
      <c r="I50" s="208">
        <f>+I49*$I$62</f>
        <v>0</v>
      </c>
      <c r="J50" s="208">
        <f>+J49*$J$62</f>
        <v>416.70588235294122</v>
      </c>
      <c r="K50" s="291">
        <f t="shared" si="2"/>
        <v>416.70588235294122</v>
      </c>
      <c r="L50" s="207"/>
      <c r="M50" s="208">
        <f>+M49*$M$58</f>
        <v>0</v>
      </c>
      <c r="N50" s="207">
        <f>+N49*$N$58</f>
        <v>0</v>
      </c>
      <c r="O50" s="207">
        <f>+O49*$O$58</f>
        <v>0</v>
      </c>
      <c r="P50" s="288">
        <f>+K50+L50+M50+N50+O50</f>
        <v>416.70588235294122</v>
      </c>
      <c r="Q50" s="277"/>
      <c r="R50">
        <v>631.45000000000005</v>
      </c>
      <c r="S50" s="67">
        <f>+P50/R50</f>
        <v>0.6599190471976264</v>
      </c>
      <c r="T50" s="277"/>
      <c r="U50" s="494"/>
      <c r="V50" s="13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13"/>
    </row>
    <row r="51" spans="1:36" ht="15" customHeight="1" thickBot="1" x14ac:dyDescent="0.3">
      <c r="B51" s="745" t="s">
        <v>12</v>
      </c>
      <c r="C51" s="177" t="s">
        <v>105</v>
      </c>
      <c r="D51" s="223">
        <f>+D16+D21+D26+D31+D36+D41+D46</f>
        <v>5</v>
      </c>
      <c r="E51" s="223">
        <f t="shared" ref="E51:G51" si="4">+E16+E21+E26+E31+E36+E41+E46</f>
        <v>0</v>
      </c>
      <c r="F51" s="223">
        <f t="shared" si="4"/>
        <v>6</v>
      </c>
      <c r="G51" s="223">
        <f t="shared" si="4"/>
        <v>7</v>
      </c>
      <c r="H51" s="286">
        <f>+H16+H21+H26+H31+H36+H41</f>
        <v>18</v>
      </c>
      <c r="I51" s="223">
        <f t="shared" ref="I51:J51" si="5">+I16+I21+I26+I31+I36+I41+I46</f>
        <v>11</v>
      </c>
      <c r="J51" s="223">
        <f t="shared" si="5"/>
        <v>5</v>
      </c>
      <c r="K51" s="289">
        <f>+I51+J51</f>
        <v>16</v>
      </c>
      <c r="L51" s="223">
        <f t="shared" ref="L51:O51" si="6">+L16+L21+L26+L31+L36+L41+L46</f>
        <v>1</v>
      </c>
      <c r="M51" s="223">
        <f t="shared" si="6"/>
        <v>7</v>
      </c>
      <c r="N51" s="223">
        <f t="shared" si="6"/>
        <v>5</v>
      </c>
      <c r="O51" s="223">
        <f t="shared" si="6"/>
        <v>4</v>
      </c>
      <c r="P51" s="286"/>
      <c r="R51" s="296"/>
      <c r="U51" s="752"/>
      <c r="V51" s="13"/>
      <c r="W51" s="492"/>
      <c r="X51" s="492"/>
      <c r="Y51" s="492"/>
      <c r="Z51" s="492"/>
      <c r="AA51" s="492"/>
      <c r="AB51" s="492"/>
      <c r="AC51" s="492"/>
      <c r="AD51" s="492"/>
      <c r="AE51" s="492"/>
      <c r="AF51" s="492"/>
      <c r="AG51" s="492"/>
      <c r="AH51" s="492"/>
      <c r="AI51" s="492"/>
      <c r="AJ51" s="13"/>
    </row>
    <row r="52" spans="1:36" ht="15.75" thickBot="1" x14ac:dyDescent="0.3">
      <c r="B52" s="746"/>
      <c r="C52" s="178" t="s">
        <v>106</v>
      </c>
      <c r="D52" s="223">
        <f t="shared" ref="D52:G55" si="7">+D17+D22+D27+D32+D37+D42+D47</f>
        <v>50</v>
      </c>
      <c r="E52" s="223">
        <f t="shared" si="7"/>
        <v>0</v>
      </c>
      <c r="F52" s="223">
        <f t="shared" si="7"/>
        <v>0</v>
      </c>
      <c r="G52" s="223">
        <f t="shared" si="7"/>
        <v>62</v>
      </c>
      <c r="H52" s="286">
        <f t="shared" ref="H52:H54" si="8">+H17+H22+H27+H32+H37+H42</f>
        <v>112</v>
      </c>
      <c r="I52" s="223">
        <f t="shared" ref="I52:J52" si="9">+I17+I22+I27+I32+I37+I42+I47</f>
        <v>73</v>
      </c>
      <c r="J52" s="223">
        <f t="shared" si="9"/>
        <v>96</v>
      </c>
      <c r="K52" s="289">
        <f t="shared" ref="K52:K54" si="10">+I52+J52</f>
        <v>169</v>
      </c>
      <c r="L52" s="223">
        <f t="shared" ref="L52:O52" si="11">+L17+L22+L27+L32+L37+L42+L47</f>
        <v>0</v>
      </c>
      <c r="M52" s="223">
        <f t="shared" si="11"/>
        <v>0</v>
      </c>
      <c r="N52" s="223">
        <f t="shared" si="11"/>
        <v>0</v>
      </c>
      <c r="O52" s="223">
        <f t="shared" si="11"/>
        <v>0</v>
      </c>
      <c r="P52" s="287"/>
      <c r="U52" s="752"/>
      <c r="V52" s="13"/>
      <c r="W52" s="492"/>
      <c r="X52" s="492"/>
      <c r="Y52" s="492"/>
      <c r="Z52" s="492"/>
      <c r="AA52" s="492"/>
      <c r="AB52" s="492"/>
      <c r="AC52" s="492"/>
      <c r="AD52" s="492"/>
      <c r="AE52" s="492"/>
      <c r="AF52" s="492"/>
      <c r="AG52" s="492"/>
      <c r="AH52" s="492"/>
      <c r="AI52" s="492"/>
      <c r="AJ52" s="13"/>
    </row>
    <row r="53" spans="1:36" ht="15.75" thickBot="1" x14ac:dyDescent="0.3">
      <c r="B53" s="746"/>
      <c r="C53" s="179" t="s">
        <v>253</v>
      </c>
      <c r="D53" s="223">
        <f t="shared" si="7"/>
        <v>59</v>
      </c>
      <c r="E53" s="223">
        <f t="shared" si="7"/>
        <v>0</v>
      </c>
      <c r="F53" s="223">
        <f t="shared" si="7"/>
        <v>0</v>
      </c>
      <c r="G53" s="223">
        <f t="shared" si="7"/>
        <v>383.4</v>
      </c>
      <c r="H53" s="286">
        <f t="shared" si="8"/>
        <v>442</v>
      </c>
      <c r="I53" s="223">
        <f t="shared" ref="I53:J53" si="12">+I18+I23+I28+I33+I38+I43+I48</f>
        <v>1287.25</v>
      </c>
      <c r="J53" s="223">
        <f t="shared" si="12"/>
        <v>338.45</v>
      </c>
      <c r="K53" s="289">
        <f t="shared" si="10"/>
        <v>1625.7</v>
      </c>
      <c r="L53" s="223">
        <f t="shared" ref="L53:O53" si="13">+L18+L23+L28+L33+L38+L43+L48</f>
        <v>0</v>
      </c>
      <c r="M53" s="223">
        <f t="shared" si="13"/>
        <v>0</v>
      </c>
      <c r="N53" s="223">
        <f t="shared" si="13"/>
        <v>0</v>
      </c>
      <c r="O53" s="223">
        <f t="shared" si="13"/>
        <v>0</v>
      </c>
      <c r="P53" s="287"/>
      <c r="U53" s="752"/>
      <c r="V53" s="13"/>
      <c r="W53" s="492"/>
      <c r="X53" s="492"/>
      <c r="Y53" s="492"/>
      <c r="Z53" s="492"/>
      <c r="AA53" s="492"/>
      <c r="AB53" s="492"/>
      <c r="AC53" s="492"/>
      <c r="AD53" s="492"/>
      <c r="AE53" s="492"/>
      <c r="AF53" s="492"/>
      <c r="AG53" s="492"/>
      <c r="AH53" s="492"/>
      <c r="AI53" s="492"/>
      <c r="AJ53" s="13"/>
    </row>
    <row r="54" spans="1:36" ht="15.75" thickBot="1" x14ac:dyDescent="0.3">
      <c r="B54" s="746"/>
      <c r="C54" s="180" t="s">
        <v>107</v>
      </c>
      <c r="D54" s="223">
        <f t="shared" si="7"/>
        <v>76</v>
      </c>
      <c r="E54" s="223">
        <f t="shared" si="7"/>
        <v>0</v>
      </c>
      <c r="F54" s="223">
        <f t="shared" si="7"/>
        <v>30</v>
      </c>
      <c r="G54" s="223">
        <f t="shared" si="7"/>
        <v>565</v>
      </c>
      <c r="H54" s="286">
        <f t="shared" si="8"/>
        <v>707</v>
      </c>
      <c r="I54" s="223">
        <f t="shared" ref="I54:J54" si="14">+I19+I24+I29+I34+I39+I44+I49</f>
        <v>3899.84</v>
      </c>
      <c r="J54" s="223">
        <f t="shared" si="14"/>
        <v>361.95000000000005</v>
      </c>
      <c r="K54" s="289">
        <f t="shared" si="10"/>
        <v>4261.79</v>
      </c>
      <c r="L54" s="223">
        <f t="shared" ref="L54:O54" si="15">+L19+L24+L29+L34+L39+L44+L49</f>
        <v>0</v>
      </c>
      <c r="M54" s="223">
        <f t="shared" si="15"/>
        <v>80</v>
      </c>
      <c r="N54" s="223">
        <f t="shared" si="15"/>
        <v>466</v>
      </c>
      <c r="O54" s="223">
        <f t="shared" si="15"/>
        <v>1175</v>
      </c>
      <c r="P54" s="287"/>
      <c r="U54" s="752"/>
      <c r="V54" s="13"/>
      <c r="W54" s="492"/>
      <c r="X54" s="492"/>
      <c r="Y54" s="492"/>
      <c r="Z54" s="492"/>
      <c r="AA54" s="492"/>
      <c r="AB54" s="492"/>
      <c r="AC54" s="492"/>
      <c r="AD54" s="492"/>
      <c r="AE54" s="492"/>
      <c r="AF54" s="492"/>
      <c r="AG54" s="492"/>
      <c r="AH54" s="492"/>
      <c r="AI54" s="492"/>
      <c r="AJ54" s="13"/>
    </row>
    <row r="55" spans="1:36" ht="15.75" thickBot="1" x14ac:dyDescent="0.3">
      <c r="B55" s="747"/>
      <c r="C55" s="181" t="s">
        <v>32</v>
      </c>
      <c r="D55" s="223">
        <f t="shared" si="7"/>
        <v>349.4252873563218</v>
      </c>
      <c r="E55" s="223">
        <f t="shared" si="7"/>
        <v>0</v>
      </c>
      <c r="F55" s="223">
        <f t="shared" si="7"/>
        <v>1411.7647058823532</v>
      </c>
      <c r="G55" s="223">
        <f t="shared" si="7"/>
        <v>8863.3263378803767</v>
      </c>
      <c r="H55" s="288">
        <f>+G55+D55+E55+F55</f>
        <v>10624.516331119052</v>
      </c>
      <c r="I55" s="223">
        <f t="shared" ref="I55:J55" si="16">+I20+I25+I30+I35+I40+I45+I50</f>
        <v>17528.350626118066</v>
      </c>
      <c r="J55" s="223">
        <f t="shared" si="16"/>
        <v>2342.0294117647063</v>
      </c>
      <c r="K55" s="291">
        <f>+I55+J55</f>
        <v>19870.380037882773</v>
      </c>
      <c r="L55" s="223">
        <f t="shared" ref="L55:O55" si="17">+L20+L25+L30+L35+L40+L45+L50</f>
        <v>200</v>
      </c>
      <c r="M55" s="223">
        <f t="shared" si="17"/>
        <v>900</v>
      </c>
      <c r="N55" s="223">
        <f t="shared" si="17"/>
        <v>3400.0000000000005</v>
      </c>
      <c r="O55" s="223">
        <f t="shared" si="17"/>
        <v>1000</v>
      </c>
      <c r="P55" s="288">
        <f>+H55+K55+L55+M55+N55+O55</f>
        <v>35994.896369001828</v>
      </c>
      <c r="Q55" s="277"/>
      <c r="R55" s="296"/>
      <c r="S55" s="67"/>
      <c r="U55" s="752"/>
      <c r="V55" s="13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13"/>
    </row>
    <row r="56" spans="1:36" x14ac:dyDescent="0.25"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</row>
    <row r="57" spans="1:36" x14ac:dyDescent="0.25">
      <c r="B57" s="671" t="s">
        <v>341</v>
      </c>
      <c r="C57" s="671"/>
      <c r="D57">
        <v>800</v>
      </c>
      <c r="E57">
        <v>1600</v>
      </c>
      <c r="F57">
        <v>2400</v>
      </c>
      <c r="G57">
        <v>13350</v>
      </c>
      <c r="H57">
        <f>SUM(D57:G57)</f>
        <v>18150</v>
      </c>
      <c r="I57">
        <v>20100</v>
      </c>
      <c r="J57">
        <v>2750</v>
      </c>
      <c r="L57">
        <v>200</v>
      </c>
      <c r="M57">
        <v>900</v>
      </c>
      <c r="N57">
        <v>3400</v>
      </c>
      <c r="O57">
        <v>1000</v>
      </c>
      <c r="P57" s="185">
        <f>SUM(D57:O57)-H57</f>
        <v>46500</v>
      </c>
      <c r="U57" s="721"/>
      <c r="V57" s="721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221"/>
      <c r="AJ57" s="13"/>
    </row>
    <row r="58" spans="1:36" x14ac:dyDescent="0.25">
      <c r="B58" s="671" t="s">
        <v>349</v>
      </c>
      <c r="C58" s="671"/>
      <c r="D58">
        <f>+D57/D54</f>
        <v>10.526315789473685</v>
      </c>
      <c r="E58">
        <v>0</v>
      </c>
      <c r="F58">
        <f>+F57/F54</f>
        <v>80</v>
      </c>
      <c r="G58">
        <f>+G57/G54</f>
        <v>23.628318584070797</v>
      </c>
      <c r="I58" s="377">
        <f>+I57/I54</f>
        <v>5.1540576023631735</v>
      </c>
      <c r="J58">
        <f>+J57/J54</f>
        <v>7.5977344937146007</v>
      </c>
      <c r="M58" s="36">
        <f>+M57/M54</f>
        <v>11.25</v>
      </c>
      <c r="N58" s="36">
        <f>+N57/N54</f>
        <v>7.296137339055794</v>
      </c>
      <c r="O58" s="36">
        <f>+O57/O54</f>
        <v>0.85106382978723405</v>
      </c>
      <c r="U58" s="721"/>
      <c r="V58" s="721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</row>
    <row r="59" spans="1:36" x14ac:dyDescent="0.25"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</row>
    <row r="60" spans="1:36" x14ac:dyDescent="0.25">
      <c r="P60" s="324"/>
      <c r="AI60" s="324"/>
    </row>
    <row r="61" spans="1:36" x14ac:dyDescent="0.25"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</row>
    <row r="62" spans="1:36" x14ac:dyDescent="0.25">
      <c r="A62" s="559"/>
      <c r="B62" s="671" t="s">
        <v>339</v>
      </c>
      <c r="C62" s="671"/>
      <c r="D62" s="36">
        <v>4.5977011494252871</v>
      </c>
      <c r="E62">
        <v>0</v>
      </c>
      <c r="F62" s="36">
        <v>47.058823529411768</v>
      </c>
      <c r="G62" s="36">
        <v>15.687303252885624</v>
      </c>
      <c r="I62" s="36">
        <v>4.494633273703041</v>
      </c>
      <c r="J62" s="36">
        <v>6.4705882352941178</v>
      </c>
      <c r="M62">
        <v>15</v>
      </c>
      <c r="N62" s="377">
        <v>5.5105348460291737</v>
      </c>
      <c r="O62">
        <v>1.2121212121212122</v>
      </c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</row>
    <row r="63" spans="1:36" x14ac:dyDescent="0.25">
      <c r="A63" s="689"/>
      <c r="B63" s="689"/>
      <c r="C63" s="689"/>
      <c r="F63" s="12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</row>
    <row r="64" spans="1:36" x14ac:dyDescent="0.25">
      <c r="F64" s="12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</row>
    <row r="65" spans="1:34" x14ac:dyDescent="0.25">
      <c r="B65" t="s">
        <v>350</v>
      </c>
      <c r="D65" s="67">
        <f>+D55/D57</f>
        <v>0.43678160919540227</v>
      </c>
      <c r="E65" s="67">
        <f t="shared" ref="E65:O65" si="18">+E55/E57</f>
        <v>0</v>
      </c>
      <c r="F65" s="67">
        <f t="shared" si="18"/>
        <v>0.58823529411764719</v>
      </c>
      <c r="G65" s="67">
        <f t="shared" si="18"/>
        <v>0.66391957587118922</v>
      </c>
      <c r="H65" s="67"/>
      <c r="I65" s="67">
        <f t="shared" si="18"/>
        <v>0.87205724508050086</v>
      </c>
      <c r="J65" s="67">
        <f t="shared" si="18"/>
        <v>0.85164705882352953</v>
      </c>
      <c r="K65" s="67"/>
      <c r="L65" s="67">
        <f t="shared" si="18"/>
        <v>1</v>
      </c>
      <c r="M65" s="67">
        <f t="shared" si="18"/>
        <v>1</v>
      </c>
      <c r="N65" s="67">
        <f t="shared" si="18"/>
        <v>1.0000000000000002</v>
      </c>
      <c r="O65" s="67">
        <f t="shared" si="18"/>
        <v>1</v>
      </c>
      <c r="P65" s="67">
        <f>+P55/P57</f>
        <v>0.77408379288175977</v>
      </c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</row>
    <row r="66" spans="1:34" x14ac:dyDescent="0.25">
      <c r="A66" s="689"/>
      <c r="B66" s="689"/>
      <c r="C66" s="689"/>
      <c r="D66" s="237"/>
      <c r="E66" s="36"/>
      <c r="F66" s="237"/>
      <c r="G66" s="237"/>
      <c r="H66" s="36"/>
      <c r="I66" s="237"/>
      <c r="J66" s="237"/>
      <c r="K66" s="36"/>
      <c r="W66" s="237"/>
      <c r="X66" s="36"/>
      <c r="Y66" s="36"/>
      <c r="Z66" s="237"/>
      <c r="AA66" s="237"/>
      <c r="AB66" s="237"/>
    </row>
    <row r="67" spans="1:34" x14ac:dyDescent="0.25">
      <c r="A67" s="689"/>
      <c r="B67" s="689"/>
      <c r="C67" s="689"/>
      <c r="F67" s="12"/>
    </row>
    <row r="69" spans="1:34" x14ac:dyDescent="0.25">
      <c r="A69" s="689"/>
      <c r="B69" s="689"/>
      <c r="C69" s="689"/>
    </row>
  </sheetData>
  <mergeCells count="28">
    <mergeCell ref="A69:C69"/>
    <mergeCell ref="A63:C63"/>
    <mergeCell ref="A66:C66"/>
    <mergeCell ref="A67:C67"/>
    <mergeCell ref="B62:C62"/>
    <mergeCell ref="U57:V57"/>
    <mergeCell ref="U58:V58"/>
    <mergeCell ref="U26:U30"/>
    <mergeCell ref="U31:U35"/>
    <mergeCell ref="U36:U40"/>
    <mergeCell ref="U41:U45"/>
    <mergeCell ref="U51:U55"/>
    <mergeCell ref="U16:U20"/>
    <mergeCell ref="U21:U25"/>
    <mergeCell ref="B2:P2"/>
    <mergeCell ref="U2:AI2"/>
    <mergeCell ref="W13:AD13"/>
    <mergeCell ref="B58:C58"/>
    <mergeCell ref="B57:C57"/>
    <mergeCell ref="D13:K13"/>
    <mergeCell ref="B16:B20"/>
    <mergeCell ref="B21:B25"/>
    <mergeCell ref="B26:B30"/>
    <mergeCell ref="B36:B40"/>
    <mergeCell ref="B41:B45"/>
    <mergeCell ref="B31:B35"/>
    <mergeCell ref="B51:B55"/>
    <mergeCell ref="B47:B49"/>
  </mergeCells>
  <pageMargins left="0.7" right="0.7" top="0.75" bottom="0.75" header="0.3" footer="0.3"/>
  <pageSetup paperSize="9" scale="61" fitToHeight="0" orientation="landscape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C1:V18"/>
  <sheetViews>
    <sheetView workbookViewId="0">
      <selection activeCell="D1" sqref="D1:K17"/>
    </sheetView>
  </sheetViews>
  <sheetFormatPr defaultRowHeight="15" x14ac:dyDescent="0.25"/>
  <cols>
    <col min="4" max="4" width="21.28515625" bestFit="1" customWidth="1"/>
    <col min="5" max="5" width="11.28515625" bestFit="1" customWidth="1"/>
    <col min="6" max="6" width="11.28515625" customWidth="1"/>
  </cols>
  <sheetData>
    <row r="1" spans="3:22" ht="15.75" x14ac:dyDescent="0.25">
      <c r="C1" s="37"/>
      <c r="D1" s="760"/>
      <c r="E1" s="760"/>
      <c r="F1" s="760"/>
      <c r="G1" s="760"/>
      <c r="H1" s="760" t="s">
        <v>0</v>
      </c>
      <c r="I1" s="760"/>
      <c r="J1" s="760"/>
      <c r="K1" s="2"/>
      <c r="L1" s="710"/>
      <c r="M1" s="710"/>
      <c r="N1" s="710"/>
      <c r="O1" s="710"/>
      <c r="P1" s="37"/>
    </row>
    <row r="2" spans="3:22" ht="15.75" x14ac:dyDescent="0.25">
      <c r="C2" s="37"/>
      <c r="D2" s="352"/>
      <c r="E2" s="352" t="s">
        <v>51</v>
      </c>
      <c r="F2" s="352" t="s">
        <v>52</v>
      </c>
      <c r="G2" s="352" t="s">
        <v>202</v>
      </c>
      <c r="H2" s="353" t="s">
        <v>191</v>
      </c>
      <c r="I2" s="352" t="s">
        <v>197</v>
      </c>
      <c r="J2" s="352" t="s">
        <v>192</v>
      </c>
      <c r="K2" s="37"/>
      <c r="L2" s="37"/>
      <c r="M2" s="37"/>
      <c r="N2" s="37"/>
      <c r="O2" s="37"/>
      <c r="P2" s="37"/>
    </row>
    <row r="3" spans="3:22" ht="15.75" x14ac:dyDescent="0.25">
      <c r="C3" s="37"/>
      <c r="D3" s="761" t="s">
        <v>217</v>
      </c>
      <c r="E3" s="352" t="s">
        <v>195</v>
      </c>
      <c r="F3" s="352" t="s">
        <v>196</v>
      </c>
      <c r="G3" s="352" t="s">
        <v>205</v>
      </c>
      <c r="H3" s="353" t="s">
        <v>199</v>
      </c>
      <c r="I3" s="353" t="s">
        <v>198</v>
      </c>
      <c r="J3" s="353" t="s">
        <v>199</v>
      </c>
      <c r="K3" s="37"/>
      <c r="L3" s="37"/>
      <c r="M3" s="37"/>
      <c r="N3" s="37"/>
      <c r="O3" s="37"/>
      <c r="P3" s="37"/>
    </row>
    <row r="4" spans="3:22" ht="15.75" x14ac:dyDescent="0.25">
      <c r="C4" s="37"/>
      <c r="D4" s="762"/>
      <c r="E4" s="354" t="s">
        <v>200</v>
      </c>
      <c r="F4" s="354" t="s">
        <v>201</v>
      </c>
      <c r="G4" s="354" t="s">
        <v>259</v>
      </c>
      <c r="H4" s="355" t="s">
        <v>198</v>
      </c>
      <c r="I4" s="355" t="s">
        <v>198</v>
      </c>
      <c r="J4" s="355" t="s">
        <v>199</v>
      </c>
      <c r="K4" s="37"/>
      <c r="L4" s="37"/>
      <c r="M4" s="37"/>
      <c r="N4" s="37"/>
      <c r="O4" s="37"/>
      <c r="P4" s="37"/>
    </row>
    <row r="5" spans="3:22" ht="16.5" thickBot="1" x14ac:dyDescent="0.3">
      <c r="C5" s="37"/>
      <c r="D5" s="762"/>
      <c r="E5" s="632" t="s">
        <v>342</v>
      </c>
      <c r="F5" s="632" t="s">
        <v>343</v>
      </c>
      <c r="G5" s="632" t="s">
        <v>203</v>
      </c>
      <c r="H5" s="632" t="s">
        <v>199</v>
      </c>
      <c r="I5" s="632" t="s">
        <v>199</v>
      </c>
      <c r="J5" s="632" t="s">
        <v>198</v>
      </c>
      <c r="K5" s="37"/>
      <c r="L5" s="37"/>
      <c r="M5" s="13"/>
      <c r="N5" s="37"/>
      <c r="O5" s="37"/>
      <c r="P5" s="37"/>
    </row>
    <row r="6" spans="3:22" ht="15.75" x14ac:dyDescent="0.25">
      <c r="C6" s="37"/>
      <c r="D6" s="755" t="s">
        <v>216</v>
      </c>
      <c r="E6" s="356" t="s">
        <v>254</v>
      </c>
      <c r="F6" s="356" t="s">
        <v>255</v>
      </c>
      <c r="G6" s="356" t="s">
        <v>203</v>
      </c>
      <c r="H6" s="356" t="s">
        <v>198</v>
      </c>
      <c r="I6" s="356" t="s">
        <v>198</v>
      </c>
      <c r="J6" s="357" t="s">
        <v>198</v>
      </c>
      <c r="K6" s="37"/>
      <c r="L6" s="37"/>
      <c r="M6" s="37"/>
      <c r="N6" s="37"/>
      <c r="O6" s="37"/>
      <c r="P6" s="37"/>
    </row>
    <row r="7" spans="3:22" ht="15.75" x14ac:dyDescent="0.25">
      <c r="C7" s="37"/>
      <c r="D7" s="756"/>
      <c r="E7" s="353" t="s">
        <v>204</v>
      </c>
      <c r="F7" s="353" t="s">
        <v>344</v>
      </c>
      <c r="G7" s="353" t="s">
        <v>205</v>
      </c>
      <c r="H7" s="353" t="s">
        <v>199</v>
      </c>
      <c r="I7" s="353" t="s">
        <v>198</v>
      </c>
      <c r="J7" s="358" t="s">
        <v>199</v>
      </c>
      <c r="K7" s="37"/>
      <c r="L7" s="37"/>
      <c r="M7" s="37"/>
      <c r="N7" s="37"/>
      <c r="O7" s="37"/>
      <c r="P7" s="37"/>
    </row>
    <row r="8" spans="3:22" ht="15.75" x14ac:dyDescent="0.25">
      <c r="C8" s="37"/>
      <c r="D8" s="757"/>
      <c r="E8" s="355" t="s">
        <v>356</v>
      </c>
      <c r="F8" s="355" t="s">
        <v>357</v>
      </c>
      <c r="G8" s="355" t="s">
        <v>358</v>
      </c>
      <c r="H8" s="355" t="s">
        <v>198</v>
      </c>
      <c r="I8" s="355" t="s">
        <v>198</v>
      </c>
      <c r="J8" s="370" t="s">
        <v>199</v>
      </c>
      <c r="K8" s="37"/>
      <c r="L8" s="37"/>
      <c r="M8" s="37"/>
      <c r="N8" s="37"/>
      <c r="O8" s="37"/>
      <c r="P8" s="37"/>
    </row>
    <row r="9" spans="3:22" ht="16.5" thickBot="1" x14ac:dyDescent="0.3">
      <c r="C9" s="37"/>
      <c r="D9" s="758"/>
      <c r="E9" s="365" t="s">
        <v>206</v>
      </c>
      <c r="F9" s="366" t="s">
        <v>207</v>
      </c>
      <c r="G9" s="364" t="s">
        <v>208</v>
      </c>
      <c r="H9" s="364" t="s">
        <v>199</v>
      </c>
      <c r="I9" s="365" t="s">
        <v>198</v>
      </c>
      <c r="J9" s="367" t="s">
        <v>199</v>
      </c>
      <c r="K9" s="37"/>
      <c r="L9" s="37"/>
      <c r="M9" s="106"/>
      <c r="N9" s="106"/>
      <c r="O9" s="37"/>
      <c r="P9" s="37"/>
      <c r="Q9" s="36"/>
      <c r="R9" s="36"/>
      <c r="T9" s="326"/>
      <c r="U9" s="36"/>
      <c r="V9" s="36"/>
    </row>
    <row r="10" spans="3:22" ht="15.75" x14ac:dyDescent="0.25">
      <c r="C10" s="37"/>
      <c r="D10" s="753" t="s">
        <v>218</v>
      </c>
      <c r="E10" s="356" t="s">
        <v>209</v>
      </c>
      <c r="F10" s="359" t="s">
        <v>210</v>
      </c>
      <c r="G10" s="356" t="s">
        <v>205</v>
      </c>
      <c r="H10" s="356" t="s">
        <v>199</v>
      </c>
      <c r="I10" s="356" t="s">
        <v>198</v>
      </c>
      <c r="J10" s="360" t="s">
        <v>199</v>
      </c>
      <c r="K10" s="37"/>
      <c r="L10" s="37"/>
      <c r="M10" s="37"/>
      <c r="N10" s="327"/>
      <c r="O10" s="106"/>
      <c r="P10" s="37"/>
      <c r="R10" s="67"/>
      <c r="V10" s="67"/>
    </row>
    <row r="11" spans="3:22" ht="15.75" x14ac:dyDescent="0.25">
      <c r="C11" s="37"/>
      <c r="D11" s="759"/>
      <c r="E11" s="361" t="s">
        <v>211</v>
      </c>
      <c r="F11" s="361" t="s">
        <v>257</v>
      </c>
      <c r="G11" s="362" t="s">
        <v>256</v>
      </c>
      <c r="H11" s="361" t="s">
        <v>198</v>
      </c>
      <c r="I11" s="361" t="s">
        <v>199</v>
      </c>
      <c r="J11" s="363" t="s">
        <v>199</v>
      </c>
      <c r="K11" s="495" t="s">
        <v>261</v>
      </c>
      <c r="L11" s="37"/>
      <c r="M11" s="37"/>
      <c r="N11" s="37"/>
      <c r="O11" s="37"/>
      <c r="P11" s="37"/>
    </row>
    <row r="12" spans="3:22" ht="15.75" x14ac:dyDescent="0.25">
      <c r="C12" s="37"/>
      <c r="D12" s="759"/>
      <c r="E12" s="353" t="s">
        <v>212</v>
      </c>
      <c r="F12" s="353" t="s">
        <v>258</v>
      </c>
      <c r="G12" s="353" t="s">
        <v>203</v>
      </c>
      <c r="H12" s="353" t="s">
        <v>198</v>
      </c>
      <c r="I12" s="353" t="s">
        <v>198</v>
      </c>
      <c r="J12" s="358" t="s">
        <v>199</v>
      </c>
      <c r="K12" s="37"/>
      <c r="L12" s="37"/>
      <c r="M12" s="37"/>
      <c r="N12" s="37"/>
      <c r="O12" s="37"/>
      <c r="P12" s="37"/>
    </row>
    <row r="13" spans="3:22" ht="16.5" thickBot="1" x14ac:dyDescent="0.3">
      <c r="C13" s="37"/>
      <c r="D13" s="759"/>
      <c r="E13" s="355" t="s">
        <v>213</v>
      </c>
      <c r="F13" s="355" t="s">
        <v>214</v>
      </c>
      <c r="G13" s="355" t="s">
        <v>203</v>
      </c>
      <c r="H13" s="355" t="s">
        <v>199</v>
      </c>
      <c r="I13" s="355" t="s">
        <v>199</v>
      </c>
      <c r="J13" s="370" t="s">
        <v>198</v>
      </c>
      <c r="K13" s="37"/>
      <c r="L13" s="37"/>
      <c r="M13" s="37"/>
      <c r="N13" s="37"/>
      <c r="O13" s="37"/>
      <c r="P13" s="37"/>
    </row>
    <row r="14" spans="3:22" ht="16.5" thickBot="1" x14ac:dyDescent="0.3">
      <c r="C14" s="37"/>
      <c r="D14" s="372" t="s">
        <v>215</v>
      </c>
      <c r="E14" s="371">
        <v>0</v>
      </c>
      <c r="F14" s="371">
        <v>0</v>
      </c>
      <c r="G14" s="371">
        <v>0</v>
      </c>
      <c r="H14" s="368" t="s">
        <v>199</v>
      </c>
      <c r="I14" s="368" t="s">
        <v>199</v>
      </c>
      <c r="J14" s="369" t="s">
        <v>198</v>
      </c>
      <c r="K14" s="37"/>
      <c r="L14" s="37"/>
      <c r="M14" s="37"/>
      <c r="N14" s="37"/>
      <c r="O14" s="37"/>
      <c r="P14" s="37"/>
    </row>
    <row r="15" spans="3:22" ht="16.5" thickBot="1" x14ac:dyDescent="0.3">
      <c r="C15" s="37"/>
      <c r="D15" s="633" t="s">
        <v>260</v>
      </c>
      <c r="E15" s="634">
        <v>0</v>
      </c>
      <c r="F15" s="634">
        <v>0</v>
      </c>
      <c r="G15" s="634">
        <v>0</v>
      </c>
      <c r="H15" s="634" t="s">
        <v>199</v>
      </c>
      <c r="I15" s="634" t="s">
        <v>199</v>
      </c>
      <c r="J15" s="635" t="s">
        <v>198</v>
      </c>
      <c r="K15" s="37"/>
      <c r="L15" s="37"/>
      <c r="M15" s="37"/>
      <c r="N15" s="37"/>
      <c r="O15" s="37"/>
      <c r="P15" s="37"/>
    </row>
    <row r="16" spans="3:22" ht="15.75" x14ac:dyDescent="0.25">
      <c r="C16" s="37"/>
      <c r="D16" s="753" t="s">
        <v>194</v>
      </c>
      <c r="E16" s="356" t="s">
        <v>345</v>
      </c>
      <c r="F16" s="356" t="s">
        <v>346</v>
      </c>
      <c r="G16" s="356" t="s">
        <v>208</v>
      </c>
      <c r="H16" s="634" t="s">
        <v>198</v>
      </c>
      <c r="I16" s="634" t="s">
        <v>199</v>
      </c>
      <c r="J16" s="635" t="s">
        <v>199</v>
      </c>
      <c r="K16" s="37"/>
      <c r="L16" s="37"/>
      <c r="M16" s="37"/>
      <c r="N16" s="37"/>
      <c r="O16" s="37"/>
      <c r="P16" s="37"/>
    </row>
    <row r="17" spans="3:22" ht="16.5" thickBot="1" x14ac:dyDescent="0.3">
      <c r="C17" s="37"/>
      <c r="D17" s="754"/>
      <c r="E17" s="637" t="s">
        <v>347</v>
      </c>
      <c r="F17" s="638" t="s">
        <v>348</v>
      </c>
      <c r="G17" s="636" t="s">
        <v>208</v>
      </c>
      <c r="H17" s="364" t="s">
        <v>198</v>
      </c>
      <c r="I17" s="364" t="s">
        <v>199</v>
      </c>
      <c r="J17" s="645" t="s">
        <v>199</v>
      </c>
      <c r="K17" s="37"/>
      <c r="L17" s="37"/>
      <c r="M17" s="37"/>
      <c r="N17" s="327"/>
      <c r="O17" s="37"/>
      <c r="P17" s="37"/>
      <c r="R17" s="67"/>
      <c r="V17" s="67"/>
    </row>
    <row r="18" spans="3:22" x14ac:dyDescent="0.25"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</sheetData>
  <mergeCells count="7">
    <mergeCell ref="D16:D17"/>
    <mergeCell ref="D6:D9"/>
    <mergeCell ref="D10:D13"/>
    <mergeCell ref="L1:O1"/>
    <mergeCell ref="D1:G1"/>
    <mergeCell ref="D3:D5"/>
    <mergeCell ref="H1:J1"/>
  </mergeCells>
  <pageMargins left="0.7" right="0.7" top="0.75" bottom="0.75" header="0.3" footer="0.3"/>
  <pageSetup paperSize="9" fitToHeight="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10</vt:i4>
      </vt:variant>
      <vt:variant>
        <vt:lpstr>Imenovani obsegi</vt:lpstr>
      </vt:variant>
      <vt:variant>
        <vt:i4>9</vt:i4>
      </vt:variant>
    </vt:vector>
  </HeadingPairs>
  <TitlesOfParts>
    <vt:vector size="19" baseType="lpstr">
      <vt:lpstr>PREDLOGA</vt:lpstr>
      <vt:lpstr>JKO</vt:lpstr>
      <vt:lpstr>SKKO</vt:lpstr>
      <vt:lpstr>KNO</vt:lpstr>
      <vt:lpstr>ŠD POHORJE</vt:lpstr>
      <vt:lpstr>OŠ</vt:lpstr>
      <vt:lpstr>ŠD OPLOTNICA</vt:lpstr>
      <vt:lpstr>ZBIR PROGRAMOV</vt:lpstr>
      <vt:lpstr>KADER 2020</vt:lpstr>
      <vt:lpstr>PD OPLOTNICA</vt:lpstr>
      <vt:lpstr>JKO!Področje_tiskanja</vt:lpstr>
      <vt:lpstr>'KADER 2020'!Področje_tiskanja</vt:lpstr>
      <vt:lpstr>KNO!Področje_tiskanja</vt:lpstr>
      <vt:lpstr>OŠ!Področje_tiskanja</vt:lpstr>
      <vt:lpstr>'PD OPLOTNICA'!Področje_tiskanja</vt:lpstr>
      <vt:lpstr>SKKO!Področje_tiskanja</vt:lpstr>
      <vt:lpstr>'ŠD OPLOTNICA'!Področje_tiskanja</vt:lpstr>
      <vt:lpstr>'ŠD POHORJE'!Področje_tiskanja</vt:lpstr>
      <vt:lpstr>'ZBIR PROGRAMOV'!Področje_tiskanja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</dc:creator>
  <cp:lastModifiedBy>druzbene_dejavnosti2</cp:lastModifiedBy>
  <cp:lastPrinted>2020-07-02T09:54:51Z</cp:lastPrinted>
  <dcterms:created xsi:type="dcterms:W3CDTF">2016-04-04T14:06:10Z</dcterms:created>
  <dcterms:modified xsi:type="dcterms:W3CDTF">2020-07-02T09:55:46Z</dcterms:modified>
</cp:coreProperties>
</file>